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3" documentId="13_ncr:1_{CB52948C-54EF-41AB-86B2-A15E16A47E82}" xr6:coauthVersionLast="47" xr6:coauthVersionMax="47" xr10:uidLastSave="{2CD6C741-7BB3-4A03-BF27-9E1738D6E4C3}"/>
  <bookViews>
    <workbookView xWindow="240" yWindow="1230" windowWidth="28125" windowHeight="1179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12" i="8" s="1"/>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4" i="8" l="1"/>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V37" i="75"/>
  <c r="AL22" i="76"/>
  <c r="AL24" i="78"/>
  <c r="AL24" i="76"/>
  <c r="AL24" i="77"/>
  <c r="AL33" i="125" l="1"/>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E11" i="76"/>
  <c r="AL11" i="76" s="1"/>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8" l="1"/>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Z11" i="75"/>
  <c r="AL10" i="125"/>
  <c r="AN10" i="125"/>
  <c r="E11" i="12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H10" i="75" l="1"/>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I22" i="70" l="1"/>
  <c r="C22" i="70"/>
  <c r="C30" i="70"/>
  <c r="Q26" i="70"/>
  <c r="O41" i="70"/>
  <c r="I50" i="70"/>
  <c r="I41" i="70"/>
  <c r="O12" i="70" l="1"/>
  <c r="C41" i="70"/>
  <c r="O50" i="70"/>
  <c r="C18" i="70"/>
  <c r="O18" i="70"/>
  <c r="O11" i="70" s="1"/>
  <c r="I18" i="70"/>
  <c r="O30" i="70"/>
  <c r="I30" i="70"/>
  <c r="I12" i="70"/>
  <c r="I11" i="70" s="1"/>
  <c r="I10" i="70" s="1"/>
  <c r="R26" i="70"/>
  <c r="S26" i="70"/>
  <c r="T26" i="70"/>
  <c r="O22" i="70"/>
  <c r="C12" i="70"/>
  <c r="O10" i="70" l="1"/>
  <c r="C11" i="70"/>
  <c r="C10" i="70" s="1"/>
  <c r="C10" i="73" l="1"/>
  <c r="E34" i="73" s="1"/>
  <c r="E35" i="73" s="1"/>
  <c r="D282" i="56" l="1"/>
  <c r="D281" i="56"/>
  <c r="D302" i="56"/>
  <c r="D423" i="56"/>
  <c r="D415" i="56"/>
  <c r="C17" i="124"/>
  <c r="C11" i="124"/>
  <c r="C10" i="124" s="1"/>
  <c r="D411" i="56" l="1"/>
  <c r="D331" i="56"/>
  <c r="D327" i="56" s="1"/>
  <c r="D277" i="56"/>
  <c r="R18" i="50"/>
  <c r="R13" i="50" s="1"/>
  <c r="R10" i="50" s="1"/>
  <c r="Q17" i="52"/>
  <c r="Q11" i="52" s="1"/>
  <c r="Q10" i="52" s="1"/>
  <c r="Q11" i="53"/>
  <c r="P11" i="53"/>
  <c r="R21" i="51"/>
  <c r="R15" i="51" s="1"/>
  <c r="R10" i="51" s="1"/>
  <c r="Q21" i="51" l="1"/>
  <c r="S22" i="51"/>
  <c r="S21" i="51" s="1"/>
  <c r="D18" i="52"/>
  <c r="K18" i="52"/>
  <c r="K12" i="51"/>
  <c r="D12" i="51"/>
  <c r="F18" i="50"/>
  <c r="L19" i="50"/>
  <c r="E21" i="51"/>
  <c r="K21" i="51" s="1"/>
  <c r="K22" i="51"/>
  <c r="D22" i="51"/>
  <c r="F21" i="51"/>
  <c r="L22" i="51"/>
  <c r="D15" i="52"/>
  <c r="E14" i="52"/>
  <c r="K15" i="52"/>
  <c r="I35" i="47"/>
  <c r="D16" i="52"/>
  <c r="K16" i="52"/>
  <c r="N11" i="53"/>
  <c r="S19" i="50"/>
  <c r="S18" i="50" s="1"/>
  <c r="Q18" i="50"/>
  <c r="D19" i="50"/>
  <c r="K19" i="50"/>
  <c r="E18" i="50"/>
  <c r="K18" i="50" s="1"/>
  <c r="P17" i="52"/>
  <c r="P11" i="52" s="1"/>
  <c r="P10" i="52" s="1"/>
  <c r="P11" i="51"/>
  <c r="O19" i="52" l="1"/>
  <c r="S19" i="52" s="1"/>
  <c r="G16" i="52"/>
  <c r="H16" i="52"/>
  <c r="I16" i="52"/>
  <c r="J16" i="52"/>
  <c r="N17" i="52"/>
  <c r="N11" i="52" s="1"/>
  <c r="F13" i="50"/>
  <c r="L18" i="50"/>
  <c r="N11" i="51"/>
  <c r="O14" i="51"/>
  <c r="S14" i="51" s="1"/>
  <c r="O18" i="52"/>
  <c r="M17" i="52"/>
  <c r="M11" i="52" s="1"/>
  <c r="O18" i="51"/>
  <c r="S18" i="51" s="1"/>
  <c r="G19" i="50"/>
  <c r="H19" i="50"/>
  <c r="J19" i="50"/>
  <c r="D18" i="50"/>
  <c r="I19" i="50"/>
  <c r="O12" i="51"/>
  <c r="G12" i="51"/>
  <c r="H12" i="51"/>
  <c r="J12" i="51"/>
  <c r="K14" i="52"/>
  <c r="P15" i="49"/>
  <c r="U15" i="49" s="1"/>
  <c r="I15" i="52"/>
  <c r="H15" i="52"/>
  <c r="G15" i="52"/>
  <c r="D14" i="52"/>
  <c r="J15" i="52"/>
  <c r="F15" i="51"/>
  <c r="L21" i="51"/>
  <c r="G18" i="52"/>
  <c r="J18" i="52"/>
  <c r="H18" i="52"/>
  <c r="J22" i="51"/>
  <c r="G22" i="51"/>
  <c r="I22" i="51"/>
  <c r="H22" i="51"/>
  <c r="D21" i="51"/>
  <c r="P14" i="49"/>
  <c r="O12" i="53"/>
  <c r="M11" i="53"/>
  <c r="G45" i="59"/>
  <c r="G22" i="59"/>
  <c r="G16" i="59"/>
  <c r="F17" i="59" l="1"/>
  <c r="G17" i="59" s="1"/>
  <c r="G18" i="59"/>
  <c r="F10" i="50"/>
  <c r="L10" i="50" s="1"/>
  <c r="L13" i="50"/>
  <c r="S12" i="51"/>
  <c r="O11" i="51"/>
  <c r="G51" i="59"/>
  <c r="F50" i="59"/>
  <c r="I18" i="50"/>
  <c r="G18" i="50"/>
  <c r="J18" i="50"/>
  <c r="H18" i="50"/>
  <c r="G24" i="59"/>
  <c r="F23" i="59"/>
  <c r="G23" i="59" s="1"/>
  <c r="P22" i="49"/>
  <c r="U22" i="49" s="1"/>
  <c r="G14" i="59"/>
  <c r="S12" i="53"/>
  <c r="S11" i="53" s="1"/>
  <c r="O11" i="53"/>
  <c r="I12" i="51"/>
  <c r="I18" i="52"/>
  <c r="S18" i="52"/>
  <c r="S17" i="52" s="1"/>
  <c r="S11" i="52" s="1"/>
  <c r="O17" i="52"/>
  <c r="O11" i="52" s="1"/>
  <c r="F10" i="51"/>
  <c r="L10" i="51" s="1"/>
  <c r="L15" i="51"/>
  <c r="H14" i="52"/>
  <c r="G14" i="52"/>
  <c r="J14" i="52"/>
  <c r="I14" i="52"/>
  <c r="H21" i="51"/>
  <c r="J21" i="51"/>
  <c r="G21" i="51"/>
  <c r="I21" i="51"/>
  <c r="G39" i="59"/>
  <c r="F38" i="59"/>
  <c r="M11" i="51"/>
  <c r="F49" i="59" l="1"/>
  <c r="G50" i="59"/>
  <c r="C21" i="47"/>
  <c r="G38" i="59"/>
  <c r="F37" i="59"/>
  <c r="C24" i="47"/>
  <c r="T23" i="49"/>
  <c r="T16" i="49" s="1"/>
  <c r="T10" i="49" s="1"/>
  <c r="Q16" i="51"/>
  <c r="Q15" i="51" s="1"/>
  <c r="D21" i="49"/>
  <c r="Q14" i="53"/>
  <c r="Q13" i="53" s="1"/>
  <c r="Q10" i="53" s="1"/>
  <c r="R14" i="53"/>
  <c r="R13" i="53" s="1"/>
  <c r="R10" i="53" s="1"/>
  <c r="Q14" i="50"/>
  <c r="Q13" i="50" s="1"/>
  <c r="S25" i="49"/>
  <c r="S17" i="49"/>
  <c r="S11" i="49"/>
  <c r="L26" i="49" l="1"/>
  <c r="D26" i="49"/>
  <c r="E25" i="49"/>
  <c r="F14" i="53"/>
  <c r="L15" i="53"/>
  <c r="D15" i="53"/>
  <c r="E16" i="51"/>
  <c r="D17" i="51"/>
  <c r="K17" i="51"/>
  <c r="D13" i="49"/>
  <c r="L13" i="49"/>
  <c r="M24" i="49"/>
  <c r="F23" i="49"/>
  <c r="D24" i="49"/>
  <c r="G33" i="59"/>
  <c r="F32" i="59"/>
  <c r="G37" i="59"/>
  <c r="L12" i="49"/>
  <c r="D12" i="49"/>
  <c r="L18" i="49"/>
  <c r="D18" i="49"/>
  <c r="E17" i="49"/>
  <c r="D16" i="53"/>
  <c r="K16" i="53"/>
  <c r="E14" i="53"/>
  <c r="E14" i="50"/>
  <c r="K15" i="50"/>
  <c r="D15" i="50"/>
  <c r="F66" i="59"/>
  <c r="G67" i="59"/>
  <c r="F43" i="59"/>
  <c r="G44" i="59"/>
  <c r="K37" i="52"/>
  <c r="D37" i="52"/>
  <c r="E36" i="52"/>
  <c r="I21" i="59"/>
  <c r="F20" i="59"/>
  <c r="G21" i="59"/>
  <c r="H21" i="59"/>
  <c r="G49" i="59"/>
  <c r="F48" i="59"/>
  <c r="G48" i="59" s="1"/>
  <c r="Q17" i="49"/>
  <c r="R25" i="49"/>
  <c r="R17" i="49"/>
  <c r="P16" i="51"/>
  <c r="P15" i="51" s="1"/>
  <c r="P10" i="51" s="1"/>
  <c r="O25" i="49"/>
  <c r="N14" i="50"/>
  <c r="N13" i="50" s="1"/>
  <c r="N16" i="51"/>
  <c r="N15" i="51" s="1"/>
  <c r="N10" i="51" s="1"/>
  <c r="N36" i="52"/>
  <c r="N35" i="52" s="1"/>
  <c r="N23" i="52" s="1"/>
  <c r="N10" i="52" s="1"/>
  <c r="O17" i="49"/>
  <c r="P14" i="50"/>
  <c r="P13" i="50" s="1"/>
  <c r="P10" i="50" s="1"/>
  <c r="O23" i="49"/>
  <c r="Q23" i="49"/>
  <c r="Q25" i="49"/>
  <c r="Q19" i="49"/>
  <c r="J21" i="49"/>
  <c r="N14" i="53"/>
  <c r="N13" i="53" s="1"/>
  <c r="N10" i="53" s="1"/>
  <c r="O16" i="53"/>
  <c r="R23" i="49"/>
  <c r="P13" i="49"/>
  <c r="U13" i="49" s="1"/>
  <c r="R19" i="49"/>
  <c r="K21" i="49"/>
  <c r="L21" i="49"/>
  <c r="O11" i="49"/>
  <c r="Q16" i="49" l="1"/>
  <c r="D14" i="50"/>
  <c r="J15" i="50"/>
  <c r="H15" i="50"/>
  <c r="G15" i="50"/>
  <c r="K13" i="49"/>
  <c r="J13" i="49"/>
  <c r="H13" i="49"/>
  <c r="G13" i="49"/>
  <c r="I13" i="49"/>
  <c r="P12" i="49"/>
  <c r="N11" i="49"/>
  <c r="O17" i="51"/>
  <c r="M16" i="51"/>
  <c r="M15" i="51" s="1"/>
  <c r="M10" i="51" s="1"/>
  <c r="M14" i="50"/>
  <c r="M13" i="50" s="1"/>
  <c r="O15" i="50"/>
  <c r="E13" i="50"/>
  <c r="K13" i="50" s="1"/>
  <c r="C23" i="57"/>
  <c r="K14" i="50"/>
  <c r="G15" i="59"/>
  <c r="F13" i="59"/>
  <c r="E19" i="49"/>
  <c r="D20" i="49"/>
  <c r="L20" i="49"/>
  <c r="K14" i="53"/>
  <c r="E13" i="53"/>
  <c r="K13" i="53" s="1"/>
  <c r="C50" i="57"/>
  <c r="S19" i="49"/>
  <c r="S16" i="49" s="1"/>
  <c r="S10" i="49" s="1"/>
  <c r="G43" i="59"/>
  <c r="F42" i="59"/>
  <c r="D16" i="51"/>
  <c r="H17" i="51"/>
  <c r="G17" i="51"/>
  <c r="J17" i="51"/>
  <c r="I17" i="51"/>
  <c r="R16" i="49"/>
  <c r="O15" i="53"/>
  <c r="M14" i="53"/>
  <c r="M13" i="53" s="1"/>
  <c r="M10" i="53" s="1"/>
  <c r="N25" i="49"/>
  <c r="P26" i="49"/>
  <c r="H16" i="53"/>
  <c r="G16" i="53"/>
  <c r="I16" i="53"/>
  <c r="C32" i="57"/>
  <c r="K16" i="51"/>
  <c r="E15" i="51"/>
  <c r="K15" i="51" s="1"/>
  <c r="N23" i="49"/>
  <c r="P24" i="49"/>
  <c r="J16" i="53"/>
  <c r="C15" i="57"/>
  <c r="L17" i="49"/>
  <c r="F31" i="59"/>
  <c r="G32" i="59"/>
  <c r="J15" i="53"/>
  <c r="D14" i="53"/>
  <c r="H15" i="53"/>
  <c r="G15" i="53"/>
  <c r="I15" i="53"/>
  <c r="S16" i="53"/>
  <c r="K18" i="49"/>
  <c r="D17" i="49"/>
  <c r="G18" i="49"/>
  <c r="I18" i="49"/>
  <c r="J18" i="49"/>
  <c r="H18" i="49"/>
  <c r="G20" i="59"/>
  <c r="F19" i="59"/>
  <c r="F65" i="59"/>
  <c r="G66" i="59"/>
  <c r="J24" i="49"/>
  <c r="D23" i="49"/>
  <c r="K24" i="49"/>
  <c r="H24" i="49"/>
  <c r="G24" i="49"/>
  <c r="I24" i="49"/>
  <c r="L14" i="53"/>
  <c r="F13" i="53"/>
  <c r="F16" i="49"/>
  <c r="M23" i="49"/>
  <c r="L25" i="49"/>
  <c r="C18" i="57"/>
  <c r="M36" i="52"/>
  <c r="M35" i="52" s="1"/>
  <c r="M23" i="52" s="1"/>
  <c r="M10" i="52" s="1"/>
  <c r="O37" i="52"/>
  <c r="F21" i="52"/>
  <c r="D22" i="52"/>
  <c r="L22" i="52"/>
  <c r="K36" i="52"/>
  <c r="E35" i="52"/>
  <c r="G12" i="49"/>
  <c r="H12" i="49"/>
  <c r="J12" i="49"/>
  <c r="K12" i="49"/>
  <c r="G26" i="49"/>
  <c r="H26" i="49"/>
  <c r="D25" i="49"/>
  <c r="K26" i="49"/>
  <c r="J26" i="49"/>
  <c r="I26" i="49"/>
  <c r="N17" i="49"/>
  <c r="P18" i="49"/>
  <c r="R11" i="49"/>
  <c r="R10" i="49" s="1"/>
  <c r="H21" i="49"/>
  <c r="H37" i="52"/>
  <c r="J37" i="52"/>
  <c r="G37" i="52"/>
  <c r="D36" i="52"/>
  <c r="I37" i="52"/>
  <c r="O19" i="49"/>
  <c r="O16" i="49" s="1"/>
  <c r="O10" i="49" s="1"/>
  <c r="G22" i="52" l="1"/>
  <c r="H22" i="52"/>
  <c r="I22" i="52"/>
  <c r="J22" i="52"/>
  <c r="D21" i="52"/>
  <c r="F17" i="52"/>
  <c r="L21" i="52"/>
  <c r="C16" i="57"/>
  <c r="L19" i="49"/>
  <c r="G16" i="51"/>
  <c r="D15" i="51"/>
  <c r="J16" i="51"/>
  <c r="H16" i="51"/>
  <c r="G13" i="59"/>
  <c r="F12" i="59"/>
  <c r="U12" i="49"/>
  <c r="P11" i="49"/>
  <c r="F25" i="59"/>
  <c r="G25" i="59" s="1"/>
  <c r="G31" i="59"/>
  <c r="I12" i="49"/>
  <c r="H17" i="49"/>
  <c r="G17" i="49"/>
  <c r="K17" i="49"/>
  <c r="J17" i="49"/>
  <c r="E16" i="49"/>
  <c r="L16" i="49" s="1"/>
  <c r="U26" i="49"/>
  <c r="U25" i="49" s="1"/>
  <c r="P25" i="49"/>
  <c r="I25" i="49" s="1"/>
  <c r="G42" i="59"/>
  <c r="F36" i="59"/>
  <c r="G36" i="59" s="1"/>
  <c r="C21" i="57"/>
  <c r="G36" i="52"/>
  <c r="J36" i="52"/>
  <c r="H36" i="52"/>
  <c r="D35" i="52"/>
  <c r="J25" i="49"/>
  <c r="G25" i="49"/>
  <c r="H25" i="49"/>
  <c r="K25" i="49"/>
  <c r="O36" i="52"/>
  <c r="O35" i="52" s="1"/>
  <c r="O23" i="52" s="1"/>
  <c r="O10" i="52" s="1"/>
  <c r="S37" i="52"/>
  <c r="S36" i="52" s="1"/>
  <c r="S35" i="52" s="1"/>
  <c r="S23" i="52" s="1"/>
  <c r="P21" i="49"/>
  <c r="G21" i="49"/>
  <c r="C30" i="57"/>
  <c r="K23" i="49"/>
  <c r="J23" i="49"/>
  <c r="H23" i="49"/>
  <c r="G23" i="49"/>
  <c r="P17" i="49"/>
  <c r="U18" i="49"/>
  <c r="U17" i="49" s="1"/>
  <c r="M16" i="49"/>
  <c r="F10" i="49"/>
  <c r="M10" i="49" s="1"/>
  <c r="F59" i="59"/>
  <c r="G65" i="59"/>
  <c r="S15" i="50"/>
  <c r="S14" i="50" s="1"/>
  <c r="S13" i="50" s="1"/>
  <c r="C16" i="47" s="1"/>
  <c r="O14" i="50"/>
  <c r="O13" i="50" s="1"/>
  <c r="I15" i="50"/>
  <c r="P23" i="49"/>
  <c r="I23" i="49" s="1"/>
  <c r="U24" i="49"/>
  <c r="U23" i="49" s="1"/>
  <c r="S15" i="53"/>
  <c r="S14" i="53" s="1"/>
  <c r="S13" i="53" s="1"/>
  <c r="O14" i="53"/>
  <c r="O13" i="53" s="1"/>
  <c r="O10" i="53" s="1"/>
  <c r="C48" i="57"/>
  <c r="F10" i="53"/>
  <c r="L10" i="53" s="1"/>
  <c r="L13" i="53"/>
  <c r="N19" i="49"/>
  <c r="N16" i="49" s="1"/>
  <c r="N10" i="49" s="1"/>
  <c r="P20" i="49"/>
  <c r="E23" i="52"/>
  <c r="K23" i="52" s="1"/>
  <c r="K35" i="52"/>
  <c r="P14" i="53"/>
  <c r="P13" i="53" s="1"/>
  <c r="P10" i="53" s="1"/>
  <c r="G14" i="53"/>
  <c r="H14" i="53"/>
  <c r="D13" i="53"/>
  <c r="J14" i="53"/>
  <c r="S17" i="51"/>
  <c r="S16" i="51" s="1"/>
  <c r="S15" i="51" s="1"/>
  <c r="C19" i="47" s="1"/>
  <c r="O16" i="51"/>
  <c r="O15" i="51" s="1"/>
  <c r="O10" i="51" s="1"/>
  <c r="G14" i="50"/>
  <c r="H14" i="50"/>
  <c r="J14" i="50"/>
  <c r="D13" i="50"/>
  <c r="I14" i="50"/>
  <c r="H20" i="49"/>
  <c r="K20" i="49"/>
  <c r="J20" i="49"/>
  <c r="G20" i="49"/>
  <c r="D19" i="49"/>
  <c r="I13" i="50" l="1"/>
  <c r="H13" i="50"/>
  <c r="G13" i="50"/>
  <c r="J13" i="50"/>
  <c r="H15" i="51"/>
  <c r="J15" i="51"/>
  <c r="G15" i="51"/>
  <c r="I15" i="51"/>
  <c r="D16" i="49"/>
  <c r="H19" i="49"/>
  <c r="K19" i="49"/>
  <c r="G19" i="49"/>
  <c r="J19" i="49"/>
  <c r="P16" i="49"/>
  <c r="I20" i="49"/>
  <c r="U20" i="49"/>
  <c r="P19" i="49"/>
  <c r="I19" i="49" s="1"/>
  <c r="I36" i="52"/>
  <c r="P10" i="49"/>
  <c r="D23" i="52"/>
  <c r="I35" i="52"/>
  <c r="J35" i="52"/>
  <c r="G35" i="52"/>
  <c r="H35" i="52"/>
  <c r="F11" i="52"/>
  <c r="L17" i="52"/>
  <c r="I14" i="53"/>
  <c r="G59" i="59"/>
  <c r="C13" i="57"/>
  <c r="H21" i="52"/>
  <c r="I21" i="52"/>
  <c r="J21" i="52"/>
  <c r="G21" i="52"/>
  <c r="F11" i="59"/>
  <c r="G12" i="59"/>
  <c r="I17" i="49"/>
  <c r="D12" i="53"/>
  <c r="K12" i="53"/>
  <c r="E11" i="53"/>
  <c r="G13" i="53"/>
  <c r="J13" i="53"/>
  <c r="I13" i="53"/>
  <c r="H13" i="53"/>
  <c r="U21" i="49"/>
  <c r="I21" i="49"/>
  <c r="C25" i="47"/>
  <c r="S10" i="53"/>
  <c r="C22" i="47"/>
  <c r="C20" i="47" s="1"/>
  <c r="S10" i="52"/>
  <c r="C20" i="57"/>
  <c r="I16" i="51"/>
  <c r="M13" i="48"/>
  <c r="F20" i="48"/>
  <c r="M17" i="48"/>
  <c r="M12" i="48"/>
  <c r="D20" i="52" l="1"/>
  <c r="K20" i="52"/>
  <c r="E17" i="52"/>
  <c r="M15" i="48"/>
  <c r="M10" i="48"/>
  <c r="C20" i="48"/>
  <c r="E10" i="53"/>
  <c r="K10" i="53" s="1"/>
  <c r="K11" i="53"/>
  <c r="C47" i="57"/>
  <c r="H23" i="52"/>
  <c r="I23" i="52"/>
  <c r="G23" i="52"/>
  <c r="J23" i="52"/>
  <c r="E20" i="48"/>
  <c r="E21" i="48" s="1"/>
  <c r="I12" i="53"/>
  <c r="G12" i="53"/>
  <c r="J12" i="53"/>
  <c r="H12" i="53"/>
  <c r="D11" i="53"/>
  <c r="K16" i="49"/>
  <c r="H16" i="49"/>
  <c r="J16" i="49"/>
  <c r="G16" i="49"/>
  <c r="I16" i="49"/>
  <c r="K20" i="48"/>
  <c r="M18" i="48"/>
  <c r="C46" i="109"/>
  <c r="D11" i="54"/>
  <c r="D10" i="54" s="1"/>
  <c r="E10" i="54"/>
  <c r="D13" i="51"/>
  <c r="E11" i="51"/>
  <c r="C23" i="47"/>
  <c r="F21" i="48"/>
  <c r="H20" i="48"/>
  <c r="H21" i="48" s="1"/>
  <c r="F10" i="59"/>
  <c r="L11" i="52"/>
  <c r="F10" i="52"/>
  <c r="L10" i="52" s="1"/>
  <c r="U19" i="49"/>
  <c r="U16" i="49" s="1"/>
  <c r="C13" i="47" s="1"/>
  <c r="J20" i="48"/>
  <c r="J21" i="48" s="1"/>
  <c r="D32" i="57"/>
  <c r="D30" i="57" s="1"/>
  <c r="H30" i="57"/>
  <c r="D14" i="49"/>
  <c r="L14" i="49"/>
  <c r="E11" i="49"/>
  <c r="D12" i="50"/>
  <c r="E11" i="50"/>
  <c r="G72" i="34"/>
  <c r="H74" i="34"/>
  <c r="G67" i="34"/>
  <c r="H67" i="34"/>
  <c r="G71" i="34"/>
  <c r="I67" i="34"/>
  <c r="I69" i="34"/>
  <c r="G66" i="34"/>
  <c r="H66" i="34"/>
  <c r="H73" i="34"/>
  <c r="G65" i="34"/>
  <c r="I66" i="34"/>
  <c r="G68" i="34"/>
  <c r="I73" i="34"/>
  <c r="H68" i="34"/>
  <c r="G70" i="34"/>
  <c r="G80" i="34"/>
  <c r="G82" i="34"/>
  <c r="G86" i="34"/>
  <c r="G88" i="34"/>
  <c r="G78" i="34"/>
  <c r="H80" i="34"/>
  <c r="H84" i="34"/>
  <c r="I80" i="34"/>
  <c r="I88" i="34"/>
  <c r="G79" i="34"/>
  <c r="G81" i="34"/>
  <c r="G83" i="34"/>
  <c r="G85" i="34"/>
  <c r="G89" i="34"/>
  <c r="H87" i="34"/>
  <c r="I81" i="34"/>
  <c r="I89" i="34"/>
  <c r="I55" i="34"/>
  <c r="H59" i="34"/>
  <c r="H63" i="34"/>
  <c r="G54" i="34"/>
  <c r="G58" i="34"/>
  <c r="H54" i="34"/>
  <c r="H58" i="34"/>
  <c r="I54" i="34"/>
  <c r="I56" i="34"/>
  <c r="I58" i="34"/>
  <c r="G60" i="34"/>
  <c r="H60" i="34"/>
  <c r="H52" i="34"/>
  <c r="G53" i="34"/>
  <c r="G52" i="34"/>
  <c r="H53" i="34"/>
  <c r="G55" i="34"/>
  <c r="G57" i="34"/>
  <c r="H55" i="34"/>
  <c r="H57" i="34"/>
  <c r="G59" i="34"/>
  <c r="I94" i="34"/>
  <c r="I102" i="34"/>
  <c r="J107" i="34"/>
  <c r="J109" i="34"/>
  <c r="J113" i="34"/>
  <c r="K107" i="34"/>
  <c r="K109" i="34"/>
  <c r="K111" i="34"/>
  <c r="K113" i="34"/>
  <c r="K115" i="34"/>
  <c r="M107" i="34"/>
  <c r="M109" i="34"/>
  <c r="M111" i="34"/>
  <c r="M113" i="34"/>
  <c r="M115" i="34"/>
  <c r="I93" i="34"/>
  <c r="I95" i="34"/>
  <c r="I101" i="34"/>
  <c r="I103" i="34"/>
  <c r="J114" i="34"/>
  <c r="J116" i="34"/>
  <c r="K106" i="34"/>
  <c r="K108" i="34"/>
  <c r="K110" i="34"/>
  <c r="K112" i="34"/>
  <c r="K114" i="34"/>
  <c r="K116" i="34"/>
  <c r="M106" i="34"/>
  <c r="M108" i="34"/>
  <c r="M110" i="34"/>
  <c r="M112" i="34"/>
  <c r="M114" i="34"/>
  <c r="M116" i="34"/>
  <c r="H118" i="34"/>
  <c r="G123" i="34"/>
  <c r="H127" i="34"/>
  <c r="I123" i="34"/>
  <c r="I129" i="34"/>
  <c r="G127" i="34"/>
  <c r="H129" i="34"/>
  <c r="G120" i="34"/>
  <c r="G122" i="34"/>
  <c r="H120" i="34"/>
  <c r="H126" i="34"/>
  <c r="D29" i="25"/>
  <c r="H128" i="34"/>
  <c r="I120" i="34"/>
  <c r="I122" i="34"/>
  <c r="G128" i="34"/>
  <c r="G118" i="34"/>
  <c r="G121" i="34"/>
  <c r="I118" i="34"/>
  <c r="G30" i="25"/>
  <c r="G137" i="34"/>
  <c r="G134" i="34"/>
  <c r="H142" i="34"/>
  <c r="H134" i="34"/>
  <c r="G139" i="34"/>
  <c r="H139" i="34"/>
  <c r="G132" i="34"/>
  <c r="G136" i="34"/>
  <c r="G141" i="34"/>
  <c r="G133" i="34"/>
  <c r="G138" i="34"/>
  <c r="G140" i="34"/>
  <c r="H133" i="34"/>
  <c r="G143" i="34"/>
  <c r="G135" i="34"/>
  <c r="H135" i="34"/>
  <c r="O30" i="25"/>
  <c r="G142" i="34"/>
  <c r="H156" i="34"/>
  <c r="H149" i="34"/>
  <c r="I149" i="34"/>
  <c r="H151" i="34"/>
  <c r="I151" i="34"/>
  <c r="H153" i="34"/>
  <c r="I153" i="34"/>
  <c r="H155" i="34"/>
  <c r="I155" i="34"/>
  <c r="H148" i="34"/>
  <c r="H157" i="34"/>
  <c r="I148" i="34"/>
  <c r="H152" i="34"/>
  <c r="I152" i="34"/>
  <c r="H154" i="34"/>
  <c r="I16" i="59"/>
  <c r="D18" i="57"/>
  <c r="M48" i="34"/>
  <c r="K50" i="34"/>
  <c r="L41" i="34"/>
  <c r="M50" i="34"/>
  <c r="M41" i="34"/>
  <c r="K43" i="34"/>
  <c r="J45" i="34"/>
  <c r="M43" i="34"/>
  <c r="K45" i="34"/>
  <c r="K47" i="34"/>
  <c r="M47" i="34"/>
  <c r="K42" i="34"/>
  <c r="M45" i="34"/>
  <c r="L47" i="34"/>
  <c r="K49" i="34"/>
  <c r="J44" i="34"/>
  <c r="I27" i="25" s="1"/>
  <c r="J40" i="34"/>
  <c r="K40" i="34"/>
  <c r="J42" i="34"/>
  <c r="M49" i="34"/>
  <c r="M40" i="34"/>
  <c r="K41" i="34"/>
  <c r="L50" i="34"/>
  <c r="M42" i="34"/>
  <c r="K44" i="34"/>
  <c r="M46" i="34"/>
  <c r="L44" i="34"/>
  <c r="K46" i="34"/>
  <c r="M44" i="34"/>
  <c r="K48" i="34"/>
  <c r="L42" i="34"/>
  <c r="L45" i="34"/>
  <c r="L43" i="34"/>
  <c r="L48" i="34"/>
  <c r="L49" i="34"/>
  <c r="L46" i="34"/>
  <c r="L40" i="34"/>
  <c r="I29" i="34"/>
  <c r="G33" i="34"/>
  <c r="G35" i="34"/>
  <c r="G37" i="34"/>
  <c r="I37" i="34"/>
  <c r="H26" i="34"/>
  <c r="G28" i="34"/>
  <c r="I26" i="34"/>
  <c r="H28" i="34"/>
  <c r="G30" i="34"/>
  <c r="G32" i="34"/>
  <c r="I28" i="34"/>
  <c r="H32" i="34"/>
  <c r="G34" i="34"/>
  <c r="I35" i="34"/>
  <c r="H34" i="34"/>
  <c r="G36" i="34"/>
  <c r="G26" i="34"/>
  <c r="I34" i="34"/>
  <c r="H37" i="34"/>
  <c r="I36" i="34"/>
  <c r="G27" i="34"/>
  <c r="G29" i="34"/>
  <c r="H29" i="34"/>
  <c r="G31" i="34"/>
  <c r="D16" i="57"/>
  <c r="I22" i="59"/>
  <c r="I45" i="59"/>
  <c r="I15" i="59"/>
  <c r="H16" i="59"/>
  <c r="H22" i="59"/>
  <c r="H15" i="59"/>
  <c r="H45" i="59"/>
  <c r="D12" i="57"/>
  <c r="K13" i="51"/>
  <c r="Q11" i="50"/>
  <c r="Q10" i="50" s="1"/>
  <c r="I19" i="34" l="1"/>
  <c r="F45" i="34"/>
  <c r="I45" i="34" s="1"/>
  <c r="J47" i="34"/>
  <c r="O27" i="25"/>
  <c r="I150" i="34"/>
  <c r="M146" i="34"/>
  <c r="I154" i="34"/>
  <c r="I126" i="34"/>
  <c r="H124" i="34"/>
  <c r="I127" i="34"/>
  <c r="T29" i="25"/>
  <c r="D114" i="34"/>
  <c r="G114" i="34" s="1"/>
  <c r="G101" i="34"/>
  <c r="I100" i="34"/>
  <c r="D115" i="34"/>
  <c r="G115" i="34" s="1"/>
  <c r="G102" i="34"/>
  <c r="M51" i="34"/>
  <c r="I61" i="34"/>
  <c r="G61" i="34"/>
  <c r="I87" i="34"/>
  <c r="G87" i="34"/>
  <c r="I86" i="34"/>
  <c r="G74" i="34"/>
  <c r="F30" i="57"/>
  <c r="C29" i="57"/>
  <c r="E10" i="51"/>
  <c r="D39" i="34"/>
  <c r="G39" i="34" s="1"/>
  <c r="G13" i="34"/>
  <c r="G157" i="34"/>
  <c r="T31" i="25"/>
  <c r="I16" i="57"/>
  <c r="E16" i="57"/>
  <c r="I24" i="34"/>
  <c r="F50" i="34"/>
  <c r="I50" i="34" s="1"/>
  <c r="H22" i="34"/>
  <c r="E48" i="34"/>
  <c r="H48" i="34" s="1"/>
  <c r="K17" i="59"/>
  <c r="H17" i="59" s="1"/>
  <c r="H18" i="59"/>
  <c r="H13" i="57"/>
  <c r="H11" i="57" s="1"/>
  <c r="D15" i="57"/>
  <c r="D13" i="57" s="1"/>
  <c r="H30" i="34"/>
  <c r="I27" i="34"/>
  <c r="J48" i="34"/>
  <c r="R27" i="25"/>
  <c r="J43" i="34"/>
  <c r="H27" i="25"/>
  <c r="H26" i="25" s="1"/>
  <c r="F39" i="34"/>
  <c r="I39" i="34" s="1"/>
  <c r="I13" i="34"/>
  <c r="D31" i="25"/>
  <c r="G148" i="34"/>
  <c r="I158" i="34"/>
  <c r="G152" i="34"/>
  <c r="I31" i="25"/>
  <c r="F30" i="25"/>
  <c r="I124" i="34"/>
  <c r="H122" i="34"/>
  <c r="I125" i="34"/>
  <c r="I99" i="34"/>
  <c r="D112" i="34"/>
  <c r="G112" i="34" s="1"/>
  <c r="G99" i="34"/>
  <c r="I98" i="34"/>
  <c r="D113" i="34"/>
  <c r="G113" i="34" s="1"/>
  <c r="G100" i="34"/>
  <c r="I85" i="34"/>
  <c r="I84" i="34"/>
  <c r="K64" i="34"/>
  <c r="G69" i="34"/>
  <c r="I72" i="34"/>
  <c r="I15" i="34"/>
  <c r="F41" i="34"/>
  <c r="I41" i="34" s="1"/>
  <c r="I22" i="34"/>
  <c r="F48" i="34"/>
  <c r="I48" i="34" s="1"/>
  <c r="G23" i="34"/>
  <c r="D49" i="34"/>
  <c r="G49" i="34" s="1"/>
  <c r="L20" i="59"/>
  <c r="H31" i="34"/>
  <c r="G103" i="34"/>
  <c r="D116" i="34"/>
  <c r="G116" i="34" s="1"/>
  <c r="G15" i="34"/>
  <c r="D41" i="34"/>
  <c r="G41" i="34" s="1"/>
  <c r="G22" i="34"/>
  <c r="D48" i="34"/>
  <c r="G48" i="34" s="1"/>
  <c r="G18" i="34"/>
  <c r="D44" i="34"/>
  <c r="G44" i="34" s="1"/>
  <c r="D42" i="34"/>
  <c r="G42" i="34" s="1"/>
  <c r="G16" i="34"/>
  <c r="C31" i="25"/>
  <c r="G147" i="34"/>
  <c r="J146" i="34"/>
  <c r="K30" i="25"/>
  <c r="M131" i="34"/>
  <c r="M130" i="34" s="1"/>
  <c r="G119" i="34"/>
  <c r="I97" i="34"/>
  <c r="D110" i="34"/>
  <c r="G110" i="34" s="1"/>
  <c r="G97" i="34"/>
  <c r="I96" i="34"/>
  <c r="G98" i="34"/>
  <c r="D111" i="34"/>
  <c r="G111" i="34" s="1"/>
  <c r="H62" i="34"/>
  <c r="K51" i="34"/>
  <c r="G56" i="34"/>
  <c r="I57" i="34"/>
  <c r="I83" i="34"/>
  <c r="I82" i="34"/>
  <c r="G84" i="34"/>
  <c r="I76" i="34"/>
  <c r="H70" i="34"/>
  <c r="G13" i="51"/>
  <c r="J13" i="51"/>
  <c r="I13" i="51"/>
  <c r="H13" i="51"/>
  <c r="D11" i="51"/>
  <c r="H11" i="53"/>
  <c r="D10" i="53"/>
  <c r="J11" i="53"/>
  <c r="I11" i="53"/>
  <c r="G11" i="53"/>
  <c r="C46" i="57"/>
  <c r="G19" i="34"/>
  <c r="D45" i="34"/>
  <c r="G45" i="34" s="1"/>
  <c r="F42" i="34"/>
  <c r="I42" i="34" s="1"/>
  <c r="I16" i="34"/>
  <c r="J41" i="34"/>
  <c r="F27" i="25" s="1"/>
  <c r="F26" i="25" s="1"/>
  <c r="F47" i="34"/>
  <c r="I47" i="34" s="1"/>
  <c r="I21" i="34"/>
  <c r="G30" i="57"/>
  <c r="I32" i="57"/>
  <c r="E32" i="57"/>
  <c r="K38" i="59"/>
  <c r="H39" i="59"/>
  <c r="K20" i="59"/>
  <c r="E46" i="34"/>
  <c r="H46" i="34" s="1"/>
  <c r="H20" i="34"/>
  <c r="G95" i="34"/>
  <c r="D108" i="34"/>
  <c r="G108" i="34" s="1"/>
  <c r="I71" i="34"/>
  <c r="I65" i="34"/>
  <c r="I68" i="34"/>
  <c r="D23" i="57"/>
  <c r="D21" i="57" s="1"/>
  <c r="H21" i="57"/>
  <c r="H20" i="57" s="1"/>
  <c r="E50" i="34"/>
  <c r="H50" i="34" s="1"/>
  <c r="H24" i="34"/>
  <c r="H17" i="34"/>
  <c r="E43" i="34"/>
  <c r="H43" i="34" s="1"/>
  <c r="F49" i="34"/>
  <c r="I49" i="34" s="1"/>
  <c r="I23" i="34"/>
  <c r="J46" i="34"/>
  <c r="M27" i="25" s="1"/>
  <c r="M26" i="25" s="1"/>
  <c r="J39" i="34"/>
  <c r="J12" i="34"/>
  <c r="I18" i="57"/>
  <c r="E18" i="57"/>
  <c r="G96" i="34"/>
  <c r="D109" i="34"/>
  <c r="G109" i="34" s="1"/>
  <c r="L38" i="59"/>
  <c r="I39" i="59"/>
  <c r="L43" i="59"/>
  <c r="I44" i="59"/>
  <c r="H27" i="34"/>
  <c r="I32" i="34"/>
  <c r="H33" i="34"/>
  <c r="I18" i="34"/>
  <c r="F44" i="34"/>
  <c r="I44" i="34" s="1"/>
  <c r="I14" i="34"/>
  <c r="F40" i="34"/>
  <c r="I40" i="34" s="1"/>
  <c r="K27" i="25"/>
  <c r="H19" i="34"/>
  <c r="E45" i="34"/>
  <c r="H45" i="34" s="1"/>
  <c r="M31" i="25"/>
  <c r="G154" i="34"/>
  <c r="H147" i="34"/>
  <c r="D30" i="25"/>
  <c r="R30" i="25"/>
  <c r="H141" i="34"/>
  <c r="H132" i="34"/>
  <c r="I119" i="34"/>
  <c r="G129" i="34"/>
  <c r="C29" i="25"/>
  <c r="J117" i="34"/>
  <c r="G93" i="34"/>
  <c r="D106" i="34"/>
  <c r="G106" i="34" s="1"/>
  <c r="K91" i="34"/>
  <c r="K90" i="34" s="1"/>
  <c r="K105" i="34"/>
  <c r="K104" i="34" s="1"/>
  <c r="I92" i="34"/>
  <c r="G94" i="34"/>
  <c r="D107" i="34"/>
  <c r="G107" i="34" s="1"/>
  <c r="I53" i="34"/>
  <c r="I52" i="34"/>
  <c r="I79" i="34"/>
  <c r="K77" i="34"/>
  <c r="I78" i="34"/>
  <c r="I75" i="34"/>
  <c r="G76" i="34"/>
  <c r="I12" i="57"/>
  <c r="L23" i="59"/>
  <c r="I23" i="59" s="1"/>
  <c r="I24" i="59"/>
  <c r="K12" i="34"/>
  <c r="K39" i="34"/>
  <c r="K38" i="34" s="1"/>
  <c r="H18" i="34"/>
  <c r="E44" i="34"/>
  <c r="H44" i="34" s="1"/>
  <c r="G21" i="57"/>
  <c r="I23" i="57"/>
  <c r="E23" i="57"/>
  <c r="M25" i="34"/>
  <c r="L25" i="34"/>
  <c r="J25" i="34"/>
  <c r="E40" i="34"/>
  <c r="H40" i="34" s="1"/>
  <c r="H14" i="34"/>
  <c r="I157" i="34"/>
  <c r="I156" i="34"/>
  <c r="M117" i="34"/>
  <c r="I121" i="34"/>
  <c r="I33" i="34"/>
  <c r="I30" i="34"/>
  <c r="I31" i="34"/>
  <c r="H15" i="34"/>
  <c r="E41" i="34"/>
  <c r="H41" i="34" s="1"/>
  <c r="G27" i="25"/>
  <c r="D50" i="34"/>
  <c r="G50" i="34" s="1"/>
  <c r="G24" i="34"/>
  <c r="L146" i="34"/>
  <c r="H136" i="34"/>
  <c r="U29" i="25"/>
  <c r="R29" i="25"/>
  <c r="U28" i="25"/>
  <c r="E116" i="34"/>
  <c r="H116" i="34" s="1"/>
  <c r="H103" i="34"/>
  <c r="J115" i="34"/>
  <c r="T28" i="25"/>
  <c r="E115" i="34"/>
  <c r="H115" i="34" s="1"/>
  <c r="H102" i="34"/>
  <c r="I63" i="34"/>
  <c r="G63" i="34"/>
  <c r="L77" i="34"/>
  <c r="H89" i="34"/>
  <c r="H88" i="34"/>
  <c r="K12" i="50"/>
  <c r="M21" i="48"/>
  <c r="M20" i="48"/>
  <c r="C21" i="48"/>
  <c r="G20" i="34"/>
  <c r="D46" i="34"/>
  <c r="G46" i="34" s="1"/>
  <c r="J49" i="34"/>
  <c r="T27" i="25"/>
  <c r="T26" i="25" s="1"/>
  <c r="F31" i="25"/>
  <c r="G149" i="34"/>
  <c r="S13" i="51"/>
  <c r="S11" i="51" s="1"/>
  <c r="Q11" i="51"/>
  <c r="Q10" i="51" s="1"/>
  <c r="H35" i="34"/>
  <c r="E49" i="34"/>
  <c r="H49" i="34" s="1"/>
  <c r="H23" i="34"/>
  <c r="M39" i="34"/>
  <c r="M38" i="34" s="1"/>
  <c r="M12" i="34"/>
  <c r="H31" i="25"/>
  <c r="G151" i="34"/>
  <c r="L13" i="59"/>
  <c r="I14" i="59"/>
  <c r="E39" i="34"/>
  <c r="H39" i="34" s="1"/>
  <c r="H13" i="34"/>
  <c r="H21" i="34"/>
  <c r="E47" i="34"/>
  <c r="H47" i="34" s="1"/>
  <c r="G150" i="34"/>
  <c r="G31" i="25"/>
  <c r="G158" i="34"/>
  <c r="U31" i="25"/>
  <c r="U30" i="25"/>
  <c r="H143" i="34"/>
  <c r="H138" i="34"/>
  <c r="O29" i="25"/>
  <c r="M29" i="25"/>
  <c r="R28" i="25"/>
  <c r="E114" i="34"/>
  <c r="H114" i="34" s="1"/>
  <c r="H101" i="34"/>
  <c r="O28" i="25"/>
  <c r="E113" i="34"/>
  <c r="H113" i="34" s="1"/>
  <c r="H100" i="34"/>
  <c r="H61" i="34"/>
  <c r="H86" i="34"/>
  <c r="G75" i="34"/>
  <c r="M64" i="34"/>
  <c r="H69" i="34"/>
  <c r="K11" i="50"/>
  <c r="E10" i="50"/>
  <c r="K10" i="50" s="1"/>
  <c r="C46" i="65"/>
  <c r="J50" i="34"/>
  <c r="U27" i="25"/>
  <c r="U26" i="25" s="1"/>
  <c r="R31" i="25"/>
  <c r="G156" i="34"/>
  <c r="I15" i="57"/>
  <c r="G13" i="57"/>
  <c r="E15" i="57"/>
  <c r="F46" i="34"/>
  <c r="I46" i="34" s="1"/>
  <c r="I20" i="34"/>
  <c r="U14" i="49"/>
  <c r="U11" i="49" s="1"/>
  <c r="Q11" i="49"/>
  <c r="Q10" i="49" s="1"/>
  <c r="G17" i="34"/>
  <c r="D43" i="34"/>
  <c r="G43" i="34" s="1"/>
  <c r="O31" i="25"/>
  <c r="G155" i="34"/>
  <c r="G92" i="34"/>
  <c r="D105" i="34"/>
  <c r="G105" i="34" s="1"/>
  <c r="H75" i="34"/>
  <c r="K23" i="59"/>
  <c r="H23" i="59" s="1"/>
  <c r="H24" i="59"/>
  <c r="E42" i="34"/>
  <c r="H42" i="34" s="1"/>
  <c r="H16" i="34"/>
  <c r="I128" i="34"/>
  <c r="K13" i="59"/>
  <c r="H14" i="59"/>
  <c r="D11" i="57"/>
  <c r="L17" i="59"/>
  <c r="I17" i="59" s="1"/>
  <c r="I18" i="59"/>
  <c r="H36" i="34"/>
  <c r="K25" i="34"/>
  <c r="L12" i="34"/>
  <c r="L39" i="34"/>
  <c r="L38" i="34" s="1"/>
  <c r="F43" i="34"/>
  <c r="I43" i="34" s="1"/>
  <c r="I17" i="34"/>
  <c r="D27" i="25"/>
  <c r="G14" i="34"/>
  <c r="D40" i="34"/>
  <c r="G40" i="34" s="1"/>
  <c r="G21" i="34"/>
  <c r="D47" i="34"/>
  <c r="G47" i="34" s="1"/>
  <c r="H150" i="34"/>
  <c r="G153" i="34"/>
  <c r="K31" i="25"/>
  <c r="K146" i="34"/>
  <c r="H30" i="25"/>
  <c r="M30" i="25"/>
  <c r="T30" i="25"/>
  <c r="I30" i="25"/>
  <c r="C30" i="25"/>
  <c r="J131" i="34"/>
  <c r="J130" i="34" s="1"/>
  <c r="L117" i="34"/>
  <c r="K29" i="25"/>
  <c r="G126" i="34"/>
  <c r="G125" i="34"/>
  <c r="I29" i="25"/>
  <c r="H125" i="34"/>
  <c r="J112" i="34"/>
  <c r="M28" i="25"/>
  <c r="H99" i="34"/>
  <c r="E112" i="34"/>
  <c r="H112" i="34" s="1"/>
  <c r="J111" i="34"/>
  <c r="K28" i="25"/>
  <c r="H98" i="34"/>
  <c r="E111" i="34"/>
  <c r="H111" i="34" s="1"/>
  <c r="I62" i="34"/>
  <c r="L51" i="34"/>
  <c r="H56" i="34"/>
  <c r="I59" i="34"/>
  <c r="H85" i="34"/>
  <c r="G73" i="34"/>
  <c r="H72" i="34"/>
  <c r="J12" i="50"/>
  <c r="D11" i="50"/>
  <c r="H158" i="34"/>
  <c r="I147" i="34"/>
  <c r="H140" i="34"/>
  <c r="H137" i="34"/>
  <c r="F29" i="25"/>
  <c r="H29" i="25"/>
  <c r="G124" i="34"/>
  <c r="H119" i="34"/>
  <c r="G29" i="25"/>
  <c r="H123" i="34"/>
  <c r="J110" i="34"/>
  <c r="I28" i="25" s="1"/>
  <c r="I26" i="25" s="1"/>
  <c r="H97" i="34"/>
  <c r="E110" i="34"/>
  <c r="H110" i="34" s="1"/>
  <c r="H28" i="25"/>
  <c r="H96" i="34"/>
  <c r="E109" i="34"/>
  <c r="H109" i="34" s="1"/>
  <c r="I60" i="34"/>
  <c r="H83" i="34"/>
  <c r="H82" i="34"/>
  <c r="J64" i="34"/>
  <c r="I70" i="34"/>
  <c r="C12" i="57"/>
  <c r="L11" i="49"/>
  <c r="E10" i="49"/>
  <c r="L10" i="49" s="1"/>
  <c r="K21" i="48"/>
  <c r="K17" i="52"/>
  <c r="E11" i="52"/>
  <c r="H121" i="34"/>
  <c r="J108" i="34"/>
  <c r="G28" i="25"/>
  <c r="E108" i="34"/>
  <c r="H108" i="34" s="1"/>
  <c r="H95" i="34"/>
  <c r="F28" i="25"/>
  <c r="H94" i="34"/>
  <c r="E107" i="34"/>
  <c r="H107" i="34" s="1"/>
  <c r="G62" i="34"/>
  <c r="J51" i="34"/>
  <c r="H81" i="34"/>
  <c r="L64" i="34"/>
  <c r="H76" i="34"/>
  <c r="K131" i="34"/>
  <c r="K130" i="34" s="1"/>
  <c r="K117" i="34"/>
  <c r="L91" i="34"/>
  <c r="L90" i="34" s="1"/>
  <c r="J106" i="34"/>
  <c r="D28" i="25"/>
  <c r="H93" i="34"/>
  <c r="E106" i="34"/>
  <c r="H106" i="34" s="1"/>
  <c r="M91" i="34"/>
  <c r="M90" i="34" s="1"/>
  <c r="M105" i="34"/>
  <c r="M104" i="34" s="1"/>
  <c r="J105" i="34"/>
  <c r="J91" i="34"/>
  <c r="H92" i="34"/>
  <c r="E105" i="34"/>
  <c r="H105" i="34" s="1"/>
  <c r="H79" i="34"/>
  <c r="M77" i="34"/>
  <c r="J77" i="34"/>
  <c r="H78" i="34"/>
  <c r="H71" i="34"/>
  <c r="I74" i="34"/>
  <c r="H65" i="34"/>
  <c r="G14" i="49"/>
  <c r="J14" i="49"/>
  <c r="I14" i="49"/>
  <c r="H14" i="49"/>
  <c r="K14" i="49"/>
  <c r="D11" i="49"/>
  <c r="C47" i="109"/>
  <c r="H20" i="52"/>
  <c r="J20" i="52"/>
  <c r="I20" i="52"/>
  <c r="G20" i="52"/>
  <c r="D17" i="52"/>
  <c r="I29" i="57"/>
  <c r="F14" i="124"/>
  <c r="D14" i="124" s="1"/>
  <c r="I43" i="25" l="1"/>
  <c r="I39" i="25" s="1"/>
  <c r="I10" i="25"/>
  <c r="M43" i="25"/>
  <c r="M39" i="25" s="1"/>
  <c r="M10" i="25"/>
  <c r="F10" i="25"/>
  <c r="F43" i="25"/>
  <c r="F39" i="25" s="1"/>
  <c r="T10" i="25"/>
  <c r="T43" i="25"/>
  <c r="T39" i="25" s="1"/>
  <c r="J104" i="34"/>
  <c r="J90" i="34" s="1"/>
  <c r="I13" i="57"/>
  <c r="E13" i="47" s="1"/>
  <c r="E13" i="57"/>
  <c r="J38" i="34"/>
  <c r="J11" i="34" s="1"/>
  <c r="G28" i="57"/>
  <c r="I30" i="57"/>
  <c r="E30" i="57"/>
  <c r="L12" i="59"/>
  <c r="I13" i="59"/>
  <c r="H43" i="25"/>
  <c r="H39" i="25" s="1"/>
  <c r="H10" i="25"/>
  <c r="G17" i="52"/>
  <c r="H17" i="52"/>
  <c r="J17" i="52"/>
  <c r="I17" i="52"/>
  <c r="D11" i="52"/>
  <c r="G26" i="25"/>
  <c r="R26" i="25"/>
  <c r="J302" i="56"/>
  <c r="J281" i="56"/>
  <c r="G306" i="56"/>
  <c r="G281" i="56" s="1"/>
  <c r="M11" i="34"/>
  <c r="M10" i="34" s="1"/>
  <c r="G11" i="57"/>
  <c r="I10" i="53"/>
  <c r="H10" i="53"/>
  <c r="J10" i="53"/>
  <c r="G10" i="53"/>
  <c r="L42" i="59"/>
  <c r="I42" i="59" s="1"/>
  <c r="I43" i="59"/>
  <c r="F11" i="57"/>
  <c r="U43" i="25"/>
  <c r="U39" i="25" s="1"/>
  <c r="U10" i="25"/>
  <c r="H11" i="51"/>
  <c r="G11" i="51"/>
  <c r="I11" i="51"/>
  <c r="D10" i="51"/>
  <c r="J11" i="51"/>
  <c r="E10" i="52"/>
  <c r="K10" i="52" s="1"/>
  <c r="K11" i="52"/>
  <c r="L11" i="34"/>
  <c r="L10" i="34" s="1"/>
  <c r="E12" i="57"/>
  <c r="C11" i="57"/>
  <c r="L37" i="59"/>
  <c r="I38" i="59"/>
  <c r="F13" i="57"/>
  <c r="J282" i="56"/>
  <c r="G307" i="56"/>
  <c r="G282" i="56" s="1"/>
  <c r="C47" i="65"/>
  <c r="D10" i="50"/>
  <c r="J10" i="50" s="1"/>
  <c r="J11" i="50"/>
  <c r="F49" i="22"/>
  <c r="K12" i="59"/>
  <c r="H13" i="59"/>
  <c r="G20" i="57"/>
  <c r="I21" i="57"/>
  <c r="E21" i="57"/>
  <c r="F48" i="22"/>
  <c r="K26" i="25"/>
  <c r="F50" i="22"/>
  <c r="L19" i="59"/>
  <c r="I19" i="59" s="1"/>
  <c r="I20" i="59"/>
  <c r="L32" i="59"/>
  <c r="I33" i="59"/>
  <c r="K50" i="59"/>
  <c r="H51" i="59"/>
  <c r="K32" i="59"/>
  <c r="H33" i="59"/>
  <c r="I31" i="47"/>
  <c r="E30" i="47"/>
  <c r="E50" i="109" s="1"/>
  <c r="E50" i="65" s="1"/>
  <c r="P49" i="70" s="1"/>
  <c r="Q49" i="70" s="1"/>
  <c r="K11" i="49"/>
  <c r="G11" i="49"/>
  <c r="J11" i="49"/>
  <c r="D10" i="49"/>
  <c r="I11" i="49"/>
  <c r="H11" i="49"/>
  <c r="D26" i="25"/>
  <c r="D45" i="70"/>
  <c r="E45" i="70" s="1"/>
  <c r="K19" i="59"/>
  <c r="H20" i="59"/>
  <c r="O26" i="25"/>
  <c r="J415" i="56"/>
  <c r="J423" i="56"/>
  <c r="J416" i="56" s="1"/>
  <c r="G427" i="56"/>
  <c r="L50" i="59"/>
  <c r="I51" i="59"/>
  <c r="C12" i="47"/>
  <c r="U10" i="49"/>
  <c r="S10" i="51"/>
  <c r="C18" i="47"/>
  <c r="K11" i="51"/>
  <c r="K37" i="59"/>
  <c r="H38" i="59"/>
  <c r="K10" i="51"/>
  <c r="K43" i="59"/>
  <c r="H44" i="59"/>
  <c r="C10" i="127"/>
  <c r="D29" i="57"/>
  <c r="D28" i="57" s="1"/>
  <c r="H28" i="57"/>
  <c r="I28" i="57" s="1"/>
  <c r="I32" i="47"/>
  <c r="C30" i="47"/>
  <c r="C28" i="25"/>
  <c r="F47" i="22" s="1"/>
  <c r="K11" i="34"/>
  <c r="K10" i="34" s="1"/>
  <c r="C27" i="25"/>
  <c r="F21" i="57"/>
  <c r="D20" i="57"/>
  <c r="F20" i="57" s="1"/>
  <c r="E29" i="57"/>
  <c r="C28" i="57"/>
  <c r="E28" i="57" s="1"/>
  <c r="G10" i="126"/>
  <c r="H10" i="126"/>
  <c r="C30" i="128"/>
  <c r="C23" i="128"/>
  <c r="C21" i="128" s="1"/>
  <c r="C10" i="128" s="1"/>
  <c r="C67" i="109"/>
  <c r="F16" i="124"/>
  <c r="D16" i="124" s="1"/>
  <c r="C66" i="65" l="1"/>
  <c r="O67" i="109"/>
  <c r="N11" i="50"/>
  <c r="H12" i="50"/>
  <c r="O10" i="25"/>
  <c r="O43" i="25"/>
  <c r="O39" i="25" s="1"/>
  <c r="I11" i="57"/>
  <c r="G11" i="124"/>
  <c r="F13" i="124"/>
  <c r="F45" i="70"/>
  <c r="J331" i="56"/>
  <c r="J327" i="56" s="1"/>
  <c r="J320" i="56" s="1"/>
  <c r="D22" i="47" s="1"/>
  <c r="I22" i="47" s="1"/>
  <c r="J411" i="56"/>
  <c r="J404" i="56" s="1"/>
  <c r="R49" i="70"/>
  <c r="G10" i="51"/>
  <c r="I10" i="51"/>
  <c r="H10" i="51"/>
  <c r="J10" i="51"/>
  <c r="K31" i="59"/>
  <c r="H32" i="59"/>
  <c r="C11" i="126"/>
  <c r="D43" i="25"/>
  <c r="D39" i="25" s="1"/>
  <c r="D10" i="25"/>
  <c r="K49" i="59"/>
  <c r="H50" i="59"/>
  <c r="K11" i="59"/>
  <c r="D12" i="47"/>
  <c r="H12" i="59"/>
  <c r="C50" i="109"/>
  <c r="I30" i="47"/>
  <c r="M11" i="50"/>
  <c r="O12" i="50"/>
  <c r="G12" i="50"/>
  <c r="D46" i="70"/>
  <c r="E46" i="70" s="1"/>
  <c r="C11" i="47"/>
  <c r="D24" i="73"/>
  <c r="E24" i="73" s="1"/>
  <c r="O49" i="22"/>
  <c r="L36" i="59"/>
  <c r="I36" i="59" s="1"/>
  <c r="I37" i="59"/>
  <c r="D13" i="47"/>
  <c r="I13" i="47" s="1"/>
  <c r="H19" i="59"/>
  <c r="L31" i="59"/>
  <c r="E16" i="47" s="1"/>
  <c r="E14" i="47" s="1"/>
  <c r="E44" i="109" s="1"/>
  <c r="E44" i="65" s="1"/>
  <c r="P43" i="70" s="1"/>
  <c r="Q43" i="70" s="1"/>
  <c r="I32" i="59"/>
  <c r="E11" i="57"/>
  <c r="C10" i="57"/>
  <c r="J295" i="56"/>
  <c r="J277" i="56"/>
  <c r="G302" i="56"/>
  <c r="L11" i="59"/>
  <c r="I12" i="59"/>
  <c r="D22" i="73"/>
  <c r="E22" i="73" s="1"/>
  <c r="O47" i="22"/>
  <c r="K43" i="25"/>
  <c r="K39" i="25" s="1"/>
  <c r="K10" i="25"/>
  <c r="D23" i="73"/>
  <c r="E23" i="73" s="1"/>
  <c r="O48" i="22"/>
  <c r="F28" i="57"/>
  <c r="C17" i="47"/>
  <c r="I20" i="57"/>
  <c r="E20" i="57"/>
  <c r="K42" i="59"/>
  <c r="H43" i="59"/>
  <c r="L49" i="59"/>
  <c r="I50" i="59"/>
  <c r="I10" i="49"/>
  <c r="H10" i="49"/>
  <c r="G10" i="49"/>
  <c r="J10" i="49"/>
  <c r="K10" i="49"/>
  <c r="R10" i="25"/>
  <c r="R43" i="25"/>
  <c r="R39" i="25" s="1"/>
  <c r="C26" i="25"/>
  <c r="C43" i="25" s="1"/>
  <c r="F46" i="22"/>
  <c r="G415" i="56"/>
  <c r="G423" i="56"/>
  <c r="E12" i="47"/>
  <c r="E11" i="47" s="1"/>
  <c r="E19" i="47"/>
  <c r="D18" i="47"/>
  <c r="I18" i="47" s="1"/>
  <c r="H37" i="59"/>
  <c r="F11" i="126"/>
  <c r="F10" i="126" s="1"/>
  <c r="D12" i="1" s="1"/>
  <c r="O50" i="22"/>
  <c r="D25" i="73"/>
  <c r="E25" i="73" s="1"/>
  <c r="G43" i="25"/>
  <c r="G39" i="25" s="1"/>
  <c r="G10" i="25"/>
  <c r="J11" i="52"/>
  <c r="H11" i="52"/>
  <c r="G11" i="52"/>
  <c r="D10" i="52"/>
  <c r="I11" i="52"/>
  <c r="J10" i="34"/>
  <c r="E18" i="47"/>
  <c r="E17" i="47" s="1"/>
  <c r="E45" i="109" s="1"/>
  <c r="E45" i="65" s="1"/>
  <c r="P44" i="70" s="1"/>
  <c r="Q44" i="70" s="1"/>
  <c r="F18" i="124"/>
  <c r="R43" i="70" l="1"/>
  <c r="F11" i="124"/>
  <c r="D13" i="124"/>
  <c r="D11" i="124" s="1"/>
  <c r="G411" i="56"/>
  <c r="G331" i="56"/>
  <c r="G327" i="56" s="1"/>
  <c r="S12" i="50"/>
  <c r="S11" i="50" s="1"/>
  <c r="O11" i="50"/>
  <c r="I12" i="50"/>
  <c r="F45" i="22"/>
  <c r="O46" i="22"/>
  <c r="D21" i="73"/>
  <c r="E21" i="73" s="1"/>
  <c r="K36" i="59"/>
  <c r="H36" i="59" s="1"/>
  <c r="D19" i="47"/>
  <c r="I19" i="47" s="1"/>
  <c r="H42" i="59"/>
  <c r="M10" i="50"/>
  <c r="G10" i="50" s="1"/>
  <c r="G11" i="50"/>
  <c r="D16" i="47"/>
  <c r="K25" i="59"/>
  <c r="H25" i="59" s="1"/>
  <c r="H31" i="59"/>
  <c r="L48" i="59"/>
  <c r="I48" i="59" s="1"/>
  <c r="E21" i="47"/>
  <c r="E20" i="47" s="1"/>
  <c r="E46" i="109" s="1"/>
  <c r="E46" i="65" s="1"/>
  <c r="P45" i="70" s="1"/>
  <c r="Q45" i="70" s="1"/>
  <c r="I49" i="59"/>
  <c r="E11" i="126"/>
  <c r="C10" i="126"/>
  <c r="E10" i="126" s="1"/>
  <c r="F22" i="73"/>
  <c r="W43" i="25"/>
  <c r="I11" i="59"/>
  <c r="C50" i="65"/>
  <c r="O50" i="109"/>
  <c r="F25" i="73"/>
  <c r="J270" i="56"/>
  <c r="J269" i="56" s="1"/>
  <c r="J10" i="56" s="1"/>
  <c r="G277" i="56"/>
  <c r="F24" i="73"/>
  <c r="D18" i="124"/>
  <c r="D17" i="124" s="1"/>
  <c r="F17" i="124"/>
  <c r="G17" i="124" s="1"/>
  <c r="G10" i="124" s="1"/>
  <c r="C29" i="47" s="1"/>
  <c r="C45" i="109"/>
  <c r="I12" i="47"/>
  <c r="D11" i="47"/>
  <c r="D11" i="1"/>
  <c r="J12" i="1"/>
  <c r="I11" i="47"/>
  <c r="C43" i="109"/>
  <c r="H11" i="59"/>
  <c r="N10" i="50"/>
  <c r="H10" i="50" s="1"/>
  <c r="H11" i="50"/>
  <c r="F23" i="73"/>
  <c r="K48" i="59"/>
  <c r="H48" i="59" s="1"/>
  <c r="D21" i="47"/>
  <c r="H49" i="59"/>
  <c r="R44" i="70"/>
  <c r="D17" i="47"/>
  <c r="D45" i="109" s="1"/>
  <c r="D45" i="65" s="1"/>
  <c r="J44" i="70" s="1"/>
  <c r="K44" i="70" s="1"/>
  <c r="J10" i="52"/>
  <c r="G10" i="52"/>
  <c r="H10" i="52"/>
  <c r="I10" i="52"/>
  <c r="E43" i="109"/>
  <c r="E43" i="65" s="1"/>
  <c r="P42" i="70" s="1"/>
  <c r="Q42" i="70" s="1"/>
  <c r="L25" i="59"/>
  <c r="I25" i="59" s="1"/>
  <c r="I31" i="59"/>
  <c r="F46" i="70"/>
  <c r="K66" i="65"/>
  <c r="D65" i="70"/>
  <c r="E65" i="70" s="1"/>
  <c r="R42" i="70" l="1"/>
  <c r="J11" i="1"/>
  <c r="D52" i="109"/>
  <c r="D43" i="109"/>
  <c r="D43" i="65" s="1"/>
  <c r="J42" i="70" s="1"/>
  <c r="K42" i="70" s="1"/>
  <c r="R45" i="70"/>
  <c r="O45" i="22"/>
  <c r="F28" i="109"/>
  <c r="D20" i="47"/>
  <c r="I21" i="47"/>
  <c r="F21" i="73"/>
  <c r="I17" i="47"/>
  <c r="C45" i="65"/>
  <c r="O45" i="109"/>
  <c r="O10" i="50"/>
  <c r="I10" i="50" s="1"/>
  <c r="I11" i="50"/>
  <c r="C15" i="47"/>
  <c r="S10" i="50"/>
  <c r="D14" i="47"/>
  <c r="D44" i="109" s="1"/>
  <c r="D44" i="65" s="1"/>
  <c r="J43" i="70" s="1"/>
  <c r="K43" i="70" s="1"/>
  <c r="I16" i="47"/>
  <c r="L44" i="70"/>
  <c r="F65" i="70"/>
  <c r="D10" i="124"/>
  <c r="D49" i="70"/>
  <c r="E49" i="70" s="1"/>
  <c r="K50" i="65"/>
  <c r="C49" i="109"/>
  <c r="I29" i="47"/>
  <c r="C43" i="65"/>
  <c r="O43" i="109"/>
  <c r="F10" i="124"/>
  <c r="F10" i="127" l="1"/>
  <c r="D11" i="127"/>
  <c r="I15" i="47"/>
  <c r="C14" i="47"/>
  <c r="G10" i="127"/>
  <c r="E11" i="127"/>
  <c r="F49" i="70"/>
  <c r="H49" i="70"/>
  <c r="F28" i="65"/>
  <c r="K28" i="65" s="1"/>
  <c r="O28" i="109"/>
  <c r="D22" i="128"/>
  <c r="G21" i="128"/>
  <c r="H21" i="128"/>
  <c r="E22" i="128"/>
  <c r="D23" i="1"/>
  <c r="J23" i="1" s="1"/>
  <c r="F11" i="129"/>
  <c r="O49" i="109"/>
  <c r="C49" i="65"/>
  <c r="D22" i="1"/>
  <c r="F10" i="129"/>
  <c r="D44" i="70"/>
  <c r="E44" i="70" s="1"/>
  <c r="K45" i="65"/>
  <c r="L42" i="70"/>
  <c r="F22" i="128"/>
  <c r="I21" i="128"/>
  <c r="D52" i="65"/>
  <c r="O52" i="109"/>
  <c r="E22" i="1"/>
  <c r="E21" i="1" s="1"/>
  <c r="E55" i="109" s="1"/>
  <c r="E55" i="65" s="1"/>
  <c r="P54" i="70" s="1"/>
  <c r="Q54" i="70" s="1"/>
  <c r="G10" i="129"/>
  <c r="D12" i="43"/>
  <c r="D42" i="70"/>
  <c r="E42" i="70" s="1"/>
  <c r="K43" i="65"/>
  <c r="D27" i="128"/>
  <c r="G23" i="128"/>
  <c r="D23" i="128" s="1"/>
  <c r="D31" i="128"/>
  <c r="G30" i="128"/>
  <c r="D30" i="128" s="1"/>
  <c r="L43" i="70"/>
  <c r="D46" i="109"/>
  <c r="I20" i="47"/>
  <c r="F12" i="43"/>
  <c r="E36" i="38" s="1"/>
  <c r="J36" i="38" s="1"/>
  <c r="E14" i="43"/>
  <c r="C46" i="38"/>
  <c r="E38" i="38"/>
  <c r="J38" i="38" s="1"/>
  <c r="E37" i="38"/>
  <c r="J37" i="38" s="1"/>
  <c r="E23" i="43"/>
  <c r="D12" i="46"/>
  <c r="F21" i="43"/>
  <c r="E42" i="38" s="1"/>
  <c r="J42" i="38" s="1"/>
  <c r="E39" i="38"/>
  <c r="J39" i="38" s="1"/>
  <c r="E11" i="43" l="1"/>
  <c r="E35" i="38"/>
  <c r="F10" i="43"/>
  <c r="E13" i="43"/>
  <c r="D13" i="46"/>
  <c r="D46" i="65"/>
  <c r="O46" i="109"/>
  <c r="E12" i="43"/>
  <c r="E18" i="43"/>
  <c r="R54" i="70"/>
  <c r="D21" i="1"/>
  <c r="J22" i="1"/>
  <c r="D48" i="70"/>
  <c r="E48" i="70" s="1"/>
  <c r="K49" i="65"/>
  <c r="F42" i="70"/>
  <c r="J51" i="70"/>
  <c r="K51" i="70" s="1"/>
  <c r="K52" i="65"/>
  <c r="I10" i="128"/>
  <c r="F21" i="128"/>
  <c r="E16" i="1"/>
  <c r="E15" i="1" s="1"/>
  <c r="E10" i="127"/>
  <c r="G10" i="128"/>
  <c r="D21" i="128"/>
  <c r="J46" i="38"/>
  <c r="C39" i="109"/>
  <c r="C44" i="109"/>
  <c r="I14" i="47"/>
  <c r="C10" i="47"/>
  <c r="F44" i="70"/>
  <c r="E22" i="43"/>
  <c r="E16" i="43"/>
  <c r="E40" i="38"/>
  <c r="J40" i="38" s="1"/>
  <c r="E19" i="43"/>
  <c r="E17" i="43"/>
  <c r="D11" i="46"/>
  <c r="E10" i="46"/>
  <c r="C45" i="38" s="1"/>
  <c r="E21" i="128"/>
  <c r="H10" i="128"/>
  <c r="D16" i="1"/>
  <c r="D10" i="127"/>
  <c r="C53" i="11"/>
  <c r="P22" i="12"/>
  <c r="E45" i="15"/>
  <c r="K41" i="12"/>
  <c r="K42" i="12"/>
  <c r="F42" i="15"/>
  <c r="K26" i="12"/>
  <c r="K16" i="12"/>
  <c r="K13" i="12"/>
  <c r="K40" i="12"/>
  <c r="P34" i="12"/>
  <c r="E50" i="15"/>
  <c r="K37" i="12"/>
  <c r="F13" i="33"/>
  <c r="N37" i="12" l="1"/>
  <c r="P37" i="12" s="1"/>
  <c r="L37" i="12"/>
  <c r="K11" i="12"/>
  <c r="K17" i="12"/>
  <c r="L42" i="12"/>
  <c r="N42" i="12"/>
  <c r="P42" i="12" s="1"/>
  <c r="E53" i="109"/>
  <c r="E53" i="65" s="1"/>
  <c r="P52" i="70" s="1"/>
  <c r="Q52" i="70" s="1"/>
  <c r="H25" i="15"/>
  <c r="Q25" i="12"/>
  <c r="F28" i="15"/>
  <c r="H42" i="15"/>
  <c r="Q42" i="12"/>
  <c r="Q35" i="12"/>
  <c r="H35" i="15"/>
  <c r="D19" i="1"/>
  <c r="D18" i="1" s="1"/>
  <c r="D54" i="109" s="1"/>
  <c r="D54" i="65" s="1"/>
  <c r="J53" i="70" s="1"/>
  <c r="E10" i="128"/>
  <c r="N41" i="12"/>
  <c r="P41" i="12" s="1"/>
  <c r="L41" i="12"/>
  <c r="H47" i="15"/>
  <c r="G50" i="15"/>
  <c r="H50" i="15" s="1"/>
  <c r="Q47" i="12"/>
  <c r="N26" i="12"/>
  <c r="P26" i="12" s="1"/>
  <c r="L26" i="12"/>
  <c r="K24" i="12"/>
  <c r="K47" i="12"/>
  <c r="H24" i="15"/>
  <c r="Q24" i="12"/>
  <c r="C44" i="65"/>
  <c r="O44" i="109"/>
  <c r="L51" i="70"/>
  <c r="C13" i="25"/>
  <c r="C12" i="25" s="1"/>
  <c r="C11" i="25" s="1"/>
  <c r="G12" i="33"/>
  <c r="G11" i="33" s="1"/>
  <c r="G10" i="33" s="1"/>
  <c r="Q41" i="12"/>
  <c r="H41" i="15"/>
  <c r="K19" i="12"/>
  <c r="C10" i="38"/>
  <c r="C38" i="109"/>
  <c r="J45" i="38"/>
  <c r="J45" i="70"/>
  <c r="K45" i="70" s="1"/>
  <c r="K46" i="65"/>
  <c r="J16" i="1"/>
  <c r="D15" i="1"/>
  <c r="F10" i="128"/>
  <c r="E19" i="1"/>
  <c r="E18" i="1" s="1"/>
  <c r="E54" i="109" s="1"/>
  <c r="E54" i="65" s="1"/>
  <c r="P53" i="70" s="1"/>
  <c r="Q22" i="12"/>
  <c r="G31" i="15"/>
  <c r="H22" i="15"/>
  <c r="K52" i="12"/>
  <c r="E31" i="15"/>
  <c r="E55" i="15" s="1"/>
  <c r="H26" i="15"/>
  <c r="Q26" i="12"/>
  <c r="R26" i="12" s="1"/>
  <c r="S26" i="12" s="1"/>
  <c r="T26" i="12" s="1"/>
  <c r="H28" i="15"/>
  <c r="Q28" i="12"/>
  <c r="N13" i="12"/>
  <c r="P13" i="12" s="1"/>
  <c r="R13" i="12" s="1"/>
  <c r="S13" i="12" s="1"/>
  <c r="T13" i="12" s="1"/>
  <c r="L13" i="12"/>
  <c r="C42" i="109"/>
  <c r="I50" i="15"/>
  <c r="F50" i="15" s="1"/>
  <c r="F47" i="15"/>
  <c r="K35" i="12"/>
  <c r="K28" i="12"/>
  <c r="F35" i="15"/>
  <c r="I45" i="15"/>
  <c r="F45" i="15" s="1"/>
  <c r="C39" i="65"/>
  <c r="O39" i="109"/>
  <c r="N16" i="12"/>
  <c r="P16" i="12" s="1"/>
  <c r="R16" i="12" s="1"/>
  <c r="S16" i="12" s="1"/>
  <c r="T16" i="12" s="1"/>
  <c r="L16" i="12"/>
  <c r="C25" i="42"/>
  <c r="G45" i="15"/>
  <c r="H45" i="15" s="1"/>
  <c r="Q34" i="12"/>
  <c r="H34" i="15"/>
  <c r="F48" i="70"/>
  <c r="L40" i="12"/>
  <c r="N40" i="12"/>
  <c r="P40" i="12" s="1"/>
  <c r="R40" i="12" s="1"/>
  <c r="S40" i="12" s="1"/>
  <c r="T40" i="12" s="1"/>
  <c r="E64" i="132"/>
  <c r="H64" i="132"/>
  <c r="C31" i="22" s="1"/>
  <c r="Q37" i="12"/>
  <c r="R37" i="12" s="1"/>
  <c r="S37" i="12" s="1"/>
  <c r="T37" i="12" s="1"/>
  <c r="H37" i="15"/>
  <c r="K15" i="12"/>
  <c r="J35" i="38"/>
  <c r="E34" i="38"/>
  <c r="F41" i="15"/>
  <c r="H36" i="132"/>
  <c r="H35" i="132"/>
  <c r="C24" i="22" s="1"/>
  <c r="H39" i="132"/>
  <c r="H45" i="132"/>
  <c r="H42" i="132" s="1"/>
  <c r="I31" i="15"/>
  <c r="F26" i="15"/>
  <c r="K21" i="12"/>
  <c r="K20" i="12"/>
  <c r="K25" i="12"/>
  <c r="D10" i="128"/>
  <c r="C19" i="1"/>
  <c r="J21" i="1"/>
  <c r="D55" i="109"/>
  <c r="E33" i="132"/>
  <c r="K22" i="132"/>
  <c r="L22" i="132"/>
  <c r="I164" i="34"/>
  <c r="H164" i="34"/>
  <c r="F28" i="33"/>
  <c r="E63" i="132"/>
  <c r="J163" i="34"/>
  <c r="K163" i="34"/>
  <c r="K173" i="34"/>
  <c r="K170" i="34" s="1"/>
  <c r="K165" i="34" s="1"/>
  <c r="M163" i="34"/>
  <c r="M162" i="34" s="1"/>
  <c r="L163" i="34"/>
  <c r="L162" i="34" s="1"/>
  <c r="R34" i="41"/>
  <c r="H20" i="41"/>
  <c r="H15" i="41" s="1"/>
  <c r="H10" i="41" s="1"/>
  <c r="H48" i="41" s="1"/>
  <c r="N20" i="41"/>
  <c r="N15" i="41" s="1"/>
  <c r="N10" i="41" s="1"/>
  <c r="R35" i="41"/>
  <c r="R36" i="41"/>
  <c r="J20" i="41"/>
  <c r="J15" i="41" s="1"/>
  <c r="J10" i="41" s="1"/>
  <c r="R37" i="41"/>
  <c r="K20" i="41"/>
  <c r="K15" i="41" s="1"/>
  <c r="K10" i="41" s="1"/>
  <c r="I28" i="41"/>
  <c r="I27" i="41" s="1"/>
  <c r="L20" i="41"/>
  <c r="L15" i="41" s="1"/>
  <c r="L10" i="41" s="1"/>
  <c r="J28" i="41"/>
  <c r="J27" i="41" s="1"/>
  <c r="J30" i="41"/>
  <c r="K28" i="41"/>
  <c r="K27" i="41" s="1"/>
  <c r="K30" i="41"/>
  <c r="R22" i="41"/>
  <c r="L28" i="41"/>
  <c r="L27" i="41" s="1"/>
  <c r="L30" i="41"/>
  <c r="O28" i="41"/>
  <c r="O27" i="41" s="1"/>
  <c r="Q28" i="41"/>
  <c r="Q27" i="41" s="1"/>
  <c r="N30" i="41"/>
  <c r="N48" i="41" s="1"/>
  <c r="N49" i="41" s="1"/>
  <c r="O30" i="41"/>
  <c r="O48" i="41" s="1"/>
  <c r="R33" i="41"/>
  <c r="Q30" i="41"/>
  <c r="G22" i="40"/>
  <c r="E22" i="41" s="1"/>
  <c r="G29" i="40"/>
  <c r="E29" i="41" s="1"/>
  <c r="G23" i="40"/>
  <c r="E23" i="41" s="1"/>
  <c r="G26" i="40"/>
  <c r="E26" i="41" s="1"/>
  <c r="G21" i="40"/>
  <c r="E21" i="41" s="1"/>
  <c r="J49" i="41"/>
  <c r="K49" i="41"/>
  <c r="L49" i="41"/>
  <c r="W47" i="41"/>
  <c r="V47" i="41"/>
  <c r="C26" i="10"/>
  <c r="C27" i="10"/>
  <c r="C15" i="10" s="1"/>
  <c r="C104" i="10"/>
  <c r="H98" i="132"/>
  <c r="C58" i="22" s="1"/>
  <c r="E31" i="38"/>
  <c r="J31" i="38" s="1"/>
  <c r="G28" i="39"/>
  <c r="G27" i="39" s="1"/>
  <c r="D19" i="38" s="1"/>
  <c r="J19" i="38" s="1"/>
  <c r="G45" i="39"/>
  <c r="K28" i="40"/>
  <c r="K27" i="40" s="1"/>
  <c r="D29" i="38" s="1"/>
  <c r="K39" i="40"/>
  <c r="K30" i="40" s="1"/>
  <c r="D30" i="38" s="1"/>
  <c r="J30" i="38" s="1"/>
  <c r="C22" i="22"/>
  <c r="O22" i="22" s="1"/>
  <c r="K20" i="40"/>
  <c r="K15" i="40" s="1"/>
  <c r="G25" i="39"/>
  <c r="G24" i="39" s="1"/>
  <c r="D18" i="38" s="1"/>
  <c r="J18" i="38" s="1"/>
  <c r="K25" i="40"/>
  <c r="K24" i="40" s="1"/>
  <c r="D28" i="38" s="1"/>
  <c r="J28" i="38" s="1"/>
  <c r="K45" i="40"/>
  <c r="X30" i="41"/>
  <c r="E30" i="38" s="1"/>
  <c r="G20" i="39"/>
  <c r="G15" i="39" s="1"/>
  <c r="Y17" i="25"/>
  <c r="Y16" i="25" s="1"/>
  <c r="X20" i="41" l="1"/>
  <c r="R46" i="41"/>
  <c r="M45" i="41"/>
  <c r="R45" i="41" s="1"/>
  <c r="F46" i="132"/>
  <c r="E46" i="132"/>
  <c r="L20" i="12"/>
  <c r="N20" i="12"/>
  <c r="P20" i="12" s="1"/>
  <c r="R20" i="12" s="1"/>
  <c r="S20" i="12" s="1"/>
  <c r="T20" i="12" s="1"/>
  <c r="L15" i="12"/>
  <c r="N15" i="12"/>
  <c r="P15" i="12" s="1"/>
  <c r="R15" i="12" s="1"/>
  <c r="S15" i="12" s="1"/>
  <c r="T15" i="12" s="1"/>
  <c r="R22" i="12"/>
  <c r="S22" i="12" s="1"/>
  <c r="T22" i="12" s="1"/>
  <c r="Q31" i="12"/>
  <c r="L66" i="59"/>
  <c r="I67" i="59"/>
  <c r="C38" i="40"/>
  <c r="J38" i="40" s="1"/>
  <c r="C38" i="41"/>
  <c r="U38" i="41" s="1"/>
  <c r="I30" i="41"/>
  <c r="R38" i="41"/>
  <c r="F27" i="45"/>
  <c r="N21" i="12"/>
  <c r="P21" i="12" s="1"/>
  <c r="R21" i="12" s="1"/>
  <c r="S21" i="12" s="1"/>
  <c r="T21" i="12" s="1"/>
  <c r="L21" i="12"/>
  <c r="C42" i="65"/>
  <c r="H48" i="57"/>
  <c r="D50" i="57"/>
  <c r="D48" i="57" s="1"/>
  <c r="F48" i="57" s="1"/>
  <c r="C36" i="22"/>
  <c r="H72" i="132"/>
  <c r="G69" i="10"/>
  <c r="C29" i="10"/>
  <c r="F69" i="10"/>
  <c r="C68" i="10"/>
  <c r="C60" i="10" s="1"/>
  <c r="C40" i="10"/>
  <c r="C36" i="40"/>
  <c r="J36" i="40" s="1"/>
  <c r="C36" i="41"/>
  <c r="F36" i="39"/>
  <c r="F37" i="39"/>
  <c r="C37" i="40"/>
  <c r="J37" i="40" s="1"/>
  <c r="C37" i="41"/>
  <c r="G164" i="34"/>
  <c r="G23" i="132"/>
  <c r="E23" i="132"/>
  <c r="F23" i="132"/>
  <c r="C40" i="25"/>
  <c r="C10" i="25"/>
  <c r="Q50" i="12"/>
  <c r="C22" i="40"/>
  <c r="J22" i="40" s="1"/>
  <c r="C22" i="41"/>
  <c r="F22" i="39"/>
  <c r="R43" i="41"/>
  <c r="M39" i="41"/>
  <c r="R39" i="41" s="1"/>
  <c r="F21" i="45"/>
  <c r="G24" i="132"/>
  <c r="O31" i="22"/>
  <c r="D53" i="109"/>
  <c r="J15" i="1"/>
  <c r="D10" i="1"/>
  <c r="C17" i="22"/>
  <c r="C102" i="10"/>
  <c r="C13" i="10" s="1"/>
  <c r="C105" i="10"/>
  <c r="C23" i="10"/>
  <c r="R23" i="41"/>
  <c r="X17" i="25"/>
  <c r="X16" i="25" s="1"/>
  <c r="G24" i="33"/>
  <c r="G23" i="33" s="1"/>
  <c r="G22" i="33" s="1"/>
  <c r="G39" i="39"/>
  <c r="G30" i="39" s="1"/>
  <c r="D20" i="38" s="1"/>
  <c r="J20" i="38" s="1"/>
  <c r="C96" i="10"/>
  <c r="C88" i="10" s="1"/>
  <c r="C12" i="10"/>
  <c r="F33" i="39"/>
  <c r="C33" i="40"/>
  <c r="J33" i="40" s="1"/>
  <c r="C33" i="41"/>
  <c r="Q48" i="41"/>
  <c r="Q49" i="41" s="1"/>
  <c r="L48" i="41"/>
  <c r="I55" i="15"/>
  <c r="F55" i="15" s="1"/>
  <c r="F31" i="15"/>
  <c r="E10" i="1"/>
  <c r="E51" i="109" s="1"/>
  <c r="E51" i="65" s="1"/>
  <c r="P50" i="70" s="1"/>
  <c r="Q50" i="70" s="1"/>
  <c r="O58" i="22"/>
  <c r="C57" i="22"/>
  <c r="C43" i="40"/>
  <c r="C43" i="41"/>
  <c r="F43" i="39"/>
  <c r="F25" i="33"/>
  <c r="F26" i="33"/>
  <c r="C30" i="22"/>
  <c r="C34" i="40"/>
  <c r="J34" i="40" s="1"/>
  <c r="C34" i="41"/>
  <c r="F34" i="39"/>
  <c r="F35" i="39"/>
  <c r="C35" i="40"/>
  <c r="J35" i="40" s="1"/>
  <c r="C35" i="41"/>
  <c r="K48" i="41"/>
  <c r="I31" i="22"/>
  <c r="AJ18" i="25"/>
  <c r="AJ16" i="25" s="1"/>
  <c r="C50" i="10"/>
  <c r="C29" i="41"/>
  <c r="C28" i="41" s="1"/>
  <c r="C27" i="41" s="1"/>
  <c r="C28" i="39"/>
  <c r="F29" i="39"/>
  <c r="C29" i="40"/>
  <c r="R29" i="41"/>
  <c r="F28" i="41"/>
  <c r="D38" i="70"/>
  <c r="E38" i="70" s="1"/>
  <c r="K39" i="65"/>
  <c r="R52" i="70"/>
  <c r="C16" i="10"/>
  <c r="X28" i="41"/>
  <c r="U29" i="41"/>
  <c r="Y41" i="25"/>
  <c r="Y39" i="25" s="1"/>
  <c r="Y10" i="25"/>
  <c r="C21" i="10"/>
  <c r="C11" i="10" s="1"/>
  <c r="C30" i="10"/>
  <c r="C81" i="10"/>
  <c r="C32" i="40"/>
  <c r="F32" i="39"/>
  <c r="C32" i="41"/>
  <c r="J48" i="41"/>
  <c r="L45" i="70"/>
  <c r="R41" i="12"/>
  <c r="S41" i="12" s="1"/>
  <c r="T41" i="12" s="1"/>
  <c r="F98" i="10"/>
  <c r="G98" i="10"/>
  <c r="F20" i="41"/>
  <c r="R21" i="41"/>
  <c r="D55" i="65"/>
  <c r="O55" i="109"/>
  <c r="K44" i="65"/>
  <c r="D43" i="70"/>
  <c r="E43" i="70" s="1"/>
  <c r="D27" i="38"/>
  <c r="K10" i="40"/>
  <c r="C26" i="41"/>
  <c r="C25" i="41" s="1"/>
  <c r="C24" i="41" s="1"/>
  <c r="C25" i="39"/>
  <c r="C26" i="40"/>
  <c r="F26" i="39"/>
  <c r="I54" i="22"/>
  <c r="AJ35" i="25"/>
  <c r="F14" i="45"/>
  <c r="F10" i="45" s="1"/>
  <c r="L28" i="12"/>
  <c r="N28" i="12"/>
  <c r="P28" i="12" s="1"/>
  <c r="R28" i="12" s="1"/>
  <c r="S28" i="12" s="1"/>
  <c r="T28" i="12" s="1"/>
  <c r="O38" i="109"/>
  <c r="C38" i="65"/>
  <c r="N17" i="12"/>
  <c r="P17" i="12" s="1"/>
  <c r="R17" i="12" s="1"/>
  <c r="S17" i="12" s="1"/>
  <c r="T17" i="12" s="1"/>
  <c r="L17" i="12"/>
  <c r="J22" i="132"/>
  <c r="E18" i="22"/>
  <c r="F120" i="10"/>
  <c r="C103" i="10"/>
  <c r="G120" i="10"/>
  <c r="C21" i="41"/>
  <c r="C20" i="41" s="1"/>
  <c r="C15" i="41" s="1"/>
  <c r="C10" i="41" s="1"/>
  <c r="F21" i="39"/>
  <c r="C15" i="39"/>
  <c r="C21" i="40"/>
  <c r="R32" i="41"/>
  <c r="M30" i="41"/>
  <c r="R30" i="41" s="1"/>
  <c r="C22" i="10"/>
  <c r="G84" i="10"/>
  <c r="F84" i="10"/>
  <c r="F23" i="39"/>
  <c r="C23" i="41"/>
  <c r="U23" i="41" s="1"/>
  <c r="C23" i="40"/>
  <c r="J23" i="40" s="1"/>
  <c r="M20" i="41"/>
  <c r="M15" i="41" s="1"/>
  <c r="M10" i="41" s="1"/>
  <c r="R26" i="41"/>
  <c r="M25" i="41"/>
  <c r="K162" i="34"/>
  <c r="E73" i="132"/>
  <c r="C18" i="1"/>
  <c r="J19" i="1"/>
  <c r="N35" i="12"/>
  <c r="L35" i="12"/>
  <c r="L52" i="12"/>
  <c r="N52" i="12"/>
  <c r="C31" i="109"/>
  <c r="L11" i="12"/>
  <c r="N11" i="12"/>
  <c r="G10" i="39"/>
  <c r="D17" i="38"/>
  <c r="I45" i="132"/>
  <c r="I42" i="132" s="1"/>
  <c r="I35" i="132"/>
  <c r="C112" i="10"/>
  <c r="C111" i="10" s="1"/>
  <c r="C100" i="10"/>
  <c r="C99" i="10" s="1"/>
  <c r="C45" i="39"/>
  <c r="F45" i="39" s="1"/>
  <c r="C46" i="40"/>
  <c r="F46" i="39"/>
  <c r="C46" i="41"/>
  <c r="C45" i="41" s="1"/>
  <c r="I20" i="41"/>
  <c r="I15" i="41" s="1"/>
  <c r="I10" i="41" s="1"/>
  <c r="AJ34" i="25"/>
  <c r="AJ33" i="25" s="1"/>
  <c r="AJ44" i="25" s="1"/>
  <c r="J162" i="34"/>
  <c r="I53" i="22"/>
  <c r="J34" i="38"/>
  <c r="E33" i="38"/>
  <c r="R34" i="12"/>
  <c r="Q45" i="12"/>
  <c r="N19" i="12"/>
  <c r="P19" i="12" s="1"/>
  <c r="R19" i="12" s="1"/>
  <c r="S19" i="12" s="1"/>
  <c r="T19" i="12" s="1"/>
  <c r="L19" i="12"/>
  <c r="N47" i="12"/>
  <c r="L47" i="12"/>
  <c r="L25" i="12"/>
  <c r="N25" i="12"/>
  <c r="P25" i="12" s="1"/>
  <c r="R25" i="12" s="1"/>
  <c r="S25" i="12" s="1"/>
  <c r="T25" i="12" s="1"/>
  <c r="H31" i="15"/>
  <c r="G55" i="15"/>
  <c r="H55" i="15" s="1"/>
  <c r="L24" i="12"/>
  <c r="N24" i="12"/>
  <c r="P24" i="12" s="1"/>
  <c r="R24" i="12" s="1"/>
  <c r="S24" i="12" s="1"/>
  <c r="T24" i="12" s="1"/>
  <c r="R42" i="12"/>
  <c r="S42" i="12" s="1"/>
  <c r="T42" i="12" s="1"/>
  <c r="C99" i="11"/>
  <c r="C14" i="20"/>
  <c r="M10" i="20" s="1"/>
  <c r="L10" i="20" s="1"/>
  <c r="D16" i="20"/>
  <c r="C10" i="20"/>
  <c r="G24" i="114"/>
  <c r="E38" i="7"/>
  <c r="F23" i="114"/>
  <c r="G26" i="114"/>
  <c r="G23" i="114"/>
  <c r="F26" i="114"/>
  <c r="F25" i="114"/>
  <c r="G30" i="114"/>
  <c r="G38" i="114"/>
  <c r="G11" i="114"/>
  <c r="G12" i="114"/>
  <c r="I27" i="114"/>
  <c r="D15" i="16"/>
  <c r="F24" i="114"/>
  <c r="E15" i="16"/>
  <c r="C10" i="16"/>
  <c r="E35" i="114"/>
  <c r="H35" i="114" s="1"/>
  <c r="I70" i="132"/>
  <c r="I67" i="132" s="1"/>
  <c r="H70" i="132"/>
  <c r="H67" i="132" s="1"/>
  <c r="C34" i="22" s="1"/>
  <c r="J70" i="132"/>
  <c r="J67" i="132" s="1"/>
  <c r="H50" i="132"/>
  <c r="H47" i="132" s="1"/>
  <c r="C26" i="22" s="1"/>
  <c r="O26" i="22" s="1"/>
  <c r="F91" i="10"/>
  <c r="G94" i="10"/>
  <c r="E61" i="10"/>
  <c r="E19" i="132"/>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N62" i="109" l="1"/>
  <c r="J102" i="9"/>
  <c r="R50" i="70"/>
  <c r="Q55" i="12"/>
  <c r="H30" i="8"/>
  <c r="F36" i="10"/>
  <c r="I26" i="10"/>
  <c r="E36" i="10"/>
  <c r="H26" i="10"/>
  <c r="J119" i="9"/>
  <c r="J118" i="9" s="1"/>
  <c r="E16" i="22"/>
  <c r="O18" i="22"/>
  <c r="C30" i="41"/>
  <c r="U30" i="41" s="1"/>
  <c r="X41" i="25"/>
  <c r="X10" i="25"/>
  <c r="E19" i="109"/>
  <c r="E19" i="65" s="1"/>
  <c r="P19" i="70" s="1"/>
  <c r="Q19" i="70" s="1"/>
  <c r="J29" i="40"/>
  <c r="C28" i="40"/>
  <c r="D41" i="70"/>
  <c r="E41" i="70" s="1"/>
  <c r="F33" i="10"/>
  <c r="I23" i="10"/>
  <c r="F23" i="10" s="1"/>
  <c r="E33" i="10"/>
  <c r="H23" i="10"/>
  <c r="E23" i="10" s="1"/>
  <c r="G121" i="10"/>
  <c r="J104" i="10"/>
  <c r="G104" i="10" s="1"/>
  <c r="I102" i="9"/>
  <c r="H61" i="9"/>
  <c r="H67" i="9"/>
  <c r="H60" i="9"/>
  <c r="J36" i="114"/>
  <c r="G37" i="114"/>
  <c r="F38" i="114"/>
  <c r="G14" i="114"/>
  <c r="K10" i="114"/>
  <c r="E43" i="7" s="1"/>
  <c r="H11" i="114"/>
  <c r="S34" i="12"/>
  <c r="T34" i="12" s="1"/>
  <c r="P35" i="12"/>
  <c r="N45" i="12"/>
  <c r="C11" i="13" s="1"/>
  <c r="D11" i="13" s="1"/>
  <c r="V28" i="73"/>
  <c r="W28" i="73" s="1"/>
  <c r="O54" i="22"/>
  <c r="F28" i="39"/>
  <c r="C27" i="39"/>
  <c r="F27" i="39" s="1"/>
  <c r="H52" i="132"/>
  <c r="C39" i="25"/>
  <c r="W40" i="25"/>
  <c r="I102" i="10"/>
  <c r="F102" i="10" s="1"/>
  <c r="F108" i="10"/>
  <c r="I105" i="10"/>
  <c r="J81" i="10"/>
  <c r="E27" i="7" s="1"/>
  <c r="G82" i="10"/>
  <c r="H100" i="10"/>
  <c r="E113" i="10"/>
  <c r="H112" i="10"/>
  <c r="H111" i="10" s="1"/>
  <c r="J61" i="9"/>
  <c r="G31" i="10"/>
  <c r="J21" i="10"/>
  <c r="J60" i="9"/>
  <c r="J67" i="9"/>
  <c r="K66" i="59"/>
  <c r="H67" i="59"/>
  <c r="K36" i="114"/>
  <c r="K31" i="114" s="1"/>
  <c r="E45" i="7" s="1"/>
  <c r="H37" i="114"/>
  <c r="J52" i="9"/>
  <c r="E22" i="7" s="1"/>
  <c r="I36" i="114"/>
  <c r="F37" i="114"/>
  <c r="K21" i="114"/>
  <c r="E44" i="7" s="1"/>
  <c r="H22" i="114"/>
  <c r="E35" i="109"/>
  <c r="J33" i="38"/>
  <c r="I22" i="132"/>
  <c r="D24" i="22"/>
  <c r="J54" i="70"/>
  <c r="K54" i="70" s="1"/>
  <c r="K55" i="65"/>
  <c r="J32" i="40"/>
  <c r="C27" i="22"/>
  <c r="I81" i="9"/>
  <c r="H31" i="9"/>
  <c r="C19" i="7" s="1"/>
  <c r="H45" i="9"/>
  <c r="C21" i="7" s="1"/>
  <c r="H81" i="9"/>
  <c r="J25" i="8"/>
  <c r="I26" i="8"/>
  <c r="D47" i="57"/>
  <c r="D46" i="57" s="1"/>
  <c r="H46" i="57"/>
  <c r="H10" i="57" s="1"/>
  <c r="E41" i="10"/>
  <c r="H40" i="10"/>
  <c r="D13" i="16"/>
  <c r="D14" i="16"/>
  <c r="E15" i="19"/>
  <c r="C49" i="7" s="1"/>
  <c r="E27" i="19"/>
  <c r="E28" i="19" s="1"/>
  <c r="C10" i="1"/>
  <c r="J18" i="1"/>
  <c r="C54" i="109"/>
  <c r="C25" i="40"/>
  <c r="J26" i="40"/>
  <c r="F20" i="45"/>
  <c r="I30" i="10"/>
  <c r="I21" i="10"/>
  <c r="F31" i="10"/>
  <c r="F41" i="10"/>
  <c r="I40" i="10"/>
  <c r="F82" i="10"/>
  <c r="I81" i="10"/>
  <c r="D27" i="7" s="1"/>
  <c r="I38" i="9"/>
  <c r="D20" i="7" s="1"/>
  <c r="I62" i="9"/>
  <c r="J81" i="9"/>
  <c r="G48" i="57"/>
  <c r="I50" i="57"/>
  <c r="E50" i="57"/>
  <c r="F11" i="16"/>
  <c r="J32" i="114"/>
  <c r="J31" i="114" s="1"/>
  <c r="D45" i="7" s="1"/>
  <c r="G35" i="114"/>
  <c r="O53" i="22"/>
  <c r="V27" i="73"/>
  <c r="W27" i="73" s="1"/>
  <c r="I52" i="22"/>
  <c r="D11" i="38"/>
  <c r="J17" i="38"/>
  <c r="C24" i="39"/>
  <c r="F24" i="39" s="1"/>
  <c r="F25" i="39"/>
  <c r="F15" i="41"/>
  <c r="F10" i="41" s="1"/>
  <c r="R20" i="41"/>
  <c r="R15" i="41" s="1"/>
  <c r="R10" i="41" s="1"/>
  <c r="AJ10" i="25"/>
  <c r="AJ41" i="25"/>
  <c r="AJ39" i="25" s="1"/>
  <c r="G29" i="10"/>
  <c r="C28" i="10"/>
  <c r="C14" i="10" s="1"/>
  <c r="C10" i="10" s="1"/>
  <c r="F29" i="10"/>
  <c r="F61" i="10"/>
  <c r="I60" i="10"/>
  <c r="H30" i="10"/>
  <c r="H21" i="10"/>
  <c r="H11" i="10" s="1"/>
  <c r="E31" i="10"/>
  <c r="H119" i="9"/>
  <c r="H118" i="9" s="1"/>
  <c r="J65" i="9"/>
  <c r="J12" i="9"/>
  <c r="H38" i="9"/>
  <c r="C20" i="7" s="1"/>
  <c r="I47" i="57"/>
  <c r="E24" i="47" s="1"/>
  <c r="I24" i="47" s="1"/>
  <c r="E47" i="57"/>
  <c r="J38" i="9"/>
  <c r="E20" i="7" s="1"/>
  <c r="J52" i="132"/>
  <c r="E34" i="22"/>
  <c r="E27" i="22" s="1"/>
  <c r="E25" i="109" s="1"/>
  <c r="E25" i="65" s="1"/>
  <c r="P25" i="70" s="1"/>
  <c r="Q25" i="70" s="1"/>
  <c r="G22" i="114"/>
  <c r="J21" i="114"/>
  <c r="D44" i="7" s="1"/>
  <c r="J44" i="7" s="1"/>
  <c r="F14" i="114"/>
  <c r="C20" i="40"/>
  <c r="J21" i="40"/>
  <c r="K38" i="65"/>
  <c r="D37" i="70"/>
  <c r="E37" i="70" s="1"/>
  <c r="C20" i="10"/>
  <c r="V14" i="73"/>
  <c r="I27" i="22"/>
  <c r="C39" i="39"/>
  <c r="H22" i="132"/>
  <c r="J26" i="10"/>
  <c r="G36" i="10"/>
  <c r="I27" i="8"/>
  <c r="J66" i="8"/>
  <c r="I65" i="9"/>
  <c r="O34" i="22"/>
  <c r="E12" i="16"/>
  <c r="G11" i="16"/>
  <c r="D19" i="16"/>
  <c r="F18" i="16"/>
  <c r="D18" i="16" s="1"/>
  <c r="E23" i="19"/>
  <c r="E29" i="19" s="1"/>
  <c r="C58" i="7"/>
  <c r="C17" i="19"/>
  <c r="C11" i="19"/>
  <c r="C16" i="19"/>
  <c r="L24" i="114"/>
  <c r="L21" i="114" s="1"/>
  <c r="P11" i="12"/>
  <c r="N31" i="12"/>
  <c r="R25" i="41"/>
  <c r="M24" i="41"/>
  <c r="R24" i="41" s="1"/>
  <c r="C10" i="39"/>
  <c r="F10" i="39" s="1"/>
  <c r="F15" i="39"/>
  <c r="F38" i="70"/>
  <c r="O17" i="22"/>
  <c r="C16" i="22"/>
  <c r="I48" i="41"/>
  <c r="I49" i="41" s="1"/>
  <c r="H50" i="10"/>
  <c r="E51" i="10"/>
  <c r="G41" i="10"/>
  <c r="J40" i="10"/>
  <c r="E69" i="10"/>
  <c r="H68" i="10"/>
  <c r="H60" i="10" s="1"/>
  <c r="H29" i="10"/>
  <c r="G17" i="10"/>
  <c r="J16" i="10"/>
  <c r="E25" i="7" s="1"/>
  <c r="G89" i="10"/>
  <c r="J17" i="9"/>
  <c r="E17" i="7" s="1"/>
  <c r="J11" i="9"/>
  <c r="J24" i="9"/>
  <c r="E18" i="7" s="1"/>
  <c r="H96" i="10"/>
  <c r="H88" i="10" s="1"/>
  <c r="C28" i="7" s="1"/>
  <c r="E97" i="10"/>
  <c r="J50" i="10"/>
  <c r="G51" i="10"/>
  <c r="E108" i="10"/>
  <c r="H105" i="10"/>
  <c r="H102" i="10"/>
  <c r="E102" i="10" s="1"/>
  <c r="J26" i="8"/>
  <c r="I30" i="8"/>
  <c r="J13" i="9"/>
  <c r="I52" i="132"/>
  <c r="D34" i="22"/>
  <c r="D27" i="22" s="1"/>
  <c r="D25" i="109" s="1"/>
  <c r="D25" i="65" s="1"/>
  <c r="J25" i="70" s="1"/>
  <c r="K25" i="70" s="1"/>
  <c r="G25" i="114"/>
  <c r="I21" i="114"/>
  <c r="C44" i="7" s="1"/>
  <c r="F22" i="114"/>
  <c r="M9" i="20"/>
  <c r="L9" i="20" s="1"/>
  <c r="D21" i="38"/>
  <c r="D22" i="38"/>
  <c r="C39" i="41"/>
  <c r="C35" i="22"/>
  <c r="O36" i="22"/>
  <c r="H25" i="8"/>
  <c r="I104" i="10"/>
  <c r="F104" i="10" s="1"/>
  <c r="F121" i="10"/>
  <c r="I10" i="20"/>
  <c r="E53" i="7" s="1"/>
  <c r="F11" i="20"/>
  <c r="F97" i="10"/>
  <c r="I96" i="10"/>
  <c r="I14" i="10" s="1"/>
  <c r="F14" i="10" s="1"/>
  <c r="E121" i="10"/>
  <c r="H104" i="10"/>
  <c r="E104" i="10" s="1"/>
  <c r="F17" i="10"/>
  <c r="I16" i="10"/>
  <c r="D25" i="7" s="1"/>
  <c r="F89" i="10"/>
  <c r="J22" i="10"/>
  <c r="G22" i="10" s="1"/>
  <c r="G32" i="10"/>
  <c r="E120" i="10"/>
  <c r="H103" i="10"/>
  <c r="E103" i="10" s="1"/>
  <c r="J27" i="10"/>
  <c r="G37" i="10"/>
  <c r="E17" i="10"/>
  <c r="H16" i="10"/>
  <c r="C25" i="7" s="1"/>
  <c r="J95" i="9"/>
  <c r="J45" i="9"/>
  <c r="E21" i="7" s="1"/>
  <c r="H38" i="114"/>
  <c r="I32" i="114"/>
  <c r="F35" i="114"/>
  <c r="J43" i="40"/>
  <c r="E12" i="10"/>
  <c r="G12" i="10"/>
  <c r="F12" i="10"/>
  <c r="D51" i="109"/>
  <c r="D51" i="65" s="1"/>
  <c r="J50" i="70" s="1"/>
  <c r="K50" i="70" s="1"/>
  <c r="C15" i="68"/>
  <c r="I52" i="9"/>
  <c r="D22" i="7" s="1"/>
  <c r="F11" i="114"/>
  <c r="I10" i="114"/>
  <c r="C43" i="7" s="1"/>
  <c r="E19" i="16"/>
  <c r="G18" i="16"/>
  <c r="E18" i="16" s="1"/>
  <c r="J16" i="114"/>
  <c r="J10" i="114" s="1"/>
  <c r="D43" i="7" s="1"/>
  <c r="G18" i="114"/>
  <c r="N50" i="12"/>
  <c r="C12" i="13" s="1"/>
  <c r="D12" i="13" s="1"/>
  <c r="P47" i="12"/>
  <c r="C31" i="65"/>
  <c r="U28" i="41"/>
  <c r="X27" i="41"/>
  <c r="R28" i="41"/>
  <c r="F27" i="41"/>
  <c r="C30" i="109"/>
  <c r="O57" i="22"/>
  <c r="U21" i="41"/>
  <c r="J60" i="10"/>
  <c r="G61" i="10"/>
  <c r="G97" i="10"/>
  <c r="J96" i="10"/>
  <c r="J14" i="10" s="1"/>
  <c r="G14" i="10" s="1"/>
  <c r="E114" i="11"/>
  <c r="H99" i="11"/>
  <c r="E99" i="11" s="1"/>
  <c r="G113" i="10"/>
  <c r="J112" i="10"/>
  <c r="J111" i="10" s="1"/>
  <c r="J100" i="10"/>
  <c r="I22" i="10"/>
  <c r="F22" i="10" s="1"/>
  <c r="F32" i="10"/>
  <c r="F51" i="10"/>
  <c r="I50" i="10"/>
  <c r="H24" i="9"/>
  <c r="C18" i="7" s="1"/>
  <c r="I100" i="10"/>
  <c r="F113" i="10"/>
  <c r="I112" i="10"/>
  <c r="I111" i="10" s="1"/>
  <c r="J105" i="10"/>
  <c r="G108" i="10"/>
  <c r="J102" i="10"/>
  <c r="G102" i="10" s="1"/>
  <c r="H22" i="10"/>
  <c r="E22" i="10" s="1"/>
  <c r="E32" i="10"/>
  <c r="I27" i="10"/>
  <c r="F37" i="10"/>
  <c r="I60" i="9"/>
  <c r="I67" i="9"/>
  <c r="I119" i="9"/>
  <c r="I118" i="9" s="1"/>
  <c r="H102" i="9"/>
  <c r="I95" i="9"/>
  <c r="I61" i="9"/>
  <c r="J27" i="114"/>
  <c r="G13" i="114"/>
  <c r="H14" i="114"/>
  <c r="C94" i="11"/>
  <c r="C93" i="11" s="1"/>
  <c r="C109" i="11"/>
  <c r="C108" i="11" s="1"/>
  <c r="C45" i="40"/>
  <c r="J45" i="40" s="1"/>
  <c r="J46" i="40"/>
  <c r="N54" i="12"/>
  <c r="C13" i="13" s="1"/>
  <c r="D13" i="13" s="1"/>
  <c r="P52" i="12"/>
  <c r="F103" i="10"/>
  <c r="G103" i="10"/>
  <c r="F43" i="70"/>
  <c r="D53" i="65"/>
  <c r="O53" i="109"/>
  <c r="L65" i="59"/>
  <c r="I66" i="59"/>
  <c r="X15" i="41"/>
  <c r="U20" i="41"/>
  <c r="E20" i="132"/>
  <c r="E21" i="132"/>
  <c r="J30" i="10"/>
  <c r="J31" i="9"/>
  <c r="E19" i="7" s="1"/>
  <c r="H11" i="9"/>
  <c r="H95" i="9"/>
  <c r="H17" i="9"/>
  <c r="C17" i="7" s="1"/>
  <c r="I24" i="9"/>
  <c r="D18" i="7" s="1"/>
  <c r="J18" i="7" s="1"/>
  <c r="I12" i="9"/>
  <c r="J61" i="8"/>
  <c r="E47" i="10"/>
  <c r="N63" i="109"/>
  <c r="E95" i="10"/>
  <c r="M63" i="109"/>
  <c r="K63" i="109"/>
  <c r="L63" i="109"/>
  <c r="E11" i="10" l="1"/>
  <c r="J63" i="8"/>
  <c r="H27" i="8"/>
  <c r="I66" i="8"/>
  <c r="H62" i="9"/>
  <c r="D42" i="7"/>
  <c r="D20" i="109" s="1"/>
  <c r="D20" i="65" s="1"/>
  <c r="J20" i="70" s="1"/>
  <c r="K20" i="70" s="1"/>
  <c r="C39" i="40"/>
  <c r="J20" i="7"/>
  <c r="I48" i="57"/>
  <c r="E25" i="47" s="1"/>
  <c r="E23" i="47" s="1"/>
  <c r="E48" i="57"/>
  <c r="J59" i="9"/>
  <c r="E23" i="7" s="1"/>
  <c r="E16" i="7" s="1"/>
  <c r="E14" i="109" s="1"/>
  <c r="E14" i="65" s="1"/>
  <c r="P14" i="70" s="1"/>
  <c r="Q14" i="70" s="1"/>
  <c r="H99" i="10"/>
  <c r="C29" i="7" s="1"/>
  <c r="E100" i="10"/>
  <c r="X28" i="73"/>
  <c r="J28" i="40"/>
  <c r="C27" i="40"/>
  <c r="J27" i="40" s="1"/>
  <c r="I82" i="8"/>
  <c r="D32" i="109"/>
  <c r="J11" i="38"/>
  <c r="E24" i="109"/>
  <c r="E24" i="65" s="1"/>
  <c r="P24" i="70" s="1"/>
  <c r="Q24" i="70" s="1"/>
  <c r="E10" i="22"/>
  <c r="E22" i="109" s="1"/>
  <c r="E22" i="65" s="1"/>
  <c r="P22" i="70" s="1"/>
  <c r="Q22" i="70" s="1"/>
  <c r="C25" i="109"/>
  <c r="H75" i="8"/>
  <c r="J62" i="8"/>
  <c r="I32" i="8"/>
  <c r="I25" i="8"/>
  <c r="J88" i="10"/>
  <c r="E28" i="7" s="1"/>
  <c r="J13" i="10"/>
  <c r="G13" i="10" s="1"/>
  <c r="G26" i="10"/>
  <c r="O52" i="22"/>
  <c r="I29" i="109"/>
  <c r="J25" i="40"/>
  <c r="C24" i="40"/>
  <c r="J24" i="40" s="1"/>
  <c r="P45" i="12"/>
  <c r="R35" i="12"/>
  <c r="I14" i="20"/>
  <c r="E54" i="7" s="1"/>
  <c r="E63" i="109" s="1"/>
  <c r="E62" i="65" s="1"/>
  <c r="P61" i="70" s="1"/>
  <c r="Q61" i="70" s="1"/>
  <c r="F15" i="20"/>
  <c r="C30" i="65"/>
  <c r="O30" i="109"/>
  <c r="R27" i="41"/>
  <c r="F48" i="41"/>
  <c r="J43" i="7"/>
  <c r="I31" i="114"/>
  <c r="C45" i="7" s="1"/>
  <c r="J45" i="7" s="1"/>
  <c r="C10" i="13"/>
  <c r="N55" i="12"/>
  <c r="R25" i="70"/>
  <c r="X27" i="73"/>
  <c r="C54" i="65"/>
  <c r="O54" i="109"/>
  <c r="F46" i="57"/>
  <c r="D10" i="57"/>
  <c r="F10" i="57" s="1"/>
  <c r="L54" i="70"/>
  <c r="L59" i="59"/>
  <c r="I65" i="59"/>
  <c r="F52" i="7"/>
  <c r="K61" i="109" s="1"/>
  <c r="K62" i="109"/>
  <c r="H44" i="11"/>
  <c r="I53" i="8"/>
  <c r="D14" i="7" s="1"/>
  <c r="I13" i="9"/>
  <c r="C13" i="22"/>
  <c r="O13" i="22" s="1"/>
  <c r="E12" i="132"/>
  <c r="J11" i="10"/>
  <c r="P31" i="12"/>
  <c r="R11" i="12"/>
  <c r="S11" i="12" s="1"/>
  <c r="T11" i="12" s="1"/>
  <c r="T31" i="12" s="1"/>
  <c r="F39" i="39"/>
  <c r="C30" i="39"/>
  <c r="F30" i="39" s="1"/>
  <c r="D16" i="22"/>
  <c r="O24" i="22"/>
  <c r="E26" i="10"/>
  <c r="H13" i="10"/>
  <c r="E13" i="10" s="1"/>
  <c r="E11" i="20"/>
  <c r="H10" i="20"/>
  <c r="D53" i="7" s="1"/>
  <c r="G10" i="20"/>
  <c r="C53" i="7" s="1"/>
  <c r="D11" i="20"/>
  <c r="J23" i="10"/>
  <c r="G23" i="10" s="1"/>
  <c r="G33" i="10"/>
  <c r="G100" i="10"/>
  <c r="J99" i="10"/>
  <c r="E29" i="7" s="1"/>
  <c r="L62" i="109"/>
  <c r="G52" i="7"/>
  <c r="L61" i="109" s="1"/>
  <c r="H62" i="8"/>
  <c r="H14" i="20"/>
  <c r="D54" i="7" s="1"/>
  <c r="D63" i="109" s="1"/>
  <c r="D62" i="65" s="1"/>
  <c r="J61" i="70" s="1"/>
  <c r="K61" i="70" s="1"/>
  <c r="E15" i="20"/>
  <c r="H21" i="8"/>
  <c r="I61" i="8"/>
  <c r="I68" i="8"/>
  <c r="J52" i="70"/>
  <c r="K52" i="70" s="1"/>
  <c r="K53" i="65"/>
  <c r="E29" i="38"/>
  <c r="J29" i="38" s="1"/>
  <c r="U27" i="41"/>
  <c r="I88" i="10"/>
  <c r="D28" i="7" s="1"/>
  <c r="E62" i="109"/>
  <c r="E61" i="65" s="1"/>
  <c r="P60" i="70" s="1"/>
  <c r="Q60" i="70" s="1"/>
  <c r="E52" i="7"/>
  <c r="E61" i="109" s="1"/>
  <c r="E60" i="65" s="1"/>
  <c r="P59" i="70" s="1"/>
  <c r="Q59" i="70" s="1"/>
  <c r="D33" i="109"/>
  <c r="I23" i="8"/>
  <c r="I10" i="22"/>
  <c r="I22" i="109" s="1"/>
  <c r="I25" i="109"/>
  <c r="I25" i="65" s="1"/>
  <c r="C51" i="109"/>
  <c r="J10" i="1"/>
  <c r="K65" i="59"/>
  <c r="H66" i="59"/>
  <c r="G21" i="10"/>
  <c r="R19" i="70"/>
  <c r="H11" i="16"/>
  <c r="D12" i="16"/>
  <c r="H65" i="9"/>
  <c r="H32" i="8"/>
  <c r="H26" i="8"/>
  <c r="V10" i="73"/>
  <c r="W10" i="73" s="1"/>
  <c r="W14" i="73"/>
  <c r="I20" i="10"/>
  <c r="D26" i="7" s="1"/>
  <c r="F21" i="10"/>
  <c r="J19" i="7"/>
  <c r="W39" i="25"/>
  <c r="F25" i="22"/>
  <c r="E42" i="7"/>
  <c r="H68" i="8"/>
  <c r="H61" i="8"/>
  <c r="H18" i="8" s="1"/>
  <c r="I31" i="9"/>
  <c r="D19" i="7" s="1"/>
  <c r="H81" i="10"/>
  <c r="C27" i="7" s="1"/>
  <c r="J27" i="7" s="1"/>
  <c r="E82" i="10"/>
  <c r="F41" i="70"/>
  <c r="O35" i="22"/>
  <c r="C26" i="109"/>
  <c r="H66" i="8"/>
  <c r="I62" i="8"/>
  <c r="I19" i="8" s="1"/>
  <c r="C24" i="109"/>
  <c r="J30" i="8"/>
  <c r="J25" i="7"/>
  <c r="I11" i="10"/>
  <c r="J19" i="8"/>
  <c r="J16" i="9"/>
  <c r="F10" i="16"/>
  <c r="D39" i="7" s="1"/>
  <c r="D38" i="7" s="1"/>
  <c r="J49" i="7"/>
  <c r="C47" i="7"/>
  <c r="O35" i="109"/>
  <c r="E35" i="65"/>
  <c r="H53" i="8"/>
  <c r="C14" i="7" s="1"/>
  <c r="F26" i="10"/>
  <c r="I13" i="10"/>
  <c r="F13" i="10" s="1"/>
  <c r="I52" i="7"/>
  <c r="N61" i="109" s="1"/>
  <c r="H52" i="9"/>
  <c r="C22" i="7" s="1"/>
  <c r="J22" i="7" s="1"/>
  <c r="I15" i="10"/>
  <c r="F15" i="10" s="1"/>
  <c r="F27" i="10"/>
  <c r="G14" i="20"/>
  <c r="C54" i="7" s="1"/>
  <c r="D15" i="20"/>
  <c r="E37" i="10"/>
  <c r="H27" i="10"/>
  <c r="J21" i="8"/>
  <c r="I16" i="9"/>
  <c r="C12" i="22"/>
  <c r="E11" i="132"/>
  <c r="H82" i="8"/>
  <c r="H12" i="9"/>
  <c r="C14" i="22"/>
  <c r="O14" i="22" s="1"/>
  <c r="E13" i="132"/>
  <c r="D30" i="70"/>
  <c r="E30" i="70" s="1"/>
  <c r="L50" i="70"/>
  <c r="H18" i="132"/>
  <c r="H14" i="132" s="1"/>
  <c r="E29" i="10"/>
  <c r="H28" i="10"/>
  <c r="H14" i="10" s="1"/>
  <c r="E14" i="10" s="1"/>
  <c r="F37" i="70"/>
  <c r="G46" i="57"/>
  <c r="J18" i="8"/>
  <c r="J68" i="8"/>
  <c r="J75" i="8"/>
  <c r="J82" i="8"/>
  <c r="E21" i="10"/>
  <c r="H16" i="9"/>
  <c r="I45" i="9"/>
  <c r="D21" i="7" s="1"/>
  <c r="J21" i="7" s="1"/>
  <c r="I99" i="10"/>
  <c r="D29" i="7" s="1"/>
  <c r="F100" i="10"/>
  <c r="P50" i="12"/>
  <c r="R47" i="12"/>
  <c r="J20" i="40"/>
  <c r="C15" i="40"/>
  <c r="I21" i="8"/>
  <c r="E27" i="38"/>
  <c r="U15" i="41"/>
  <c r="X10" i="41"/>
  <c r="E11" i="16"/>
  <c r="G10" i="16"/>
  <c r="C39" i="7" s="1"/>
  <c r="H63" i="8"/>
  <c r="H52" i="7"/>
  <c r="M61" i="109" s="1"/>
  <c r="M62" i="109"/>
  <c r="I75" i="8"/>
  <c r="H13" i="9"/>
  <c r="C57" i="7"/>
  <c r="J58" i="7"/>
  <c r="I63" i="8"/>
  <c r="I11" i="9"/>
  <c r="I17" i="9"/>
  <c r="D17" i="7" s="1"/>
  <c r="J17" i="7" s="1"/>
  <c r="R52" i="12"/>
  <c r="P54" i="12"/>
  <c r="I59" i="9"/>
  <c r="D23" i="7" s="1"/>
  <c r="J53" i="8"/>
  <c r="E14" i="7" s="1"/>
  <c r="G27" i="10"/>
  <c r="J15" i="10"/>
  <c r="G15" i="10" s="1"/>
  <c r="L25" i="70"/>
  <c r="X39" i="25"/>
  <c r="G30" i="22"/>
  <c r="AH41" i="25"/>
  <c r="C15" i="22" l="1"/>
  <c r="O15" i="22" s="1"/>
  <c r="H10" i="132"/>
  <c r="R14" i="70"/>
  <c r="J14" i="7"/>
  <c r="O25" i="22"/>
  <c r="D11" i="73"/>
  <c r="F16" i="22"/>
  <c r="R59" i="70"/>
  <c r="H14" i="8"/>
  <c r="E10" i="13"/>
  <c r="O32" i="109"/>
  <c r="D32" i="65"/>
  <c r="C38" i="7"/>
  <c r="J39" i="7"/>
  <c r="C66" i="109"/>
  <c r="J57" i="7"/>
  <c r="X50" i="41"/>
  <c r="U50" i="41" s="1"/>
  <c r="U10" i="41"/>
  <c r="C63" i="109"/>
  <c r="J54" i="7"/>
  <c r="P34" i="70"/>
  <c r="Q34" i="70" s="1"/>
  <c r="K35" i="65"/>
  <c r="J23" i="8"/>
  <c r="D11" i="16"/>
  <c r="H10" i="16"/>
  <c r="R60" i="70"/>
  <c r="P55" i="12"/>
  <c r="R31" i="12"/>
  <c r="E47" i="109"/>
  <c r="E47" i="65" s="1"/>
  <c r="P46" i="70" s="1"/>
  <c r="Q46" i="70" s="1"/>
  <c r="E10" i="47"/>
  <c r="E42" i="109" s="1"/>
  <c r="E42" i="65" s="1"/>
  <c r="P41" i="70" s="1"/>
  <c r="Q41" i="70" s="1"/>
  <c r="L61" i="70"/>
  <c r="G11" i="10"/>
  <c r="J10" i="10"/>
  <c r="H23" i="11"/>
  <c r="D10" i="13"/>
  <c r="C15" i="13"/>
  <c r="O51" i="109"/>
  <c r="C51" i="65"/>
  <c r="J28" i="7"/>
  <c r="C62" i="109"/>
  <c r="J53" i="7"/>
  <c r="C52" i="7"/>
  <c r="AH39" i="25"/>
  <c r="J13" i="73"/>
  <c r="E21" i="38"/>
  <c r="E22" i="38"/>
  <c r="J22" i="38" s="1"/>
  <c r="J27" i="38"/>
  <c r="J47" i="7"/>
  <c r="C21" i="109"/>
  <c r="C24" i="65"/>
  <c r="D24" i="70" s="1"/>
  <c r="E24" i="70" s="1"/>
  <c r="D53" i="70"/>
  <c r="E53" i="70" s="1"/>
  <c r="K54" i="65"/>
  <c r="C42" i="7"/>
  <c r="I29" i="65"/>
  <c r="K29" i="65" s="1"/>
  <c r="O29" i="109"/>
  <c r="J39" i="40"/>
  <c r="C30" i="40"/>
  <c r="J30" i="40" s="1"/>
  <c r="S35" i="12"/>
  <c r="T35" i="12" s="1"/>
  <c r="T45" i="12" s="1"/>
  <c r="E11" i="13" s="1"/>
  <c r="R45" i="12"/>
  <c r="G27" i="22"/>
  <c r="O30" i="22"/>
  <c r="R54" i="12"/>
  <c r="S52" i="12"/>
  <c r="T52" i="12" s="1"/>
  <c r="T54" i="12" s="1"/>
  <c r="E13" i="13" s="1"/>
  <c r="I46" i="57"/>
  <c r="E46" i="57"/>
  <c r="G10" i="57"/>
  <c r="F30" i="70"/>
  <c r="D62" i="109"/>
  <c r="D61" i="65" s="1"/>
  <c r="J60" i="70" s="1"/>
  <c r="K60" i="70" s="1"/>
  <c r="D52" i="7"/>
  <c r="D61" i="109" s="1"/>
  <c r="D60" i="65" s="1"/>
  <c r="J59" i="70" s="1"/>
  <c r="K59" i="70" s="1"/>
  <c r="I59" i="59"/>
  <c r="L10" i="59"/>
  <c r="I10" i="59" s="1"/>
  <c r="L20" i="70"/>
  <c r="I14" i="8"/>
  <c r="D37" i="7"/>
  <c r="D18" i="109" s="1"/>
  <c r="D18" i="65" s="1"/>
  <c r="J18" i="70" s="1"/>
  <c r="K18" i="70" s="1"/>
  <c r="D19" i="109"/>
  <c r="D19" i="65" s="1"/>
  <c r="J19" i="70" s="1"/>
  <c r="K19" i="70" s="1"/>
  <c r="X14" i="73"/>
  <c r="Z14" i="73"/>
  <c r="Y14" i="73"/>
  <c r="E20" i="109"/>
  <c r="E20" i="65" s="1"/>
  <c r="P20" i="70" s="1"/>
  <c r="Q20" i="70" s="1"/>
  <c r="E37" i="7"/>
  <c r="E18" i="109" s="1"/>
  <c r="E18" i="65" s="1"/>
  <c r="P18" i="70" s="1"/>
  <c r="Q18" i="70" s="1"/>
  <c r="D33" i="65"/>
  <c r="H24" i="8"/>
  <c r="C13" i="7" s="1"/>
  <c r="H20" i="8"/>
  <c r="I10" i="109"/>
  <c r="I10" i="65" s="1"/>
  <c r="I22" i="65"/>
  <c r="C10" i="40"/>
  <c r="J10" i="40" s="1"/>
  <c r="J15" i="40"/>
  <c r="H20" i="10"/>
  <c r="C26" i="7" s="1"/>
  <c r="J10" i="9"/>
  <c r="X10" i="73"/>
  <c r="H59" i="9"/>
  <c r="C23" i="7" s="1"/>
  <c r="J23" i="7" s="1"/>
  <c r="L52" i="70"/>
  <c r="C25" i="65"/>
  <c r="D25" i="70" s="1"/>
  <c r="E25" i="70" s="1"/>
  <c r="J60" i="8"/>
  <c r="E15" i="7" s="1"/>
  <c r="C11" i="22"/>
  <c r="O12" i="22"/>
  <c r="D16" i="7"/>
  <c r="D14" i="109" s="1"/>
  <c r="D14" i="65" s="1"/>
  <c r="J14" i="70" s="1"/>
  <c r="K14" i="70" s="1"/>
  <c r="I10" i="9"/>
  <c r="H23" i="8"/>
  <c r="J20" i="10"/>
  <c r="E26" i="7" s="1"/>
  <c r="E24" i="7" s="1"/>
  <c r="E15" i="109" s="1"/>
  <c r="E15" i="65" s="1"/>
  <c r="P15" i="70" s="1"/>
  <c r="Q15" i="70" s="1"/>
  <c r="K30" i="65"/>
  <c r="D29" i="70"/>
  <c r="E29" i="70" s="1"/>
  <c r="H10" i="10"/>
  <c r="R22" i="70"/>
  <c r="S47" i="12"/>
  <c r="T47" i="12" s="1"/>
  <c r="T50" i="12" s="1"/>
  <c r="E12" i="13" s="1"/>
  <c r="R50" i="12"/>
  <c r="F11" i="10"/>
  <c r="I10" i="10"/>
  <c r="C26" i="65"/>
  <c r="O26" i="109"/>
  <c r="H60" i="8"/>
  <c r="C15" i="7" s="1"/>
  <c r="D24" i="109"/>
  <c r="D24" i="65" s="1"/>
  <c r="J24" i="70" s="1"/>
  <c r="K24" i="70" s="1"/>
  <c r="D10" i="22"/>
  <c r="R24" i="70"/>
  <c r="J29" i="7"/>
  <c r="I20" i="8"/>
  <c r="H19" i="8"/>
  <c r="J27" i="8"/>
  <c r="J32" i="8"/>
  <c r="J14" i="8"/>
  <c r="D24" i="7"/>
  <c r="D15" i="109" s="1"/>
  <c r="D15" i="65" s="1"/>
  <c r="J15" i="70" s="1"/>
  <c r="K15" i="70" s="1"/>
  <c r="H15" i="10"/>
  <c r="E15" i="10" s="1"/>
  <c r="E27" i="10"/>
  <c r="K59" i="59"/>
  <c r="D25" i="47"/>
  <c r="H65" i="59"/>
  <c r="I60" i="8"/>
  <c r="D15" i="7" s="1"/>
  <c r="R61" i="70"/>
  <c r="I18" i="8"/>
  <c r="I24" i="8"/>
  <c r="D13" i="7" s="1"/>
  <c r="H10" i="9"/>
  <c r="L14" i="70" l="1"/>
  <c r="L19" i="70"/>
  <c r="K51" i="65"/>
  <c r="D50" i="70"/>
  <c r="E50" i="70" s="1"/>
  <c r="R41" i="70"/>
  <c r="J15" i="7"/>
  <c r="R46" i="70"/>
  <c r="R34" i="70"/>
  <c r="T55" i="12"/>
  <c r="C12" i="7"/>
  <c r="E15" i="13"/>
  <c r="L18" i="70"/>
  <c r="D23" i="47"/>
  <c r="I25" i="47"/>
  <c r="H59" i="59"/>
  <c r="K10" i="59"/>
  <c r="H10" i="59" s="1"/>
  <c r="K26" i="65"/>
  <c r="D26" i="70"/>
  <c r="E26" i="70" s="1"/>
  <c r="C10" i="22"/>
  <c r="C23" i="109"/>
  <c r="O11" i="22"/>
  <c r="J32" i="70"/>
  <c r="K32" i="70" s="1"/>
  <c r="I10" i="57"/>
  <c r="E10" i="57"/>
  <c r="D15" i="13"/>
  <c r="R55" i="12"/>
  <c r="O63" i="109"/>
  <c r="C62" i="65"/>
  <c r="G13" i="13"/>
  <c r="I13" i="13" s="1"/>
  <c r="J26" i="7"/>
  <c r="C24" i="7"/>
  <c r="R18" i="70"/>
  <c r="K32" i="65"/>
  <c r="J31" i="70"/>
  <c r="K31" i="70" s="1"/>
  <c r="J20" i="8"/>
  <c r="J24" i="8"/>
  <c r="E13" i="7" s="1"/>
  <c r="E12" i="7" s="1"/>
  <c r="F25" i="70"/>
  <c r="R20" i="70"/>
  <c r="F53" i="70"/>
  <c r="J10" i="73"/>
  <c r="K10" i="73" s="1"/>
  <c r="K13" i="73"/>
  <c r="H16" i="11"/>
  <c r="H16" i="8" s="1"/>
  <c r="C56" i="7" s="1"/>
  <c r="C20" i="109"/>
  <c r="J42" i="7"/>
  <c r="R15" i="70"/>
  <c r="I17" i="8"/>
  <c r="O66" i="109"/>
  <c r="C65" i="65"/>
  <c r="D12" i="7"/>
  <c r="C12" i="68"/>
  <c r="D22" i="109"/>
  <c r="D22" i="65" s="1"/>
  <c r="J22" i="70" s="1"/>
  <c r="K22" i="70" s="1"/>
  <c r="F24" i="70"/>
  <c r="C61" i="109"/>
  <c r="J52" i="7"/>
  <c r="F10" i="22"/>
  <c r="F22" i="109" s="1"/>
  <c r="F24" i="109"/>
  <c r="F24" i="65" s="1"/>
  <c r="K24" i="65" s="1"/>
  <c r="O16" i="22"/>
  <c r="L60" i="70"/>
  <c r="F29" i="70"/>
  <c r="E33" i="109"/>
  <c r="J21" i="38"/>
  <c r="L15" i="70"/>
  <c r="L24" i="70"/>
  <c r="G25" i="109"/>
  <c r="G10" i="22"/>
  <c r="G22" i="109" s="1"/>
  <c r="O27" i="22"/>
  <c r="C21" i="65"/>
  <c r="O21" i="109"/>
  <c r="C37" i="7"/>
  <c r="C19" i="109"/>
  <c r="J38" i="7"/>
  <c r="D10" i="73"/>
  <c r="E10" i="73" s="1"/>
  <c r="E11" i="73"/>
  <c r="L59" i="70"/>
  <c r="C61" i="65"/>
  <c r="O62" i="109"/>
  <c r="C16" i="7"/>
  <c r="H17" i="8"/>
  <c r="D64" i="70" l="1"/>
  <c r="C64" i="70" s="1"/>
  <c r="E64" i="70" s="1"/>
  <c r="K65" i="65"/>
  <c r="E13" i="109"/>
  <c r="E13" i="65" s="1"/>
  <c r="P13" i="70" s="1"/>
  <c r="Q13" i="70" s="1"/>
  <c r="F22" i="65"/>
  <c r="F10" i="109"/>
  <c r="F10" i="65" s="1"/>
  <c r="E33" i="65"/>
  <c r="O33" i="109"/>
  <c r="L10" i="73"/>
  <c r="J17" i="8"/>
  <c r="F50" i="70"/>
  <c r="J13" i="7"/>
  <c r="D61" i="70"/>
  <c r="E61" i="70" s="1"/>
  <c r="K62" i="65"/>
  <c r="L13" i="73"/>
  <c r="O24" i="109"/>
  <c r="L31" i="70"/>
  <c r="G25" i="65"/>
  <c r="K25" i="65" s="1"/>
  <c r="O25" i="109"/>
  <c r="C13" i="109"/>
  <c r="J12" i="7"/>
  <c r="D21" i="70"/>
  <c r="E21" i="70" s="1"/>
  <c r="K21" i="65"/>
  <c r="C60" i="65"/>
  <c r="O61" i="109"/>
  <c r="H11" i="73"/>
  <c r="G11" i="73"/>
  <c r="F11" i="73"/>
  <c r="F26" i="70"/>
  <c r="K61" i="65"/>
  <c r="D60" i="70"/>
  <c r="E60" i="70" s="1"/>
  <c r="F10" i="73"/>
  <c r="L22" i="70"/>
  <c r="J24" i="7"/>
  <c r="C15" i="109"/>
  <c r="L32" i="70"/>
  <c r="C65" i="109"/>
  <c r="J56" i="7"/>
  <c r="G10" i="109"/>
  <c r="G10" i="65" s="1"/>
  <c r="G22" i="65"/>
  <c r="D47" i="109"/>
  <c r="I23" i="47"/>
  <c r="D10" i="47"/>
  <c r="D13" i="109"/>
  <c r="D13" i="65" s="1"/>
  <c r="J13" i="70" s="1"/>
  <c r="K13" i="70" s="1"/>
  <c r="O20" i="109"/>
  <c r="C20" i="65"/>
  <c r="C23" i="65"/>
  <c r="O23" i="109"/>
  <c r="J16" i="7"/>
  <c r="C14" i="109"/>
  <c r="O19" i="109"/>
  <c r="C19" i="65"/>
  <c r="J37" i="7"/>
  <c r="C18" i="109"/>
  <c r="O10" i="22"/>
  <c r="C22" i="109"/>
  <c r="D59" i="70" l="1"/>
  <c r="E59" i="70" s="1"/>
  <c r="K60" i="65"/>
  <c r="F21" i="70"/>
  <c r="H21" i="70"/>
  <c r="G21" i="70"/>
  <c r="O65" i="109"/>
  <c r="C64" i="65"/>
  <c r="F60" i="70"/>
  <c r="F61" i="70"/>
  <c r="P32" i="70"/>
  <c r="Q32" i="70" s="1"/>
  <c r="K33" i="65"/>
  <c r="C14" i="65"/>
  <c r="O14" i="109"/>
  <c r="K20" i="65"/>
  <c r="D20" i="70"/>
  <c r="E20" i="70" s="1"/>
  <c r="C13" i="65"/>
  <c r="O13" i="109"/>
  <c r="D19" i="70"/>
  <c r="E19" i="70" s="1"/>
  <c r="K19" i="65"/>
  <c r="O22" i="109"/>
  <c r="C22" i="65"/>
  <c r="L13" i="70"/>
  <c r="R13" i="70"/>
  <c r="D47" i="65"/>
  <c r="O47" i="109"/>
  <c r="D23" i="70"/>
  <c r="E23" i="70" s="1"/>
  <c r="K23" i="65"/>
  <c r="O15" i="109"/>
  <c r="C15" i="65"/>
  <c r="O18" i="109"/>
  <c r="C18" i="65"/>
  <c r="D42" i="109"/>
  <c r="C14" i="68"/>
  <c r="I10" i="47"/>
  <c r="F64" i="70"/>
  <c r="H64" i="70"/>
  <c r="G64" i="70"/>
  <c r="J46" i="70" l="1"/>
  <c r="K46" i="70" s="1"/>
  <c r="K47" i="65"/>
  <c r="D63" i="70"/>
  <c r="E63" i="70" s="1"/>
  <c r="K64" i="65"/>
  <c r="D13" i="70"/>
  <c r="E13" i="70" s="1"/>
  <c r="K13" i="65"/>
  <c r="F23" i="70"/>
  <c r="F19" i="70"/>
  <c r="K14" i="65"/>
  <c r="D14" i="70"/>
  <c r="E14" i="70" s="1"/>
  <c r="D18" i="70"/>
  <c r="E18" i="70" s="1"/>
  <c r="K18" i="65"/>
  <c r="F20" i="70"/>
  <c r="D42" i="65"/>
  <c r="O42" i="109"/>
  <c r="R32" i="70"/>
  <c r="K15" i="65"/>
  <c r="D15" i="70"/>
  <c r="E15" i="70" s="1"/>
  <c r="D22" i="70"/>
  <c r="E22" i="70" s="1"/>
  <c r="K22" i="65"/>
  <c r="F59" i="70"/>
  <c r="F13" i="70" l="1"/>
  <c r="J41" i="70"/>
  <c r="K41" i="70" s="1"/>
  <c r="K42" i="65"/>
  <c r="F63" i="70"/>
  <c r="F22" i="70"/>
  <c r="F18" i="70"/>
  <c r="F15" i="70"/>
  <c r="F14" i="70"/>
  <c r="L46" i="70"/>
  <c r="G16" i="45"/>
  <c r="G17" i="45"/>
  <c r="H12" i="45"/>
  <c r="G12" i="45"/>
  <c r="G19" i="45"/>
  <c r="H29" i="45"/>
  <c r="G13" i="45"/>
  <c r="H26" i="45"/>
  <c r="H19" i="45"/>
  <c r="H17" i="45"/>
  <c r="H18" i="45"/>
  <c r="H16" i="45"/>
  <c r="G18" i="45"/>
  <c r="G26" i="45"/>
  <c r="G29" i="45"/>
  <c r="H13" i="45"/>
  <c r="I21" i="45" l="1"/>
  <c r="G22" i="45"/>
  <c r="D32" i="38"/>
  <c r="G10" i="42"/>
  <c r="F11" i="42"/>
  <c r="H11" i="45"/>
  <c r="G11" i="45"/>
  <c r="J21" i="45"/>
  <c r="H22" i="45"/>
  <c r="I27" i="45"/>
  <c r="G27" i="45" s="1"/>
  <c r="G28" i="45"/>
  <c r="J27" i="45"/>
  <c r="H27" i="45" s="1"/>
  <c r="H28" i="45"/>
  <c r="I14" i="45"/>
  <c r="G14" i="45" s="1"/>
  <c r="G15" i="45"/>
  <c r="L41" i="70"/>
  <c r="J14" i="45"/>
  <c r="H14" i="45" s="1"/>
  <c r="H15" i="45"/>
  <c r="C41" i="11"/>
  <c r="G71" i="8" l="1"/>
  <c r="F71" i="8"/>
  <c r="E71" i="8"/>
  <c r="E84" i="8"/>
  <c r="F84" i="8"/>
  <c r="G84" i="8"/>
  <c r="E77" i="8"/>
  <c r="F77" i="8"/>
  <c r="G77" i="8"/>
  <c r="C66" i="8"/>
  <c r="G88" i="8"/>
  <c r="F88" i="8"/>
  <c r="E88" i="8"/>
  <c r="I10" i="45"/>
  <c r="C26" i="8"/>
  <c r="G34" i="8"/>
  <c r="F34" i="8"/>
  <c r="E34" i="8"/>
  <c r="G56" i="8"/>
  <c r="E56" i="8"/>
  <c r="F56" i="8"/>
  <c r="C32" i="8"/>
  <c r="C25" i="8"/>
  <c r="E33" i="8"/>
  <c r="G33" i="8"/>
  <c r="F33" i="8"/>
  <c r="C62" i="8"/>
  <c r="F70" i="8"/>
  <c r="E70" i="8"/>
  <c r="G70" i="8"/>
  <c r="J10" i="45"/>
  <c r="C21" i="8"/>
  <c r="G57" i="8"/>
  <c r="E57" i="8"/>
  <c r="F57" i="8"/>
  <c r="C53" i="8"/>
  <c r="G54" i="8"/>
  <c r="E54" i="8"/>
  <c r="F54" i="8"/>
  <c r="C61" i="8"/>
  <c r="C68" i="8"/>
  <c r="G69" i="8"/>
  <c r="E69" i="8"/>
  <c r="F69" i="8"/>
  <c r="D34" i="109"/>
  <c r="J32" i="38"/>
  <c r="C75" i="8"/>
  <c r="G76" i="8"/>
  <c r="F76" i="8"/>
  <c r="E76" i="8"/>
  <c r="G78" i="8"/>
  <c r="E78" i="8"/>
  <c r="F78" i="8"/>
  <c r="J20" i="45"/>
  <c r="H20" i="45" s="1"/>
  <c r="H21" i="45"/>
  <c r="C82" i="8"/>
  <c r="F83" i="8"/>
  <c r="E83" i="8"/>
  <c r="G83" i="8"/>
  <c r="C30" i="8"/>
  <c r="E38" i="8"/>
  <c r="F38" i="8"/>
  <c r="G38" i="8"/>
  <c r="I20" i="45"/>
  <c r="G20" i="45" s="1"/>
  <c r="G21" i="45"/>
  <c r="C19" i="11"/>
  <c r="C12" i="11" s="1"/>
  <c r="C20" i="11"/>
  <c r="C62" i="11"/>
  <c r="C40" i="11"/>
  <c r="G58" i="11"/>
  <c r="F58" i="11"/>
  <c r="C46" i="11" l="1"/>
  <c r="C39" i="11"/>
  <c r="C14" i="8"/>
  <c r="G21" i="8"/>
  <c r="E21" i="8"/>
  <c r="F21" i="8"/>
  <c r="G66" i="8"/>
  <c r="E66" i="8"/>
  <c r="F66" i="8"/>
  <c r="I62" i="11"/>
  <c r="F62" i="11" s="1"/>
  <c r="F69" i="11"/>
  <c r="I39" i="11"/>
  <c r="I46" i="11"/>
  <c r="F47" i="11"/>
  <c r="G54" i="11"/>
  <c r="J53" i="11"/>
  <c r="F85" i="8"/>
  <c r="G85" i="8"/>
  <c r="E85" i="8"/>
  <c r="E67" i="11"/>
  <c r="H66" i="11"/>
  <c r="H60" i="11"/>
  <c r="C66" i="11"/>
  <c r="C60" i="11"/>
  <c r="C59" i="11" s="1"/>
  <c r="E44" i="38"/>
  <c r="H10" i="45"/>
  <c r="C44" i="11"/>
  <c r="E44" i="11" s="1"/>
  <c r="E52" i="11"/>
  <c r="C27" i="8"/>
  <c r="F35" i="8"/>
  <c r="E35" i="8"/>
  <c r="G35" i="8"/>
  <c r="G52" i="11"/>
  <c r="J44" i="11"/>
  <c r="G44" i="11" s="1"/>
  <c r="E69" i="11"/>
  <c r="H62" i="11"/>
  <c r="E62" i="11" s="1"/>
  <c r="H20" i="11"/>
  <c r="E28" i="11"/>
  <c r="C18" i="11"/>
  <c r="C25" i="11"/>
  <c r="G61" i="8"/>
  <c r="F61" i="8"/>
  <c r="E61" i="8"/>
  <c r="J39" i="11"/>
  <c r="G47" i="11"/>
  <c r="J46" i="11"/>
  <c r="I94" i="11"/>
  <c r="F110" i="11"/>
  <c r="I109" i="11"/>
  <c r="I108" i="11" s="1"/>
  <c r="D36" i="7" s="1"/>
  <c r="D34" i="7" s="1"/>
  <c r="D17" i="109" s="1"/>
  <c r="D17" i="65" s="1"/>
  <c r="J17" i="70" s="1"/>
  <c r="K17" i="70" s="1"/>
  <c r="E48" i="11"/>
  <c r="H40" i="11"/>
  <c r="E40" i="11" s="1"/>
  <c r="J40" i="11"/>
  <c r="G40" i="11" s="1"/>
  <c r="G48" i="11"/>
  <c r="G69" i="11"/>
  <c r="J62" i="11"/>
  <c r="G62" i="11" s="1"/>
  <c r="C18" i="8"/>
  <c r="C24" i="8"/>
  <c r="E25" i="8"/>
  <c r="G25" i="8"/>
  <c r="F25" i="8"/>
  <c r="F26" i="11"/>
  <c r="I25" i="11"/>
  <c r="I18" i="11"/>
  <c r="I19" i="11"/>
  <c r="F27" i="11"/>
  <c r="I44" i="11"/>
  <c r="F44" i="11" s="1"/>
  <c r="F52" i="11"/>
  <c r="E49" i="11"/>
  <c r="H41" i="11"/>
  <c r="E41" i="11" s="1"/>
  <c r="F114" i="11"/>
  <c r="I99" i="11"/>
  <c r="F99" i="11" s="1"/>
  <c r="J109" i="11"/>
  <c r="J108" i="11" s="1"/>
  <c r="E36" i="7" s="1"/>
  <c r="E34" i="7" s="1"/>
  <c r="E17" i="109" s="1"/>
  <c r="E17" i="65" s="1"/>
  <c r="P17" i="70" s="1"/>
  <c r="Q17" i="70" s="1"/>
  <c r="J94" i="11"/>
  <c r="G110" i="11"/>
  <c r="D34" i="65"/>
  <c r="O34" i="109"/>
  <c r="J99" i="11"/>
  <c r="G99" i="11" s="1"/>
  <c r="G114" i="11"/>
  <c r="H19" i="11"/>
  <c r="E27" i="11"/>
  <c r="G31" i="11"/>
  <c r="J23" i="11"/>
  <c r="C23" i="11"/>
  <c r="E31" i="11"/>
  <c r="C23" i="8"/>
  <c r="F30" i="8"/>
  <c r="E30" i="8"/>
  <c r="G30" i="8"/>
  <c r="E62" i="8"/>
  <c r="G62" i="8"/>
  <c r="F62" i="8"/>
  <c r="C19" i="8"/>
  <c r="G26" i="8"/>
  <c r="F26" i="8"/>
  <c r="E26" i="8"/>
  <c r="F54" i="11"/>
  <c r="I53" i="11"/>
  <c r="I23" i="11"/>
  <c r="F31" i="11"/>
  <c r="F48" i="11"/>
  <c r="I40" i="11"/>
  <c r="F40" i="11" s="1"/>
  <c r="F67" i="11"/>
  <c r="I60" i="11"/>
  <c r="I66" i="11"/>
  <c r="D44" i="38"/>
  <c r="G10" i="45"/>
  <c r="F49" i="11"/>
  <c r="I41" i="11"/>
  <c r="F41" i="11" s="1"/>
  <c r="H18" i="11"/>
  <c r="E26" i="11"/>
  <c r="H25" i="11"/>
  <c r="J18" i="11"/>
  <c r="J25" i="11"/>
  <c r="G26" i="11"/>
  <c r="G67" i="11"/>
  <c r="J60" i="11"/>
  <c r="J66" i="11"/>
  <c r="H53" i="11"/>
  <c r="E54" i="11"/>
  <c r="H39" i="11"/>
  <c r="H46" i="11"/>
  <c r="E47" i="11"/>
  <c r="J19" i="11"/>
  <c r="G27" i="11"/>
  <c r="G28" i="11"/>
  <c r="J20" i="11"/>
  <c r="H109" i="11"/>
  <c r="H108" i="11" s="1"/>
  <c r="C36" i="7" s="1"/>
  <c r="H94" i="11"/>
  <c r="E110" i="11"/>
  <c r="J41" i="11"/>
  <c r="G41" i="11" s="1"/>
  <c r="G49" i="11"/>
  <c r="F28" i="11"/>
  <c r="I20" i="11"/>
  <c r="C13" i="11"/>
  <c r="C63" i="8"/>
  <c r="C60" i="8" s="1"/>
  <c r="H20" i="47"/>
  <c r="M46" i="109" s="1"/>
  <c r="F11" i="47"/>
  <c r="F20" i="47"/>
  <c r="K46" i="109" s="1"/>
  <c r="H16" i="7"/>
  <c r="M14" i="109" s="1"/>
  <c r="G17" i="47"/>
  <c r="L45" i="109" s="1"/>
  <c r="G20" i="47"/>
  <c r="L46" i="109" s="1"/>
  <c r="H14" i="47"/>
  <c r="M44" i="109" s="1"/>
  <c r="M16" i="22"/>
  <c r="F14" i="47"/>
  <c r="K44" i="109" s="1"/>
  <c r="F24" i="7"/>
  <c r="K15" i="109" s="1"/>
  <c r="F34" i="7"/>
  <c r="K17" i="109" s="1"/>
  <c r="M35" i="22"/>
  <c r="M26" i="109" s="1"/>
  <c r="G34" i="7"/>
  <c r="L17" i="109" s="1"/>
  <c r="H23" i="47"/>
  <c r="M47" i="109" s="1"/>
  <c r="H11" i="1"/>
  <c r="G30" i="7"/>
  <c r="L16" i="109" s="1"/>
  <c r="F23" i="47"/>
  <c r="K47" i="109" s="1"/>
  <c r="G14" i="47"/>
  <c r="L44" i="109" s="1"/>
  <c r="K27" i="22"/>
  <c r="I24" i="7"/>
  <c r="N15" i="109" s="1"/>
  <c r="I30" i="7"/>
  <c r="N16" i="109" s="1"/>
  <c r="I34" i="7"/>
  <c r="N17" i="109" s="1"/>
  <c r="G23" i="47"/>
  <c r="L47" i="109" s="1"/>
  <c r="M57" i="22"/>
  <c r="M30" i="109" s="1"/>
  <c r="L27" i="22"/>
  <c r="H30" i="7"/>
  <c r="M16" i="109" s="1"/>
  <c r="H34" i="7"/>
  <c r="M17" i="109" s="1"/>
  <c r="H12" i="7"/>
  <c r="F16" i="7" l="1"/>
  <c r="K14" i="109" s="1"/>
  <c r="F17" i="47"/>
  <c r="K45" i="109" s="1"/>
  <c r="M27" i="22"/>
  <c r="M25" i="109" s="1"/>
  <c r="G42" i="7"/>
  <c r="C16" i="11"/>
  <c r="E16" i="11" s="1"/>
  <c r="E23" i="11"/>
  <c r="F94" i="11"/>
  <c r="I93" i="11"/>
  <c r="I38" i="11"/>
  <c r="D32" i="7" s="1"/>
  <c r="F39" i="11"/>
  <c r="H42" i="7"/>
  <c r="F10" i="38"/>
  <c r="K37" i="109"/>
  <c r="G23" i="11"/>
  <c r="J16" i="11"/>
  <c r="H24" i="7"/>
  <c r="M15" i="109" s="1"/>
  <c r="L25" i="109"/>
  <c r="L10" i="22"/>
  <c r="M37" i="109"/>
  <c r="H10" i="38"/>
  <c r="D37" i="109"/>
  <c r="J44" i="38"/>
  <c r="D10" i="38"/>
  <c r="H59" i="11"/>
  <c r="C33" i="7" s="1"/>
  <c r="E60" i="11"/>
  <c r="G11" i="47"/>
  <c r="E94" i="11"/>
  <c r="H93" i="11"/>
  <c r="G60" i="11"/>
  <c r="J59" i="11"/>
  <c r="E33" i="7" s="1"/>
  <c r="F19" i="8"/>
  <c r="G19" i="8"/>
  <c r="E19" i="8"/>
  <c r="C17" i="8"/>
  <c r="E18" i="8"/>
  <c r="G18" i="8"/>
  <c r="F18" i="8"/>
  <c r="G39" i="11"/>
  <c r="J38" i="11"/>
  <c r="E32" i="7" s="1"/>
  <c r="F10" i="47"/>
  <c r="K43" i="109"/>
  <c r="J36" i="7"/>
  <c r="C34" i="7"/>
  <c r="I59" i="11"/>
  <c r="D33" i="7" s="1"/>
  <c r="F60" i="11"/>
  <c r="E19" i="11"/>
  <c r="H12" i="11"/>
  <c r="H17" i="47"/>
  <c r="M45" i="109" s="1"/>
  <c r="F42" i="7"/>
  <c r="G12" i="7"/>
  <c r="I16" i="7"/>
  <c r="N14" i="109" s="1"/>
  <c r="G20" i="11"/>
  <c r="J13" i="11"/>
  <c r="K10" i="22"/>
  <c r="K25" i="109"/>
  <c r="H11" i="47"/>
  <c r="H21" i="1"/>
  <c r="M55" i="109" s="1"/>
  <c r="G16" i="7"/>
  <c r="L14" i="109" s="1"/>
  <c r="J17" i="11"/>
  <c r="E31" i="7" s="1"/>
  <c r="E30" i="7" s="1"/>
  <c r="G18" i="11"/>
  <c r="J11" i="11"/>
  <c r="F19" i="11"/>
  <c r="I12" i="11"/>
  <c r="C20" i="8"/>
  <c r="F27" i="8"/>
  <c r="E27" i="8"/>
  <c r="G27" i="8"/>
  <c r="M10" i="22"/>
  <c r="M24" i="109"/>
  <c r="G63" i="8"/>
  <c r="F63" i="8"/>
  <c r="E63" i="8"/>
  <c r="J12" i="11"/>
  <c r="G19" i="11"/>
  <c r="J33" i="70"/>
  <c r="K33" i="70" s="1"/>
  <c r="K34" i="65"/>
  <c r="I17" i="11"/>
  <c r="D31" i="7" s="1"/>
  <c r="D30" i="7" s="1"/>
  <c r="F18" i="11"/>
  <c r="I11" i="11"/>
  <c r="M13" i="109"/>
  <c r="H11" i="7"/>
  <c r="M52" i="109"/>
  <c r="G24" i="7"/>
  <c r="L15" i="109" s="1"/>
  <c r="I12" i="7"/>
  <c r="F12" i="7"/>
  <c r="G10" i="38"/>
  <c r="L37" i="109"/>
  <c r="N27" i="22"/>
  <c r="I16" i="11"/>
  <c r="F23" i="11"/>
  <c r="C11" i="11"/>
  <c r="C10" i="11" s="1"/>
  <c r="C17" i="11"/>
  <c r="F13" i="13"/>
  <c r="H13" i="13" s="1"/>
  <c r="F14" i="8"/>
  <c r="E14" i="8"/>
  <c r="G14" i="8"/>
  <c r="I13" i="11"/>
  <c r="F20" i="11"/>
  <c r="H11" i="11"/>
  <c r="E18" i="11"/>
  <c r="H17" i="11"/>
  <c r="C31" i="7" s="1"/>
  <c r="F23" i="8"/>
  <c r="E23" i="8"/>
  <c r="G23" i="8"/>
  <c r="G94" i="11"/>
  <c r="J93" i="11"/>
  <c r="L17" i="70"/>
  <c r="C38" i="11"/>
  <c r="F30" i="7"/>
  <c r="K16" i="109" s="1"/>
  <c r="H38" i="11"/>
  <c r="C32" i="7" s="1"/>
  <c r="J32" i="7" s="1"/>
  <c r="E39" i="11"/>
  <c r="R17" i="70"/>
  <c r="E20" i="11"/>
  <c r="H13" i="11"/>
  <c r="E37" i="109"/>
  <c r="E37" i="65" s="1"/>
  <c r="P36" i="70" s="1"/>
  <c r="Q36" i="70" s="1"/>
  <c r="E10" i="38"/>
  <c r="E31" i="109" s="1"/>
  <c r="E31" i="65" s="1"/>
  <c r="P30" i="70" s="1"/>
  <c r="Q30" i="70" s="1"/>
  <c r="J33" i="7" l="1"/>
  <c r="K31" i="109"/>
  <c r="F13" i="68"/>
  <c r="F44" i="9"/>
  <c r="E44" i="9"/>
  <c r="G44" i="9"/>
  <c r="F87" i="9"/>
  <c r="G87" i="9"/>
  <c r="E87" i="9"/>
  <c r="C62" i="9"/>
  <c r="G70" i="9"/>
  <c r="F70" i="9"/>
  <c r="E70" i="9"/>
  <c r="F34" i="9"/>
  <c r="E34" i="9"/>
  <c r="G34" i="9"/>
  <c r="G47" i="9"/>
  <c r="E47" i="9"/>
  <c r="F47" i="9"/>
  <c r="H10" i="7"/>
  <c r="M12" i="109"/>
  <c r="D31" i="109"/>
  <c r="C13" i="68"/>
  <c r="J10" i="38"/>
  <c r="M20" i="109"/>
  <c r="H37" i="7"/>
  <c r="M18" i="109" s="1"/>
  <c r="C65" i="9"/>
  <c r="G73" i="9"/>
  <c r="F73" i="9"/>
  <c r="E73" i="9"/>
  <c r="G26" i="9"/>
  <c r="E26" i="9"/>
  <c r="F26" i="9"/>
  <c r="E12" i="68"/>
  <c r="M22" i="109"/>
  <c r="G55" i="9"/>
  <c r="E55" i="9"/>
  <c r="F55" i="9"/>
  <c r="E105" i="9"/>
  <c r="F105" i="9"/>
  <c r="G105" i="9"/>
  <c r="F122" i="9"/>
  <c r="E122" i="9"/>
  <c r="G122" i="9"/>
  <c r="J34" i="7"/>
  <c r="C17" i="109"/>
  <c r="O37" i="109"/>
  <c r="D37" i="65"/>
  <c r="C12" i="9"/>
  <c r="F19" i="9"/>
  <c r="G19" i="9"/>
  <c r="E19" i="9"/>
  <c r="E101" i="9"/>
  <c r="G101" i="9"/>
  <c r="F101" i="9"/>
  <c r="G51" i="9"/>
  <c r="F51" i="9"/>
  <c r="E51" i="9"/>
  <c r="M43" i="109"/>
  <c r="H10" i="47"/>
  <c r="G30" i="9"/>
  <c r="E30" i="9"/>
  <c r="F30" i="9"/>
  <c r="G104" i="9"/>
  <c r="E104" i="9"/>
  <c r="F104" i="9"/>
  <c r="I10" i="11"/>
  <c r="F11" i="11"/>
  <c r="I11" i="8"/>
  <c r="C67" i="9"/>
  <c r="C60" i="9"/>
  <c r="G68" i="9"/>
  <c r="F68" i="9"/>
  <c r="E68" i="9"/>
  <c r="G33" i="9"/>
  <c r="E33" i="9"/>
  <c r="F33" i="9"/>
  <c r="C16" i="9"/>
  <c r="G23" i="9"/>
  <c r="F23" i="9"/>
  <c r="E23" i="9"/>
  <c r="G58" i="9"/>
  <c r="F58" i="9"/>
  <c r="E58" i="9"/>
  <c r="J31" i="7"/>
  <c r="C30" i="7"/>
  <c r="F16" i="11"/>
  <c r="I16" i="8"/>
  <c r="F12" i="68"/>
  <c r="K22" i="109"/>
  <c r="M31" i="109"/>
  <c r="E13" i="68"/>
  <c r="C95" i="9"/>
  <c r="E96" i="9"/>
  <c r="F96" i="9"/>
  <c r="G96" i="9"/>
  <c r="C11" i="9"/>
  <c r="C17" i="9"/>
  <c r="G18" i="9"/>
  <c r="E18" i="9"/>
  <c r="F18" i="9"/>
  <c r="C45" i="9"/>
  <c r="G46" i="9"/>
  <c r="E46" i="9"/>
  <c r="F46" i="9"/>
  <c r="F37" i="9"/>
  <c r="E37" i="9"/>
  <c r="G37" i="9"/>
  <c r="E11" i="11"/>
  <c r="H10" i="11"/>
  <c r="H11" i="8"/>
  <c r="E20" i="8"/>
  <c r="F20" i="8"/>
  <c r="G20" i="8"/>
  <c r="F14" i="68"/>
  <c r="K42" i="109"/>
  <c r="L22" i="109"/>
  <c r="D12" i="68"/>
  <c r="C102" i="9"/>
  <c r="E103" i="9"/>
  <c r="G103" i="9"/>
  <c r="F103" i="9"/>
  <c r="F83" i="9"/>
  <c r="G83" i="9"/>
  <c r="E83" i="9"/>
  <c r="F40" i="9"/>
  <c r="E40" i="9"/>
  <c r="G40" i="9"/>
  <c r="G121" i="9"/>
  <c r="E121" i="9"/>
  <c r="F121" i="9"/>
  <c r="D13" i="68"/>
  <c r="L31" i="109"/>
  <c r="L33" i="70"/>
  <c r="F12" i="11"/>
  <c r="I12" i="8"/>
  <c r="F54" i="9"/>
  <c r="G54" i="9"/>
  <c r="E54" i="9"/>
  <c r="G27" i="9"/>
  <c r="E27" i="9"/>
  <c r="F27" i="9"/>
  <c r="G98" i="9"/>
  <c r="F98" i="9"/>
  <c r="E98" i="9"/>
  <c r="C52" i="9"/>
  <c r="F53" i="9"/>
  <c r="G53" i="9"/>
  <c r="E53" i="9"/>
  <c r="R30" i="70"/>
  <c r="F13" i="11"/>
  <c r="I13" i="8"/>
  <c r="F11" i="7"/>
  <c r="K13" i="109"/>
  <c r="L13" i="109"/>
  <c r="G11" i="7"/>
  <c r="L20" i="109"/>
  <c r="G37" i="7"/>
  <c r="L18" i="109" s="1"/>
  <c r="C119" i="9"/>
  <c r="C118" i="9" s="1"/>
  <c r="F120" i="9"/>
  <c r="E120" i="9"/>
  <c r="G120" i="9"/>
  <c r="C38" i="9"/>
  <c r="F39" i="9"/>
  <c r="G39" i="9"/>
  <c r="E39" i="9"/>
  <c r="D16" i="109"/>
  <c r="D16" i="65" s="1"/>
  <c r="J16" i="70" s="1"/>
  <c r="K16" i="70" s="1"/>
  <c r="D11" i="7"/>
  <c r="G13" i="11"/>
  <c r="J13" i="8"/>
  <c r="G41" i="9"/>
  <c r="F41" i="9"/>
  <c r="E41" i="9"/>
  <c r="F37" i="7"/>
  <c r="K18" i="109" s="1"/>
  <c r="K20" i="109"/>
  <c r="G16" i="11"/>
  <c r="J16" i="8"/>
  <c r="C61" i="9"/>
  <c r="F69" i="9"/>
  <c r="G69" i="9"/>
  <c r="E69" i="9"/>
  <c r="C13" i="9"/>
  <c r="E20" i="9"/>
  <c r="G20" i="9"/>
  <c r="F20" i="9"/>
  <c r="G48" i="9"/>
  <c r="E48" i="9"/>
  <c r="F48" i="9"/>
  <c r="R36" i="70"/>
  <c r="N13" i="109"/>
  <c r="I11" i="7"/>
  <c r="G12" i="11"/>
  <c r="J12" i="8"/>
  <c r="G11" i="11"/>
  <c r="J10" i="11"/>
  <c r="J11" i="8"/>
  <c r="C24" i="9"/>
  <c r="G25" i="9"/>
  <c r="E25" i="9"/>
  <c r="F25" i="9"/>
  <c r="C81" i="9"/>
  <c r="E82" i="9"/>
  <c r="F82" i="9"/>
  <c r="G82" i="9"/>
  <c r="E13" i="11"/>
  <c r="H13" i="8"/>
  <c r="L43" i="109"/>
  <c r="G10" i="47"/>
  <c r="N10" i="22"/>
  <c r="N22" i="109" s="1"/>
  <c r="N25" i="109"/>
  <c r="F125" i="9"/>
  <c r="G125" i="9"/>
  <c r="E125" i="9"/>
  <c r="G84" i="9"/>
  <c r="E84" i="9"/>
  <c r="F84" i="9"/>
  <c r="C31" i="9"/>
  <c r="E32" i="9"/>
  <c r="G32" i="9"/>
  <c r="F32" i="9"/>
  <c r="H10" i="1"/>
  <c r="E16" i="109"/>
  <c r="E16" i="65" s="1"/>
  <c r="P16" i="70" s="1"/>
  <c r="Q16" i="70" s="1"/>
  <c r="E11" i="7"/>
  <c r="E12" i="11"/>
  <c r="H12" i="8"/>
  <c r="C59" i="9" l="1"/>
  <c r="G60" i="9"/>
  <c r="E60" i="9"/>
  <c r="F60" i="9"/>
  <c r="C17" i="65"/>
  <c r="O17" i="109"/>
  <c r="D31" i="65"/>
  <c r="O31" i="109"/>
  <c r="G62" i="9"/>
  <c r="F62" i="9"/>
  <c r="E62" i="9"/>
  <c r="G16" i="8"/>
  <c r="L42" i="109"/>
  <c r="D14" i="68"/>
  <c r="I10" i="8"/>
  <c r="G12" i="13"/>
  <c r="I12" i="13" s="1"/>
  <c r="E13" i="8"/>
  <c r="E11" i="68"/>
  <c r="M11" i="109"/>
  <c r="K37" i="65"/>
  <c r="J36" i="70"/>
  <c r="K36" i="70" s="1"/>
  <c r="J10" i="8"/>
  <c r="G13" i="9"/>
  <c r="F13" i="9"/>
  <c r="E13" i="9"/>
  <c r="M42" i="109"/>
  <c r="E14" i="68"/>
  <c r="I10" i="7"/>
  <c r="N11" i="109" s="1"/>
  <c r="N10" i="109" s="1"/>
  <c r="N12" i="109"/>
  <c r="F16" i="9"/>
  <c r="G16" i="9"/>
  <c r="E16" i="9"/>
  <c r="C16" i="8"/>
  <c r="E16" i="8" s="1"/>
  <c r="E15" i="68"/>
  <c r="M51" i="109"/>
  <c r="D12" i="109"/>
  <c r="D12" i="65" s="1"/>
  <c r="J12" i="70" s="1"/>
  <c r="K12" i="70" s="1"/>
  <c r="D10" i="7"/>
  <c r="L12" i="109"/>
  <c r="G10" i="7"/>
  <c r="E10" i="7"/>
  <c r="E11" i="109" s="1"/>
  <c r="E12" i="109"/>
  <c r="E12" i="65" s="1"/>
  <c r="P12" i="70" s="1"/>
  <c r="Q12" i="70" s="1"/>
  <c r="K12" i="109"/>
  <c r="F10" i="7"/>
  <c r="G11" i="13"/>
  <c r="I11" i="13" s="1"/>
  <c r="C13" i="8"/>
  <c r="F12" i="13" s="1"/>
  <c r="H12" i="13" s="1"/>
  <c r="F16" i="8"/>
  <c r="G13" i="8"/>
  <c r="L16" i="70"/>
  <c r="F61" i="9"/>
  <c r="E61" i="9"/>
  <c r="G61" i="9"/>
  <c r="H10" i="8"/>
  <c r="G10" i="13"/>
  <c r="F65" i="9"/>
  <c r="G65" i="9"/>
  <c r="E65" i="9"/>
  <c r="C16" i="109"/>
  <c r="J30" i="7"/>
  <c r="C11" i="7"/>
  <c r="R16" i="70"/>
  <c r="F13" i="8"/>
  <c r="C10" i="9"/>
  <c r="E11" i="9"/>
  <c r="G11" i="9"/>
  <c r="F11" i="9"/>
  <c r="C11" i="8"/>
  <c r="G12" i="9"/>
  <c r="F12" i="9"/>
  <c r="E12" i="9"/>
  <c r="C12" i="8"/>
  <c r="F11" i="13" s="1"/>
  <c r="H11" i="13" s="1"/>
  <c r="K11" i="109" l="1"/>
  <c r="K10" i="109" s="1"/>
  <c r="F11" i="68"/>
  <c r="F10" i="68" s="1"/>
  <c r="L36" i="70"/>
  <c r="R12" i="70"/>
  <c r="M10" i="109"/>
  <c r="E11" i="65"/>
  <c r="P11" i="70" s="1"/>
  <c r="E10" i="109"/>
  <c r="E10" i="65" s="1"/>
  <c r="E10" i="68"/>
  <c r="G12" i="8"/>
  <c r="J30" i="70"/>
  <c r="K30" i="70" s="1"/>
  <c r="K31" i="65"/>
  <c r="C12" i="109"/>
  <c r="C10" i="7"/>
  <c r="J11" i="7"/>
  <c r="G15" i="13"/>
  <c r="I15" i="13" s="1"/>
  <c r="I10" i="13"/>
  <c r="C16" i="65"/>
  <c r="O16" i="109"/>
  <c r="D11" i="109"/>
  <c r="C11" i="68"/>
  <c r="C10" i="68" s="1"/>
  <c r="F12" i="8"/>
  <c r="K17" i="65"/>
  <c r="D17" i="70"/>
  <c r="E17" i="70" s="1"/>
  <c r="D11" i="68"/>
  <c r="D10" i="68" s="1"/>
  <c r="L11" i="109"/>
  <c r="L10" i="109" s="1"/>
  <c r="F10" i="13"/>
  <c r="C10" i="8"/>
  <c r="F11" i="8"/>
  <c r="L12" i="70"/>
  <c r="E11" i="8"/>
  <c r="E12" i="8"/>
  <c r="G11" i="8"/>
  <c r="P10" i="70" l="1"/>
  <c r="Q10" i="70" s="1"/>
  <c r="Q11" i="70"/>
  <c r="D16" i="70"/>
  <c r="E16" i="70" s="1"/>
  <c r="K16" i="65"/>
  <c r="D10" i="109"/>
  <c r="D10" i="65" s="1"/>
  <c r="D11" i="65"/>
  <c r="J11" i="70" s="1"/>
  <c r="C12" i="65"/>
  <c r="O12" i="109"/>
  <c r="C11" i="109"/>
  <c r="J10" i="7"/>
  <c r="F17" i="70"/>
  <c r="F15" i="13"/>
  <c r="H15" i="13" s="1"/>
  <c r="H10" i="13"/>
  <c r="L30" i="70"/>
  <c r="D12" i="70" l="1"/>
  <c r="E12" i="70" s="1"/>
  <c r="K12" i="65"/>
  <c r="C11" i="65"/>
  <c r="O11" i="109"/>
  <c r="C10" i="109"/>
  <c r="J10" i="70"/>
  <c r="K10" i="70" s="1"/>
  <c r="K11" i="70"/>
  <c r="R11" i="70"/>
  <c r="F16" i="70"/>
  <c r="R10" i="70"/>
  <c r="L11" i="70" l="1"/>
  <c r="L10" i="70"/>
  <c r="C10" i="65"/>
  <c r="K10" i="65" s="1"/>
  <c r="O10" i="109"/>
  <c r="D11" i="70"/>
  <c r="K11" i="65"/>
  <c r="F12" i="70"/>
  <c r="E11" i="70" l="1"/>
  <c r="D10" i="70"/>
  <c r="K71" i="65"/>
  <c r="K72" i="65"/>
  <c r="G34" i="73" l="1"/>
  <c r="E10" i="70"/>
  <c r="F11" i="70"/>
  <c r="F10" i="70" l="1"/>
  <c r="H10" i="70"/>
  <c r="H11" i="70"/>
  <c r="I34" i="73"/>
  <c r="J34" i="73" s="1"/>
  <c r="G35" i="73"/>
  <c r="H45" i="70"/>
  <c r="T49" i="70"/>
  <c r="T43" i="70"/>
  <c r="H22" i="73"/>
  <c r="H24" i="73"/>
  <c r="H46" i="70"/>
  <c r="T44" i="70"/>
  <c r="H23" i="73"/>
  <c r="H25" i="73"/>
  <c r="T42" i="70"/>
  <c r="H21" i="73"/>
  <c r="N44" i="70"/>
  <c r="H65" i="70"/>
  <c r="T45" i="70"/>
  <c r="N42" i="70"/>
  <c r="N43" i="70"/>
  <c r="H42" i="70"/>
  <c r="T54" i="70"/>
  <c r="H44" i="70"/>
  <c r="H48" i="70"/>
  <c r="N51" i="70"/>
  <c r="N45" i="70"/>
  <c r="T52" i="70"/>
  <c r="H38" i="70"/>
  <c r="H43" i="70"/>
  <c r="T50" i="70"/>
  <c r="N54" i="70"/>
  <c r="T25" i="70"/>
  <c r="Z27" i="73"/>
  <c r="H41" i="70"/>
  <c r="N25" i="70"/>
  <c r="Z28" i="73"/>
  <c r="H37" i="70"/>
  <c r="T19" i="70"/>
  <c r="N50" i="70"/>
  <c r="N61" i="70"/>
  <c r="N52" i="70"/>
  <c r="T61" i="70"/>
  <c r="T24" i="70"/>
  <c r="T59" i="70"/>
  <c r="T60" i="70"/>
  <c r="N20" i="70"/>
  <c r="H30" i="70"/>
  <c r="Z10" i="73"/>
  <c r="T14" i="70"/>
  <c r="T22" i="70"/>
  <c r="N18" i="70"/>
  <c r="N15" i="70"/>
  <c r="N14" i="70"/>
  <c r="H25" i="70"/>
  <c r="T46" i="70"/>
  <c r="N60" i="70"/>
  <c r="N24" i="70"/>
  <c r="T20" i="70"/>
  <c r="T18" i="70"/>
  <c r="T34" i="70"/>
  <c r="T15" i="70"/>
  <c r="N19" i="70"/>
  <c r="H24" i="70"/>
  <c r="N59" i="70"/>
  <c r="H53" i="70"/>
  <c r="H29" i="70"/>
  <c r="T41" i="70"/>
  <c r="N22" i="70"/>
  <c r="N31" i="70"/>
  <c r="H50" i="70"/>
  <c r="H26" i="70"/>
  <c r="N32" i="70"/>
  <c r="N10" i="73"/>
  <c r="N13" i="73"/>
  <c r="H10" i="73"/>
  <c r="N13" i="70"/>
  <c r="T13" i="70"/>
  <c r="H61" i="70"/>
  <c r="H60" i="70"/>
  <c r="T32" i="70"/>
  <c r="H20" i="70"/>
  <c r="H23" i="70"/>
  <c r="H59" i="70"/>
  <c r="H19" i="70"/>
  <c r="H18" i="70"/>
  <c r="H13" i="70"/>
  <c r="H15" i="70"/>
  <c r="H63" i="70"/>
  <c r="H14" i="70"/>
  <c r="H22" i="70"/>
  <c r="N46" i="70"/>
  <c r="N41" i="70"/>
  <c r="N17" i="70"/>
  <c r="T17" i="70"/>
  <c r="T36" i="70"/>
  <c r="T30" i="70"/>
  <c r="N33" i="70"/>
  <c r="N16" i="70"/>
  <c r="T16" i="70"/>
  <c r="N36" i="70"/>
  <c r="T12" i="70"/>
  <c r="N12" i="70"/>
  <c r="N30" i="70"/>
  <c r="H17" i="70"/>
  <c r="T10" i="70"/>
  <c r="H16" i="70"/>
  <c r="T11" i="70"/>
  <c r="N11" i="70"/>
  <c r="N10" i="70"/>
  <c r="H12" i="70"/>
  <c r="I35" i="73" l="1"/>
  <c r="J35" i="73" s="1"/>
  <c r="G22" i="73"/>
  <c r="G24" i="73"/>
  <c r="G25" i="73"/>
  <c r="G23" i="73"/>
  <c r="G21" i="73"/>
  <c r="G65" i="70"/>
  <c r="S54" i="70"/>
  <c r="M51" i="70"/>
  <c r="S52" i="70"/>
  <c r="G38" i="70"/>
  <c r="S50" i="70"/>
  <c r="M54" i="70"/>
  <c r="S25" i="70"/>
  <c r="M25" i="70"/>
  <c r="Y28" i="73"/>
  <c r="G37" i="70"/>
  <c r="Y27" i="73"/>
  <c r="S19" i="70"/>
  <c r="M50" i="70"/>
  <c r="M61" i="70"/>
  <c r="S61" i="70"/>
  <c r="M52" i="70"/>
  <c r="S22" i="70"/>
  <c r="S59" i="70"/>
  <c r="S60" i="70"/>
  <c r="M20" i="70"/>
  <c r="S24" i="70"/>
  <c r="S14" i="70"/>
  <c r="G30" i="70"/>
  <c r="Y10" i="73"/>
  <c r="M18" i="70"/>
  <c r="M14" i="70"/>
  <c r="G25" i="70"/>
  <c r="M15" i="70"/>
  <c r="G29" i="70"/>
  <c r="M60" i="70"/>
  <c r="S20" i="70"/>
  <c r="S15" i="70"/>
  <c r="S34" i="70"/>
  <c r="S18" i="70"/>
  <c r="M24" i="70"/>
  <c r="M19" i="70"/>
  <c r="G24" i="70"/>
  <c r="M59" i="70"/>
  <c r="G53" i="70"/>
  <c r="M22" i="70"/>
  <c r="M31" i="70"/>
  <c r="G50" i="70"/>
  <c r="G26" i="70"/>
  <c r="G10" i="73"/>
  <c r="M32" i="70"/>
  <c r="M10" i="73"/>
  <c r="M13" i="73"/>
  <c r="G61" i="70"/>
  <c r="M13" i="70"/>
  <c r="S13" i="70"/>
  <c r="G60" i="70"/>
  <c r="S32" i="70"/>
  <c r="G59" i="70"/>
  <c r="G20" i="70"/>
  <c r="G19" i="70"/>
  <c r="G23" i="70"/>
  <c r="G18" i="70"/>
  <c r="G13" i="70"/>
  <c r="G15" i="70"/>
  <c r="G63" i="70"/>
  <c r="G14" i="70"/>
  <c r="G22" i="70"/>
  <c r="M17" i="70"/>
  <c r="S17" i="70"/>
  <c r="S36" i="70"/>
  <c r="M33" i="70"/>
  <c r="S30" i="70"/>
  <c r="M16" i="70"/>
  <c r="S16" i="70"/>
  <c r="M36" i="70"/>
  <c r="M12" i="70"/>
  <c r="S12" i="70"/>
  <c r="G17" i="70"/>
  <c r="M30" i="70"/>
  <c r="G16" i="70"/>
  <c r="S11" i="70"/>
  <c r="S10" i="70"/>
  <c r="G12" i="70"/>
  <c r="M11" i="70"/>
  <c r="M10" i="70"/>
  <c r="G11" i="70"/>
  <c r="G10" i="70"/>
</calcChain>
</file>

<file path=xl/sharedStrings.xml><?xml version="1.0" encoding="utf-8"?>
<sst xmlns="http://schemas.openxmlformats.org/spreadsheetml/2006/main" count="19161" uniqueCount="2462">
  <si>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</si>
  <si>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</si>
  <si>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</si>
  <si>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</si>
  <si>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</si>
  <si>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</si>
  <si>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</si>
  <si>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</si>
  <si>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</si>
  <si>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</si>
  <si>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</si>
  <si>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</si>
  <si>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</si>
  <si>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</si>
  <si>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</si>
  <si>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</si>
  <si>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</si>
  <si>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</si>
  <si>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</si>
  <si>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</si>
  <si>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</si>
  <si>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</si>
  <si>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</si>
  <si>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</si>
  <si>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</si>
  <si>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</si>
  <si>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</si>
  <si>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</si>
  <si>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</si>
  <si>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</si>
  <si>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</si>
  <si>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</si>
  <si>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</si>
  <si>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</si>
  <si>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</si>
  <si>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</si>
  <si>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</si>
  <si>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</si>
  <si>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</si>
  <si>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</si>
  <si>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</si>
  <si>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</si>
  <si>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</si>
  <si>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</si>
  <si>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</si>
  <si>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</si>
  <si>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</si>
  <si>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</si>
  <si>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</si>
  <si>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</si>
  <si>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</si>
  <si>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</si>
  <si>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</si>
  <si>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</si>
  <si>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</si>
  <si>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</si>
  <si>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</si>
  <si>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</si>
  <si>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</si>
  <si>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</si>
  <si>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</si>
  <si>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</si>
  <si>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</si>
  <si>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</si>
  <si>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</si>
  <si>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</si>
  <si>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</si>
  <si>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</si>
  <si>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</si>
  <si>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</si>
  <si>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</si>
  <si>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</si>
  <si>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</si>
  <si>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</si>
  <si>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</si>
  <si>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</si>
  <si>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</si>
  <si>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</si>
  <si>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</si>
  <si>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</si>
  <si>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</si>
  <si>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</si>
  <si>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</si>
  <si>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</si>
  <si>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</si>
  <si>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</si>
  <si>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</si>
  <si>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</si>
  <si>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</si>
  <si>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</si>
  <si>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</si>
  <si>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</si>
  <si>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</si>
  <si>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</si>
  <si>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</si>
  <si>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</si>
  <si>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</si>
  <si>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</si>
  <si>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</si>
  <si>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</si>
  <si>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</si>
  <si>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</si>
  <si>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</si>
  <si>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</si>
  <si>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</si>
  <si>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</si>
  <si>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</si>
  <si>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</si>
  <si>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</si>
  <si>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</si>
  <si>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</si>
  <si>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</si>
  <si>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</si>
  <si>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</si>
  <si>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</si>
  <si>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</si>
  <si>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</si>
  <si>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</si>
  <si>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</si>
  <si>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</si>
  <si>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</si>
  <si>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</si>
  <si>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</si>
  <si>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</si>
  <si>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</si>
  <si>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</si>
  <si>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</si>
  <si>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</si>
  <si>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</si>
  <si>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</si>
  <si>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</si>
  <si>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</si>
  <si>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</si>
  <si>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</si>
  <si>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</si>
  <si>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</si>
  <si>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</si>
  <si>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</si>
  <si>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</si>
  <si>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</si>
  <si>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</si>
  <si>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</si>
  <si>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</si>
  <si>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</si>
  <si>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</si>
  <si>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</si>
  <si>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</si>
  <si>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</si>
  <si>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</si>
  <si>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</si>
  <si>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</si>
  <si>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</si>
  <si>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</si>
  <si>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</si>
  <si>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</si>
  <si>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</si>
  <si>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</si>
  <si>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</si>
  <si>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</si>
  <si>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</si>
  <si>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</si>
  <si>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</si>
  <si>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</si>
  <si>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</si>
  <si>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</si>
  <si>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</si>
  <si>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</si>
  <si>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</si>
  <si>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</si>
  <si>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</si>
  <si>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</si>
  <si>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</si>
  <si>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</si>
  <si>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</si>
  <si>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</si>
  <si>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</si>
  <si>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</si>
  <si>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</si>
  <si>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</si>
  <si>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</si>
  <si>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</si>
  <si>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</si>
  <si>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</si>
  <si>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</si>
  <si>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</si>
  <si>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</si>
  <si>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</si>
  <si>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</si>
  <si>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</si>
  <si>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</si>
  <si>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</si>
  <si>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</si>
  <si>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</si>
  <si>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</si>
  <si>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</si>
  <si>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</si>
  <si>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</si>
  <si>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</si>
  <si>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</si>
  <si>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</si>
  <si>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</si>
  <si>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</si>
  <si>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</si>
  <si>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</si>
  <si>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</si>
  <si>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</si>
  <si>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</si>
  <si>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</si>
  <si>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</si>
  <si>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</si>
  <si>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</si>
  <si>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</si>
  <si>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</si>
  <si>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</si>
  <si>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</si>
  <si>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</si>
  <si>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</si>
  <si>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</si>
  <si>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</si>
  <si>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</si>
  <si>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</si>
  <si>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</si>
  <si>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</si>
  <si>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</si>
  <si>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</si>
  <si>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</si>
  <si>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</si>
  <si>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</si>
  <si>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</si>
  <si>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</si>
  <si>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</si>
  <si>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</si>
  <si>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</si>
  <si>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</si>
  <si>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</si>
  <si>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</si>
  <si>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</si>
  <si>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</si>
  <si>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</si>
  <si>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</si>
  <si>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</si>
  <si>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</si>
  <si>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</si>
  <si>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</si>
  <si>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</si>
  <si>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</si>
  <si>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</si>
  <si>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</si>
  <si>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</si>
  <si>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</si>
  <si>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</si>
  <si>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</si>
  <si>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</si>
  <si>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</si>
  <si>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</si>
  <si>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</si>
  <si>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</si>
  <si>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</si>
  <si>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</si>
  <si>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</si>
  <si>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</si>
  <si>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</si>
  <si>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</si>
  <si>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</si>
  <si>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</si>
  <si>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</si>
  <si>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</si>
  <si>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</si>
  <si>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</si>
  <si>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</si>
  <si>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</si>
  <si>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</si>
  <si>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</si>
  <si>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</si>
  <si>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</si>
  <si>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</si>
  <si>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</si>
  <si>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</si>
  <si>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</si>
  <si>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</si>
  <si>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</si>
  <si>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</si>
  <si>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</si>
  <si>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</si>
  <si>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</si>
  <si>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</si>
  <si>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</si>
  <si>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</si>
  <si>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</si>
  <si>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</si>
  <si>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</si>
  <si>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</si>
  <si>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</si>
  <si>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</si>
  <si>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</si>
  <si>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</si>
  <si>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</si>
  <si>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</si>
  <si>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</si>
  <si>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</si>
  <si>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</si>
  <si>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</si>
  <si>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</si>
  <si>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</si>
  <si>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</si>
  <si>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</si>
  <si>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</si>
  <si>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</si>
  <si>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</si>
  <si>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</si>
  <si>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</si>
  <si>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</si>
  <si>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</si>
  <si>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</si>
  <si>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</si>
  <si>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</si>
  <si>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</si>
  <si>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</si>
  <si>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</si>
  <si>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</si>
  <si>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</si>
  <si>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</si>
  <si>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</si>
  <si>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</si>
  <si>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</si>
  <si>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</si>
  <si>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</si>
  <si>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</si>
  <si>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</si>
  <si>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</si>
  <si>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</si>
  <si>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</si>
  <si>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</si>
  <si>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</si>
  <si>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</si>
  <si>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</si>
  <si>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</si>
  <si>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</si>
  <si>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</si>
  <si>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</si>
  <si>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</si>
  <si>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</si>
  <si>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</si>
  <si>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</si>
  <si>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</si>
  <si>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</si>
  <si>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</si>
  <si>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</si>
  <si>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</si>
  <si>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</si>
  <si>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</si>
  <si>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</si>
  <si>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</si>
  <si>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</si>
  <si>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</si>
  <si>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</si>
  <si>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</si>
  <si>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</si>
  <si>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</si>
  <si>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</si>
  <si>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</si>
  <si>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</si>
  <si>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</si>
  <si>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</si>
  <si>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</si>
  <si>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</si>
  <si>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</si>
  <si>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</si>
  <si>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</si>
  <si>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</si>
  <si>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</si>
  <si>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</si>
  <si>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</si>
  <si>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</si>
  <si>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</si>
  <si>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</si>
  <si>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</si>
  <si>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</si>
  <si>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</si>
  <si>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</si>
  <si>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</si>
  <si>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</si>
  <si>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</si>
  <si>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</si>
  <si>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</si>
  <si>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</si>
  <si>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</si>
  <si>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</si>
  <si>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</si>
  <si>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</si>
  <si>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</si>
  <si>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</si>
  <si>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</si>
  <si>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</si>
  <si>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</si>
  <si>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</si>
  <si>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</si>
  <si>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</si>
  <si>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</si>
  <si>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</si>
  <si>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</si>
  <si>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</si>
  <si>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</si>
  <si>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</si>
  <si>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</si>
  <si>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</si>
  <si>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</si>
  <si>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</si>
  <si>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</si>
  <si>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</si>
  <si>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</si>
  <si>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</si>
  <si>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</si>
  <si>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</si>
  <si>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</si>
  <si>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</si>
  <si>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</si>
  <si>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</si>
  <si>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</si>
  <si>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</si>
  <si>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</si>
  <si>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</si>
  <si>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</si>
  <si>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</si>
  <si>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</si>
  <si>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</si>
  <si>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</si>
  <si>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</si>
  <si>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</si>
  <si>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</si>
  <si>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</si>
  <si>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</si>
  <si>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</si>
  <si>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</si>
  <si>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</si>
  <si>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</si>
  <si>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</si>
  <si>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</si>
  <si>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</si>
  <si>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</si>
  <si>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</si>
  <si>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</si>
  <si>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</si>
  <si>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</si>
  <si>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</si>
  <si>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</si>
  <si>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</si>
  <si>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</si>
  <si>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</si>
  <si>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</si>
  <si>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</si>
  <si>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</si>
  <si>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</si>
  <si>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</si>
  <si>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</si>
  <si>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</si>
  <si>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</si>
  <si>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</si>
  <si>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</si>
  <si>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</si>
  <si>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</si>
  <si>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</si>
  <si>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</si>
  <si>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</si>
  <si>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</si>
  <si>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</si>
  <si>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</si>
  <si>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</si>
  <si>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</si>
  <si>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</si>
  <si>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</si>
  <si>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</si>
  <si>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</si>
  <si>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</si>
  <si>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</si>
  <si>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</si>
  <si>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</si>
  <si>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</si>
  <si>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</si>
  <si>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</si>
  <si>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</si>
  <si>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</si>
  <si>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</si>
  <si>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</si>
  <si>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</si>
  <si>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</si>
  <si>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</si>
  <si>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</si>
  <si>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</si>
  <si>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</si>
  <si>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</si>
  <si>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</si>
  <si>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</si>
  <si>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</si>
  <si>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</si>
  <si>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</si>
  <si>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</si>
  <si>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</si>
  <si>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</si>
  <si>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</si>
  <si>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</si>
  <si>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</si>
  <si>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</si>
  <si>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</si>
  <si>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</si>
  <si>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</si>
  <si>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</si>
  <si>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</si>
  <si>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</si>
  <si>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</si>
  <si>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</si>
  <si>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</si>
  <si>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</si>
  <si>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</si>
  <si>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</si>
  <si>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</si>
  <si>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</si>
  <si>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</si>
  <si>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</si>
  <si>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</si>
  <si>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</si>
  <si>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</si>
  <si>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</si>
  <si>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</si>
  <si>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</si>
  <si>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</si>
  <si>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</si>
  <si>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</si>
  <si>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</si>
  <si>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</si>
  <si>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</si>
  <si>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</si>
  <si>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</si>
  <si>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</si>
  <si>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</si>
  <si>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</si>
  <si>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</si>
  <si>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</si>
  <si>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</si>
  <si>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</si>
  <si>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</si>
  <si>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</si>
  <si>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</si>
  <si>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</si>
  <si>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</si>
  <si>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</si>
  <si>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</si>
  <si>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</si>
  <si>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</si>
  <si>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</si>
  <si>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</si>
  <si>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</si>
  <si>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</si>
  <si>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</si>
  <si>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</si>
  <si>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</si>
  <si>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</si>
  <si>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</si>
  <si>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</si>
  <si>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</si>
  <si>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</si>
  <si>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</si>
  <si>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</si>
  <si>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</si>
  <si>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</si>
  <si>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</si>
  <si>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</si>
  <si>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</si>
  <si>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</si>
  <si>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</si>
  <si>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</si>
  <si>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</si>
  <si>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</si>
  <si>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</si>
  <si>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</si>
  <si>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</si>
  <si>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</si>
  <si>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</si>
  <si>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</si>
  <si>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</si>
  <si>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</si>
  <si>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</si>
  <si>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</si>
  <si>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</si>
  <si>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</si>
  <si>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</si>
  <si>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</si>
  <si>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</si>
  <si>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</si>
  <si>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</si>
  <si>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</si>
  <si>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</si>
  <si>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</si>
  <si>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</si>
  <si>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</si>
  <si>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</si>
  <si>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</si>
  <si>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</si>
  <si>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</si>
  <si>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</si>
  <si>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</si>
  <si>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</si>
  <si>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</si>
  <si>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</si>
  <si>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</si>
  <si>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</si>
  <si>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</si>
  <si>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</si>
  <si>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</si>
  <si>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</si>
  <si>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</si>
  <si>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</si>
  <si>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</si>
  <si>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</si>
  <si>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</si>
  <si>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</si>
  <si>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</si>
  <si>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</si>
  <si>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</si>
  <si>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</si>
  <si>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</si>
  <si>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</si>
  <si>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</si>
  <si>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</si>
  <si>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</si>
  <si>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</si>
  <si>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</si>
  <si>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</si>
  <si>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</si>
  <si>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</si>
  <si>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</si>
  <si>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</si>
  <si>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</si>
  <si>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</si>
  <si>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</si>
  <si>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</si>
  <si>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</si>
  <si>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</si>
  <si>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</si>
  <si>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</si>
  <si>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</si>
  <si>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</si>
  <si>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</si>
  <si>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</si>
  <si>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</si>
  <si>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</si>
  <si>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</si>
  <si>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</si>
  <si>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</si>
  <si>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</si>
  <si>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</si>
  <si>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</si>
  <si>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</si>
  <si>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</si>
  <si>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</si>
  <si>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</si>
  <si>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</si>
  <si>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</si>
  <si>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</si>
  <si>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</si>
  <si>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</si>
  <si>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</si>
  <si>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</si>
  <si>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</si>
  <si>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</si>
  <si>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</si>
  <si>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</si>
  <si>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</si>
  <si>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</si>
  <si>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</si>
  <si>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</si>
  <si>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</si>
  <si>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</si>
  <si>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</si>
  <si>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</si>
  <si>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</si>
  <si>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</si>
  <si>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</si>
  <si>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</si>
  <si>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</si>
  <si>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</si>
  <si>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</si>
  <si>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</si>
  <si>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</si>
  <si>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</si>
  <si>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</si>
  <si>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</si>
  <si>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</si>
  <si>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</si>
  <si>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</si>
  <si>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</si>
  <si>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</si>
  <si>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</si>
  <si>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</si>
  <si>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</si>
  <si>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</si>
  <si>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</si>
  <si>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</si>
  <si>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</si>
  <si>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</si>
  <si>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</si>
  <si>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</si>
  <si>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</si>
  <si>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</si>
  <si>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</si>
  <si>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</si>
  <si>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</si>
  <si>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</si>
  <si>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</si>
  <si>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</si>
  <si>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</si>
  <si>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</si>
  <si>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</si>
  <si>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</si>
  <si>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</si>
  <si>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</si>
  <si>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</si>
  <si>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</si>
  <si>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</si>
  <si>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</si>
  <si>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</si>
  <si>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</si>
  <si>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</si>
  <si>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</si>
  <si>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</si>
  <si>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</si>
  <si>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</si>
  <si>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</si>
  <si>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</si>
  <si>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</si>
  <si>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</si>
  <si>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</si>
  <si>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</si>
  <si>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</si>
  <si>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</si>
  <si>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</si>
  <si>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</si>
  <si>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</si>
  <si>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</si>
  <si>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</si>
  <si>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</si>
  <si>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</si>
  <si>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</si>
  <si>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</si>
  <si>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</si>
  <si>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</si>
  <si>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</si>
  <si>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</si>
  <si>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</si>
  <si>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</si>
  <si>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</si>
  <si>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</si>
  <si>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</si>
  <si>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</si>
  <si>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</si>
  <si>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</si>
  <si>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</si>
  <si>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</si>
  <si>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</si>
  <si>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</si>
  <si>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</si>
  <si>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</si>
  <si>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</si>
  <si>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</si>
  <si>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</si>
  <si>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</si>
  <si>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</si>
  <si>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</si>
  <si>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</si>
  <si>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</si>
  <si>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</si>
  <si>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</si>
  <si>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</si>
  <si>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</si>
  <si>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</si>
  <si>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</si>
  <si>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</si>
  <si>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</si>
  <si>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</si>
  <si>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</si>
  <si>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</si>
  <si>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</si>
  <si>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</si>
  <si>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</si>
  <si>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</si>
  <si>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</si>
  <si>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</si>
  <si>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</si>
  <si>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</si>
  <si>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</si>
  <si>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</si>
  <si>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</si>
  <si>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</si>
  <si>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</si>
  <si>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</si>
  <si>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</si>
  <si>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</si>
  <si>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</si>
  <si>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</si>
  <si>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</si>
  <si>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</si>
  <si>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</si>
  <si>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</si>
  <si>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</si>
  <si>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</si>
  <si>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</si>
  <si>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</si>
  <si>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</si>
  <si>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</si>
  <si>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</si>
  <si>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</si>
  <si>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</si>
  <si>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</si>
  <si>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</si>
  <si>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</si>
  <si>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</si>
  <si>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</si>
  <si>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</si>
  <si>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</si>
  <si>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</si>
  <si>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</si>
  <si>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</si>
  <si>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</si>
  <si>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</si>
  <si>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</si>
  <si>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</si>
  <si>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</si>
  <si>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</si>
  <si>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</si>
  <si>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</si>
  <si>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</si>
  <si>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</si>
  <si>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</si>
  <si>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</si>
  <si>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</si>
  <si>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</si>
  <si>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</si>
  <si>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</si>
  <si>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</si>
  <si>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</si>
  <si>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</si>
  <si>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</si>
  <si>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</si>
  <si>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</si>
  <si>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</si>
  <si>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</si>
  <si>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</si>
  <si>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</si>
  <si>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</si>
  <si>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</si>
  <si>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</si>
  <si>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</si>
  <si>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</si>
  <si>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</si>
  <si>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</si>
  <si>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</si>
  <si>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</si>
  <si>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</si>
  <si>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</si>
  <si>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</si>
  <si>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</si>
  <si>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</si>
  <si>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</si>
  <si>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</si>
  <si>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</si>
  <si>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</si>
  <si>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</si>
  <si>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</si>
  <si>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</si>
  <si>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</si>
  <si>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</si>
  <si>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</si>
  <si>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</si>
  <si>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</si>
  <si>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</si>
  <si>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</si>
  <si>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</si>
  <si>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</si>
  <si>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</si>
  <si>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</si>
  <si>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</si>
  <si>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</si>
  <si>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</si>
  <si>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</si>
  <si>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</si>
  <si>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</si>
  <si>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</si>
  <si>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</si>
  <si>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</si>
  <si>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</si>
  <si>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</si>
  <si>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</si>
  <si>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</si>
  <si>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</si>
  <si>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</si>
  <si>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</si>
  <si>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</si>
  <si>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</si>
  <si>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</si>
  <si>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</si>
  <si>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</si>
  <si>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</si>
  <si>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</si>
  <si>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</si>
  <si>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</si>
  <si>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</si>
  <si>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</si>
  <si>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</si>
  <si>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</si>
  <si>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</si>
  <si>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</si>
  <si>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</si>
  <si>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</si>
  <si>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</si>
  <si>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</si>
  <si>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</si>
  <si>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</si>
  <si>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</si>
  <si>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</si>
  <si>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</si>
  <si>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</si>
  <si>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</si>
  <si>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</si>
  <si>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</si>
  <si>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</si>
  <si>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</si>
  <si>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</si>
  <si>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</si>
  <si>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</si>
  <si>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</si>
  <si>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</si>
  <si>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</si>
  <si>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</si>
  <si>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</si>
  <si>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</si>
  <si>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</si>
  <si>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</si>
  <si>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</si>
  <si>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</si>
  <si>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</si>
  <si>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</si>
  <si>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</si>
  <si>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</si>
  <si>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</si>
  <si>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</si>
  <si>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</si>
  <si>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</si>
  <si>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</si>
  <si>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</si>
  <si>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</si>
  <si>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</si>
  <si>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</si>
  <si>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</si>
  <si>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</si>
  <si>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</si>
  <si>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</si>
  <si>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</si>
  <si>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</si>
  <si>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</si>
  <si>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</si>
  <si>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</si>
  <si>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</si>
  <si>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</si>
  <si>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</si>
  <si>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</si>
  <si>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</si>
  <si>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</si>
  <si>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</si>
  <si>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</si>
  <si>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</si>
  <si>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</si>
  <si>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</si>
  <si>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</si>
  <si>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</si>
  <si>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</si>
  <si>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</si>
  <si>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</si>
  <si>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</si>
  <si>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</si>
  <si>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</si>
  <si>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</si>
  <si>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</si>
  <si>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</si>
  <si>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</si>
  <si>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</si>
  <si>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</si>
  <si>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</si>
  <si>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</si>
  <si>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</si>
  <si>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</si>
  <si>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</si>
  <si>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</si>
  <si>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</si>
  <si>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</si>
  <si>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</si>
  <si>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</si>
  <si>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</si>
  <si>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</si>
  <si>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</si>
  <si>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</si>
  <si>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</si>
  <si>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</si>
  <si>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</si>
  <si>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</si>
  <si>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</si>
  <si>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</si>
  <si>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</si>
  <si>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</si>
  <si>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</si>
  <si>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</si>
  <si>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</si>
  <si>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</si>
  <si>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</si>
  <si>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</si>
  <si>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</si>
  <si>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</si>
  <si>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</si>
  <si>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</si>
  <si>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</si>
  <si>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</si>
  <si>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</si>
  <si>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</si>
  <si>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</si>
  <si>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</si>
  <si>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</si>
  <si>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</si>
  <si>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</si>
  <si>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</si>
  <si>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</si>
  <si>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</si>
  <si>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</si>
  <si>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</si>
  <si>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</si>
  <si>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</si>
  <si>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</si>
  <si>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</si>
  <si>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</si>
  <si>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</si>
  <si>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</si>
  <si>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</si>
  <si>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</si>
  <si>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</si>
  <si>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</si>
  <si>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</si>
  <si>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</si>
  <si>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</si>
  <si>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</si>
  <si>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</si>
  <si>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</si>
  <si>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</si>
  <si>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</si>
  <si>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</si>
  <si>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</si>
  <si>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</si>
  <si>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</si>
  <si>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</si>
  <si>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</si>
  <si>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</si>
  <si>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</si>
  <si>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</si>
  <si>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</si>
  <si>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</si>
  <si>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</si>
  <si>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</si>
  <si>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</si>
  <si>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</si>
  <si>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</si>
  <si>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</si>
  <si>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</si>
  <si>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</si>
  <si>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</si>
  <si>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</si>
  <si>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</si>
  <si>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</si>
  <si>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</si>
  <si>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</si>
  <si>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</si>
  <si>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</si>
  <si>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</si>
  <si>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</si>
  <si>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</si>
  <si>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</si>
  <si>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</si>
  <si>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</si>
  <si>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</si>
  <si>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</si>
  <si>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</si>
  <si>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</si>
  <si>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</si>
  <si>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</si>
  <si>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</si>
  <si>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</si>
  <si>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</si>
  <si>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</si>
  <si>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</si>
  <si>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</si>
  <si>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</si>
  <si>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</si>
  <si>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</si>
  <si>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</si>
  <si>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</si>
  <si>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</si>
  <si>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</si>
  <si>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</si>
  <si>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</si>
  <si>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</si>
  <si>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</si>
  <si>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</si>
  <si>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</si>
  <si>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</si>
  <si>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</si>
  <si>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</si>
  <si>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</si>
  <si>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</si>
  <si>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</si>
  <si>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</si>
  <si>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</si>
  <si>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</si>
  <si>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</si>
  <si>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</si>
  <si>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</si>
  <si>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</si>
  <si>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</si>
  <si>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</si>
  <si>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</si>
  <si>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</si>
  <si>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</si>
  <si>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</si>
  <si>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</si>
  <si>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</si>
  <si>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</si>
  <si>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</si>
  <si>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</si>
  <si>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</si>
  <si>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</si>
  <si>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</si>
  <si>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</si>
  <si>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</si>
  <si>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</si>
  <si>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</si>
  <si>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</si>
  <si>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</si>
  <si>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</si>
  <si>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</si>
  <si>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</si>
  <si>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</si>
  <si>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</si>
  <si>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</si>
  <si>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</si>
  <si>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</si>
  <si>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</si>
  <si>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</si>
  <si>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</si>
  <si>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</si>
  <si>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</si>
  <si>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</si>
  <si>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</si>
  <si>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</si>
  <si>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</si>
  <si>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</si>
  <si>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</si>
  <si>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</si>
  <si>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</si>
  <si>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</si>
  <si>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</si>
  <si>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</si>
  <si>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</si>
  <si>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</si>
  <si>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</si>
  <si>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</si>
  <si>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</si>
  <si>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</si>
  <si>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</si>
  <si>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</si>
  <si>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</si>
  <si>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</si>
  <si>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</si>
  <si>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</si>
  <si>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</si>
  <si>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</si>
  <si>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</si>
  <si>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</si>
  <si>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</si>
  <si>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</si>
  <si>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</si>
  <si>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</si>
  <si>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</si>
  <si>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</si>
  <si>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</si>
  <si>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</si>
  <si>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</si>
  <si>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</si>
  <si>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</si>
  <si>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</si>
  <si>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</si>
  <si>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</si>
  <si>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</si>
  <si>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</si>
  <si>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</si>
  <si>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</si>
  <si>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</si>
  <si>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</si>
  <si>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</si>
  <si>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</si>
  <si>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</si>
  <si>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</si>
  <si>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</si>
  <si>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</si>
  <si>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</si>
  <si>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</si>
  <si>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</si>
  <si>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</si>
  <si>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</si>
  <si>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</si>
  <si>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</si>
  <si>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</si>
  <si>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</si>
  <si>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</si>
  <si>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</si>
  <si>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</si>
  <si>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</si>
  <si>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</si>
  <si>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</si>
  <si>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</si>
  <si>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</si>
  <si>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</si>
  <si>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</si>
  <si>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</si>
  <si>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</si>
  <si>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</si>
  <si>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</si>
  <si>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</si>
  <si>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</si>
  <si>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</si>
  <si>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</si>
  <si>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</si>
  <si>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</si>
  <si>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</si>
  <si>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</si>
  <si>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</si>
  <si>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</si>
  <si>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</si>
  <si>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</si>
  <si>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</si>
  <si>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</si>
  <si>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</si>
  <si>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</si>
  <si>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</si>
  <si>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</si>
  <si>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</si>
  <si>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</si>
  <si>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</si>
  <si>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</si>
  <si>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</si>
  <si>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</si>
  <si>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</si>
  <si>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</si>
  <si>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</si>
  <si>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</si>
  <si>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</si>
  <si>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</si>
  <si>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</si>
  <si>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</si>
  <si>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</si>
  <si>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</si>
  <si>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</si>
  <si>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</si>
  <si>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</si>
  <si>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</si>
  <si>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</si>
  <si>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</si>
  <si>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</si>
  <si>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</si>
  <si>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</si>
  <si>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</si>
  <si>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</si>
  <si>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</si>
  <si>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</si>
  <si>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</si>
  <si>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</si>
  <si>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</si>
  <si>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</si>
  <si>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</si>
  <si>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</si>
  <si>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</si>
  <si>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</si>
  <si>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</si>
  <si>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</si>
  <si>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</si>
  <si>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</si>
  <si>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</si>
  <si>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</si>
  <si>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</si>
  <si>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</si>
  <si>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</si>
  <si>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</si>
  <si>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</si>
  <si>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</si>
  <si>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</si>
  <si>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</si>
  <si>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</si>
  <si>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</si>
  <si>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</si>
  <si>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</si>
  <si>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</si>
  <si>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</si>
  <si>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</si>
  <si>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</si>
  <si>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</si>
  <si>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</si>
  <si>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</si>
  <si>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</si>
  <si>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</si>
  <si>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</si>
  <si>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</si>
  <si>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</si>
  <si>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</si>
  <si>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</si>
  <si>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</si>
  <si>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</si>
  <si>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</si>
  <si>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</si>
  <si>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</si>
  <si>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</si>
  <si>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</si>
  <si>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</si>
  <si>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</si>
  <si>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</si>
  <si>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</si>
  <si>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</si>
  <si>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</si>
  <si>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</si>
  <si>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</si>
  <si>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</si>
  <si>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</si>
  <si>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</si>
  <si>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</si>
  <si>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</si>
  <si>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</si>
  <si>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</si>
  <si>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</si>
  <si>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</si>
  <si>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</si>
  <si>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</si>
  <si>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</si>
  <si>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</si>
  <si>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</si>
  <si>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</si>
  <si>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</si>
  <si>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</si>
  <si>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</si>
  <si>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</si>
  <si>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</si>
  <si>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</si>
  <si>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</si>
  <si>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</si>
  <si>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</si>
  <si>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</si>
  <si>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</si>
  <si>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</si>
  <si>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</si>
  <si>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</si>
  <si>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</si>
  <si>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</si>
  <si>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</si>
  <si>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</si>
  <si>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</si>
  <si>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</si>
  <si>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</si>
  <si>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</si>
  <si>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</si>
  <si>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</si>
  <si>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</si>
  <si>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</si>
  <si>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</si>
  <si>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</si>
  <si>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</si>
  <si>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</si>
  <si>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</si>
  <si>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</si>
  <si>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</si>
  <si>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</si>
  <si>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</si>
  <si>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</si>
  <si>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</si>
  <si>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</si>
  <si>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</si>
  <si>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</si>
  <si>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</si>
  <si>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</si>
  <si>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</si>
  <si>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</si>
  <si>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</si>
  <si>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</si>
  <si>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</si>
  <si>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</si>
  <si>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</si>
  <si>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</si>
  <si>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</si>
  <si>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</si>
  <si>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</si>
  <si>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</si>
  <si>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</si>
  <si>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</si>
  <si>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</si>
  <si>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</si>
  <si>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</si>
  <si>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</si>
  <si>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</si>
  <si>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</si>
  <si>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</si>
  <si>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</si>
  <si>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</si>
  <si>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</si>
  <si>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</si>
  <si>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</si>
  <si>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</si>
  <si>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</si>
  <si>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</si>
  <si>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</si>
  <si>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</si>
  <si>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</si>
  <si>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</si>
  <si>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</si>
  <si>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</si>
  <si>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</si>
  <si>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</si>
  <si>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</si>
  <si>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</si>
  <si>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</si>
  <si>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</si>
  <si>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</si>
  <si>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</si>
  <si>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</si>
  <si>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</si>
  <si>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</si>
  <si>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</si>
  <si>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</si>
  <si>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</si>
  <si>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</si>
  <si>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</si>
  <si>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</si>
  <si>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</si>
  <si>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</si>
  <si>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</si>
  <si>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</si>
  <si>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</si>
  <si>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</si>
  <si>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</si>
  <si>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</si>
  <si>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</si>
  <si>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</si>
  <si>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</si>
  <si>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</si>
  <si>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</si>
  <si>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</si>
  <si>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</si>
  <si>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</si>
  <si>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</si>
  <si>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</si>
  <si>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</si>
  <si>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</si>
  <si>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</si>
  <si>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</si>
  <si>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</si>
  <si>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</si>
  <si>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</si>
  <si>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</si>
  <si>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</si>
  <si>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</si>
  <si>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</si>
  <si>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</si>
  <si>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</si>
  <si>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</si>
  <si>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</si>
  <si>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</si>
  <si>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</si>
  <si>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</si>
  <si>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</si>
  <si>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</si>
  <si>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</si>
  <si>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</si>
  <si>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</si>
  <si>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</si>
  <si>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</si>
  <si>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</si>
  <si>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</si>
  <si>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</si>
  <si>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</si>
  <si>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</si>
  <si>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</si>
  <si>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</si>
  <si>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</si>
  <si>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</si>
  <si>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</si>
  <si>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</si>
  <si>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</si>
  <si>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</si>
  <si>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</si>
  <si>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</si>
  <si>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</si>
  <si>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</si>
  <si>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</si>
  <si>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</si>
  <si>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</si>
  <si>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</si>
  <si>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</si>
  <si>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</si>
  <si>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</si>
  <si>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</si>
  <si>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</si>
  <si>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</si>
  <si>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</si>
  <si>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</si>
  <si>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</si>
  <si>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</si>
  <si>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</si>
  <si>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</si>
  <si>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</si>
  <si>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</si>
  <si>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</si>
  <si>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</si>
  <si>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</si>
  <si>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</si>
  <si>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</si>
  <si>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</si>
  <si>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</si>
  <si>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</si>
  <si>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</si>
  <si>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</si>
  <si>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</si>
  <si>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</si>
  <si>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</si>
  <si>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</si>
  <si>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</si>
  <si>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</si>
  <si>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</si>
  <si>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</si>
  <si>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</si>
  <si>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</si>
  <si>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</si>
  <si>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</si>
  <si>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</si>
  <si>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</si>
  <si>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</si>
  <si>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</si>
  <si>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</si>
  <si>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</si>
  <si>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</si>
  <si>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</si>
  <si>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</si>
  <si>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</si>
  <si>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</si>
  <si>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</si>
  <si>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</si>
  <si>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</si>
  <si>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</si>
  <si>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</si>
  <si>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</si>
  <si>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</si>
  <si>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</si>
  <si>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</si>
  <si>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</si>
  <si>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</si>
  <si>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</si>
  <si>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</si>
  <si>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</si>
  <si>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</si>
  <si>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</si>
  <si>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</si>
  <si>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</si>
  <si>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</si>
  <si>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</si>
  <si>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</si>
  <si>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</si>
  <si>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</si>
  <si>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</si>
  <si>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</si>
  <si>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</si>
  <si>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</si>
  <si>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</si>
  <si>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</si>
  <si>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</si>
  <si>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</si>
  <si>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</si>
  <si>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</si>
  <si>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</si>
  <si>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</si>
  <si>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</si>
  <si>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</si>
  <si>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</si>
  <si>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</si>
  <si>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</si>
  <si>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</si>
  <si>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</si>
  <si>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</si>
  <si>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</si>
  <si>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</si>
  <si>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</si>
  <si>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</si>
  <si>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</si>
  <si>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</si>
  <si>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</si>
  <si>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</si>
  <si>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</si>
  <si>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</si>
  <si>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</si>
  <si>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</si>
  <si>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</si>
  <si>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</si>
  <si>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</si>
  <si>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</si>
  <si>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</si>
  <si>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</si>
  <si>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</si>
  <si>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</si>
  <si>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</si>
  <si>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</si>
  <si>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</si>
  <si>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</si>
  <si>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</si>
  <si>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</si>
  <si>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</si>
  <si>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</si>
  <si>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</si>
  <si>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</si>
  <si>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</si>
  <si>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</si>
  <si>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</si>
  <si>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</si>
  <si>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</si>
  <si>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</si>
  <si>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</si>
  <si>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</si>
  <si>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</si>
  <si>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</si>
  <si>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</si>
  <si>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</si>
  <si>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</si>
  <si>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</si>
  <si>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</si>
  <si>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</si>
  <si>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</si>
  <si>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</si>
  <si>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</si>
  <si>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</si>
  <si>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</si>
  <si>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</si>
  <si>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</si>
  <si>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</si>
  <si>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</si>
  <si>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</si>
  <si>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</si>
  <si>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</si>
  <si>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</si>
  <si>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</si>
  <si>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</si>
  <si>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</si>
  <si>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</si>
  <si>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</si>
  <si>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</si>
  <si>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</si>
  <si>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</si>
  <si>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</si>
  <si>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</si>
  <si>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</si>
  <si>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</si>
  <si>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</si>
  <si>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</si>
  <si>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</si>
  <si>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</si>
  <si>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</si>
  <si>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</si>
  <si>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</si>
  <si>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</si>
  <si>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</si>
  <si>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</si>
  <si>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</si>
  <si>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</si>
  <si>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</si>
  <si>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</si>
  <si>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</si>
  <si>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</si>
  <si>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</si>
  <si>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</si>
  <si>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</si>
  <si>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</si>
  <si>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</si>
  <si>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</si>
  <si>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</si>
  <si>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</si>
  <si>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</si>
  <si>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</si>
  <si>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</si>
  <si>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</si>
  <si>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</si>
  <si>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</si>
  <si>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</si>
  <si>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</si>
  <si>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</si>
  <si>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</si>
  <si>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</si>
  <si>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</si>
  <si>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</si>
  <si>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</si>
  <si>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</si>
  <si>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</si>
  <si>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</si>
  <si>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</si>
  <si>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</si>
  <si>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</si>
  <si>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</si>
  <si>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</si>
  <si>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</si>
  <si>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</si>
  <si>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</si>
  <si>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</si>
  <si>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</si>
  <si>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</si>
  <si>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</si>
  <si>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</si>
  <si>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</si>
  <si>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</si>
  <si>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</si>
  <si>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</si>
  <si>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</si>
  <si>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</si>
  <si>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</si>
  <si>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</si>
  <si>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</si>
  <si>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</si>
  <si>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</si>
  <si>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</si>
  <si>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</si>
  <si>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</si>
  <si>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</si>
  <si>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</si>
  <si>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</si>
  <si>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</si>
  <si>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</si>
  <si>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</si>
  <si>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</si>
  <si>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</si>
  <si>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</si>
  <si>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</si>
  <si>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</si>
  <si>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</si>
  <si>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</si>
  <si>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</si>
  <si>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</si>
  <si>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</si>
  <si>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</si>
  <si>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</si>
  <si>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</si>
  <si>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</si>
  <si>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</si>
  <si>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</si>
  <si>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</si>
  <si>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</si>
  <si>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</si>
  <si>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</si>
  <si>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</si>
  <si>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</si>
  <si>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</si>
  <si>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</si>
  <si>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</si>
  <si>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</si>
  <si>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</si>
  <si>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</si>
  <si>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</si>
  <si>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</si>
  <si>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</si>
  <si>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</si>
  <si>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</si>
  <si>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</si>
  <si>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</si>
  <si>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</si>
  <si>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</si>
  <si>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</si>
  <si>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</si>
  <si>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</si>
  <si>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</si>
  <si>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</si>
  <si>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</si>
  <si>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</si>
  <si>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</si>
  <si>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</si>
  <si>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</si>
  <si>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</si>
  <si>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</si>
  <si>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</si>
  <si>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</si>
  <si>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</si>
  <si>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</si>
  <si>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</si>
  <si>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</si>
  <si>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</si>
  <si>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</si>
  <si>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</si>
  <si>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</si>
  <si>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</si>
  <si>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</si>
  <si>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</si>
  <si>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</si>
  <si>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</si>
  <si>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</si>
  <si>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</si>
  <si>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</si>
  <si>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</si>
  <si>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</si>
  <si>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</si>
  <si>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</si>
  <si>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</si>
  <si>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</si>
  <si>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</si>
  <si>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</si>
  <si>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</si>
  <si>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</si>
  <si>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</si>
  <si>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</si>
  <si>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</si>
  <si>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</si>
  <si>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</si>
  <si>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</si>
  <si>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</si>
  <si>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</si>
  <si>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</si>
  <si>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</si>
  <si>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</si>
  <si>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</si>
  <si>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</si>
  <si>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</si>
  <si>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</si>
  <si>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</si>
  <si>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</si>
  <si>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</si>
  <si>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</si>
  <si>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</si>
  <si>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</si>
  <si>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</si>
  <si>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</si>
  <si>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</si>
  <si>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</si>
  <si>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</si>
  <si>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</si>
  <si>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</si>
  <si>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</si>
  <si>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</si>
  <si>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</si>
  <si>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</si>
  <si>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</si>
  <si>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</si>
  <si>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</si>
  <si>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</si>
  <si>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</si>
  <si>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</si>
  <si>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</si>
  <si>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</si>
  <si>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</si>
  <si>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</si>
  <si>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</si>
  <si>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</si>
  <si>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</si>
  <si>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</si>
  <si>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</si>
  <si>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</si>
  <si>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</si>
  <si>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</si>
  <si>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</si>
  <si>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</si>
  <si>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</si>
  <si>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</si>
  <si>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</si>
  <si>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</si>
  <si>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</si>
  <si>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</si>
  <si>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</si>
  <si>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</si>
  <si>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</si>
  <si>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</si>
  <si>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</si>
  <si>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</si>
  <si>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</si>
  <si>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</si>
  <si>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</si>
  <si>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</si>
  <si>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</si>
  <si>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</si>
  <si>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</si>
  <si>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</si>
  <si>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</si>
  <si>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</si>
  <si>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</si>
  <si>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</si>
  <si>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</si>
  <si>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</si>
  <si>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</si>
  <si>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</si>
  <si>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</si>
  <si>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</si>
  <si>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</si>
  <si>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</si>
  <si>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</si>
  <si>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</si>
  <si>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</si>
  <si>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</si>
  <si>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</si>
  <si>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</si>
  <si>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</si>
  <si>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</si>
  <si>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</si>
  <si>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</si>
  <si>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</si>
  <si>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</si>
  <si>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</si>
  <si>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</si>
  <si>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</si>
  <si>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</si>
  <si>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</si>
  <si>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</si>
  <si>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</si>
  <si>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</si>
  <si>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</si>
  <si>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</si>
  <si>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</si>
  <si>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</si>
  <si>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</si>
  <si>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</si>
  <si>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</si>
  <si>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</si>
  <si>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</si>
  <si>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</si>
  <si>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</si>
  <si>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</si>
  <si>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</si>
  <si>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</si>
  <si>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</si>
  <si>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</si>
  <si>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</si>
  <si>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</si>
  <si>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</si>
  <si>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</si>
  <si>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</si>
  <si>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</si>
  <si>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</si>
  <si>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</si>
  <si>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</si>
  <si>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</si>
  <si>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</si>
  <si>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</si>
  <si>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</si>
  <si>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</si>
  <si>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</si>
  <si>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</si>
  <si>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</si>
  <si>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</si>
  <si>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</si>
  <si>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</si>
  <si>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</si>
  <si>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</si>
  <si>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</si>
  <si>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</si>
  <si>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</si>
  <si>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</si>
  <si>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</si>
  <si>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</si>
  <si>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</si>
  <si>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</si>
  <si>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</si>
  <si>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</si>
  <si>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</si>
  <si>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</si>
  <si>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</si>
  <si>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</si>
  <si>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</si>
  <si>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</si>
  <si>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</si>
  <si>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</si>
  <si>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</si>
  <si>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</si>
  <si>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</si>
  <si>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</si>
  <si>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</si>
  <si>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</si>
  <si>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</si>
  <si>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</si>
  <si>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</si>
  <si>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</si>
  <si>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</si>
  <si>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</si>
  <si>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</si>
  <si>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</si>
  <si>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</si>
  <si>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</si>
  <si>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</si>
  <si>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</si>
  <si>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</si>
  <si>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</si>
  <si>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</si>
  <si>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</si>
  <si>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</si>
  <si>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</si>
  <si>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</si>
  <si>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</si>
  <si>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</si>
  <si>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</si>
  <si>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</si>
  <si>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</si>
  <si>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</si>
  <si>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</si>
  <si>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</si>
  <si>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</si>
  <si>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</si>
  <si>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</si>
  <si>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</si>
  <si>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</si>
  <si>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</si>
  <si>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</si>
  <si>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</si>
  <si>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</si>
  <si>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</si>
  <si>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</si>
  <si>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</si>
  <si>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</si>
  <si>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</si>
  <si>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</si>
  <si>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</si>
  <si>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</si>
  <si>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</si>
  <si>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</si>
  <si>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</si>
  <si>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</si>
  <si>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</si>
  <si>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</si>
  <si>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</si>
  <si>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</si>
  <si>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</si>
  <si>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</si>
  <si>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</si>
  <si>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</si>
  <si>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</si>
  <si>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</si>
  <si>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</si>
  <si>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</si>
  <si>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</si>
  <si>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</si>
  <si>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</si>
  <si>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</si>
  <si>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</si>
  <si>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</si>
  <si>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</si>
  <si>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</si>
  <si>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</si>
  <si>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</si>
  <si>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</si>
  <si>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</si>
  <si>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</si>
  <si>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</si>
  <si>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</si>
  <si>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</si>
  <si>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</si>
  <si>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</si>
  <si>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</si>
  <si>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</si>
  <si>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</si>
  <si>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</si>
  <si>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</si>
  <si>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</si>
  <si>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</si>
  <si>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</si>
  <si>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</si>
  <si>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</si>
  <si>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</si>
  <si>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</si>
  <si>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</si>
  <si>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</si>
  <si>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</si>
  <si>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</si>
  <si>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</si>
  <si>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</si>
  <si>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</si>
  <si>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</si>
  <si>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</si>
  <si>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</si>
  <si>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</si>
  <si>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</si>
  <si>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</si>
  <si>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</si>
  <si>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</si>
  <si>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</si>
  <si>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</si>
  <si>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</si>
  <si>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</si>
  <si>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</si>
  <si>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</si>
  <si>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</si>
  <si>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</si>
  <si>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</si>
  <si>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</si>
  <si>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</si>
  <si>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</si>
  <si>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</si>
  <si>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</si>
  <si>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</si>
  <si>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</si>
  <si>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</si>
  <si>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</si>
  <si>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</si>
  <si>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</si>
  <si>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</si>
  <si>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</si>
  <si>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</si>
  <si>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</si>
  <si>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</si>
  <si>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</si>
  <si>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</si>
  <si>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</si>
  <si>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</si>
  <si>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</si>
  <si>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</si>
  <si>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</si>
  <si>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</si>
  <si>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</si>
  <si>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</si>
  <si>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</si>
  <si>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</si>
  <si>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</si>
  <si>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</si>
  <si>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</si>
  <si>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</si>
  <si>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</si>
  <si>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</si>
  <si>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</si>
  <si>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</si>
  <si>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</si>
  <si>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</si>
  <si>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</si>
  <si>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</si>
  <si>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</si>
  <si>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</si>
  <si>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</si>
  <si>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</si>
  <si>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</si>
  <si>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</si>
  <si>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</si>
  <si>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</si>
  <si>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</si>
  <si>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</si>
  <si>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</si>
  <si>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</si>
  <si>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</si>
  <si>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</si>
  <si>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</si>
  <si>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</si>
  <si>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</si>
  <si>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</si>
  <si>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</si>
  <si>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</si>
  <si>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</si>
  <si>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</si>
  <si>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</si>
  <si>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</si>
  <si>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</si>
  <si>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</si>
  <si>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</si>
  <si>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</si>
  <si>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</si>
  <si>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</si>
  <si>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</si>
  <si>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</si>
  <si>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</si>
  <si>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</si>
  <si>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</si>
  <si>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</si>
  <si>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</si>
  <si>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</si>
  <si>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</si>
  <si>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</si>
  <si>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</si>
  <si>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</si>
  <si>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</si>
  <si>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</si>
  <si>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</si>
  <si>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</si>
  <si>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</si>
  <si>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</si>
  <si>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</si>
  <si>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</si>
  <si>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</si>
  <si>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</si>
  <si>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</si>
  <si>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</si>
  <si>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</si>
  <si>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</si>
  <si>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</si>
  <si>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</si>
  <si>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</si>
  <si>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</si>
  <si>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</si>
  <si>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</si>
  <si>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</si>
  <si>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</si>
  <si>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</si>
  <si>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</si>
  <si>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</si>
  <si>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</si>
  <si>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</si>
  <si>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</si>
  <si>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</si>
  <si>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</si>
  <si>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</si>
  <si>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</si>
  <si>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</si>
  <si>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</si>
  <si>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</si>
  <si>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</si>
  <si>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</si>
  <si>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</si>
  <si>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</si>
  <si>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</si>
  <si>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</si>
  <si>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</si>
  <si>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</si>
  <si>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</si>
  <si>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</si>
  <si>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</si>
  <si>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</si>
  <si>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</si>
  <si>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</si>
  <si>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</si>
  <si>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</si>
  <si>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</si>
  <si>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</si>
  <si>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</si>
  <si>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</si>
  <si>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</si>
  <si>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</si>
  <si>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</si>
  <si>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</si>
  <si>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</si>
  <si>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</si>
  <si>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</si>
  <si>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</si>
  <si>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</si>
  <si>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</si>
  <si>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</si>
  <si>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</si>
  <si>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</si>
  <si>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</si>
  <si>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</si>
  <si>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</si>
  <si>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</si>
  <si>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</si>
  <si>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</si>
  <si>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</si>
  <si>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</si>
  <si>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</si>
  <si>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</si>
  <si>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</si>
  <si>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</si>
  <si>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</si>
  <si>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</si>
  <si>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</si>
  <si>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</si>
  <si>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</si>
  <si>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</si>
  <si>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</si>
  <si>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</si>
  <si>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</si>
  <si>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</si>
  <si>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</si>
  <si>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</si>
  <si>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</si>
  <si>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</si>
  <si>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</si>
  <si>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</si>
  <si>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</si>
  <si>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</si>
  <si>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</si>
  <si>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</si>
  <si>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</si>
  <si>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</si>
  <si>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</si>
  <si>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</si>
  <si>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</si>
  <si>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</si>
  <si>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</si>
  <si>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</si>
  <si>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</si>
  <si>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</si>
  <si>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</si>
  <si>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</si>
  <si>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</si>
  <si>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</si>
  <si>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</si>
  <si>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</si>
  <si>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</si>
  <si>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</si>
  <si>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</si>
  <si>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</si>
  <si>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</si>
  <si>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</si>
  <si>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</si>
  <si>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</si>
  <si>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</si>
  <si>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</si>
  <si>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</si>
  <si>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</si>
  <si>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</si>
  <si>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</si>
  <si>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</si>
  <si>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</si>
  <si>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</si>
  <si>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</si>
  <si>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</si>
  <si>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</si>
  <si>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</si>
  <si>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</si>
  <si>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</si>
  <si>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</si>
  <si>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</si>
  <si>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</si>
  <si>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</si>
  <si>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</si>
  <si>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</si>
  <si>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</si>
  <si>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</si>
  <si>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</si>
  <si>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</si>
  <si>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</si>
  <si>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</si>
  <si>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</si>
  <si>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</si>
  <si>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</si>
  <si>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</si>
  <si>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</si>
  <si>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</si>
  <si>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</si>
  <si>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</si>
  <si>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</si>
  <si>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</si>
  <si>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</si>
  <si>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</si>
  <si>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</si>
  <si>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</si>
  <si>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</si>
  <si>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</si>
  <si>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</si>
  <si>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</si>
  <si>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</si>
  <si>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</si>
  <si>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</si>
  <si>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</si>
  <si>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</si>
  <si>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</si>
  <si>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</si>
  <si>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</si>
  <si>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</si>
  <si>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</si>
  <si>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</si>
  <si>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</si>
  <si>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</si>
  <si>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</si>
  <si>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</si>
  <si>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</si>
  <si>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</si>
  <si>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</si>
  <si>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</si>
  <si>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</si>
  <si>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</si>
  <si>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</si>
  <si>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</si>
  <si>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</si>
  <si>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</si>
  <si>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</si>
  <si>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</si>
  <si>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</si>
  <si>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</si>
  <si>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</si>
  <si>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</si>
  <si>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</si>
  <si>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</si>
  <si>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</si>
  <si>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</si>
  <si>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</si>
  <si>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</si>
  <si>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</si>
  <si>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</si>
  <si>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</si>
  <si>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</si>
  <si>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</si>
  <si>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</si>
  <si>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</si>
  <si>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</si>
  <si>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</si>
  <si>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</si>
  <si>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</si>
  <si>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</si>
  <si>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</si>
  <si>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</si>
  <si>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</si>
  <si>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</si>
  <si>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</si>
  <si>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</si>
  <si>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</si>
  <si>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</si>
  <si>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</si>
  <si>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</si>
  <si>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</si>
  <si>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</si>
  <si>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</si>
  <si>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</si>
  <si>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</si>
  <si>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</si>
  <si>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</si>
  <si>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</si>
  <si>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</si>
  <si>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</si>
  <si>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</si>
  <si>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</si>
  <si>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</si>
  <si>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</si>
  <si>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</si>
  <si>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</si>
  <si>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</si>
  <si>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</si>
  <si>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</si>
  <si>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</si>
  <si>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</si>
  <si>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</si>
  <si>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</si>
  <si>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</si>
  <si>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</si>
  <si>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</si>
  <si>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</si>
  <si>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</si>
  <si>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</si>
  <si>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</si>
  <si>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</si>
  <si>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</si>
  <si>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</si>
  <si>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</si>
  <si>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</si>
  <si>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</si>
  <si>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</si>
  <si>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</si>
  <si>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</si>
  <si>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</si>
  <si>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</si>
  <si>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</si>
  <si>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</si>
  <si>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</si>
  <si>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</si>
  <si>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</si>
  <si>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</si>
  <si>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</si>
  <si>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</si>
  <si>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</si>
  <si>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</si>
  <si>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</si>
  <si>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2019</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</si>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</sst>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6">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18862.785</v>
      </c>
      <c r="F22" s="3384" t="str">
        <f t="shared" si="0"/>
        <v>NA</v>
      </c>
      <c r="G22" s="3360">
        <v>290.65836886363633</v>
      </c>
      <c r="H22" s="3339">
        <f t="shared" si="1"/>
        <v>1065.7473524999998</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34079.54</v>
      </c>
      <c r="F24" s="3384" t="str">
        <f t="shared" si="0"/>
        <v>NA</v>
      </c>
      <c r="G24" s="3360">
        <v>750.05969399999992</v>
      </c>
      <c r="H24" s="3339">
        <f t="shared" si="1"/>
        <v>2750.2188779999997</v>
      </c>
      <c r="I24" s="2599" t="s">
        <v>205</v>
      </c>
      <c r="J24" s="2600"/>
      <c r="M24" s="125"/>
    </row>
    <row r="25" spans="2:13" ht="18" customHeight="1" x14ac:dyDescent="0.2">
      <c r="B25" s="165"/>
      <c r="C25" s="1566"/>
      <c r="D25" s="1451" t="s">
        <v>458</v>
      </c>
      <c r="E25" s="3379">
        <v>13132.875400000001</v>
      </c>
      <c r="F25" s="3384" t="str">
        <f t="shared" si="0"/>
        <v>NA</v>
      </c>
      <c r="G25" s="3360">
        <v>249.41121231245489</v>
      </c>
      <c r="H25" s="3339">
        <f t="shared" si="1"/>
        <v>914.50777847900133</v>
      </c>
      <c r="I25" s="2599" t="s">
        <v>205</v>
      </c>
      <c r="J25" s="2600"/>
      <c r="M25" s="125"/>
    </row>
    <row r="26" spans="2:13" ht="18" customHeight="1" x14ac:dyDescent="0.2">
      <c r="B26" s="165"/>
      <c r="C26" s="1566"/>
      <c r="D26" s="1451" t="s">
        <v>459</v>
      </c>
      <c r="E26" s="3383">
        <v>22308.012320400001</v>
      </c>
      <c r="F26" s="3384">
        <f t="shared" si="0"/>
        <v>25.26136363636364</v>
      </c>
      <c r="G26" s="3360">
        <v>563.53081123010497</v>
      </c>
      <c r="H26" s="3339">
        <f t="shared" si="1"/>
        <v>2066.2796411770519</v>
      </c>
      <c r="I26" s="3360">
        <v>2066.2796411770501</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38958.334803389822</v>
      </c>
      <c r="F28" s="3384">
        <f>IF(I28="NA","NA",I28/(44/12)*1000/E28)</f>
        <v>0.43106571341425282</v>
      </c>
      <c r="G28" s="3360">
        <v>723.79511594181804</v>
      </c>
      <c r="H28" s="3339">
        <f>IF(G28="NA","NA",IF(G28="NO","NO",G28*44/12))</f>
        <v>2653.9154251199993</v>
      </c>
      <c r="I28" s="3360">
        <v>61.576542080000003</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127341.54752378982</v>
      </c>
      <c r="F31" s="3324">
        <f t="shared" ref="F31" si="3">IF(I31="NA","NA",I31/(44/12)*1000/E31)</f>
        <v>4.5572275891114291</v>
      </c>
      <c r="G31" s="3388">
        <f>SUM(G11:G29)</f>
        <v>2577.4552023480142</v>
      </c>
      <c r="H31" s="3336">
        <f t="shared" ref="H31" si="4">IF(G31="NA","NA",IF(G31="NO","NO",G31*44/12))</f>
        <v>9450.6690752760514</v>
      </c>
      <c r="I31" s="3388">
        <f>SUM(I11:I29)</f>
        <v>2127.8561832570499</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v>3.0388375978253301</v>
      </c>
      <c r="H34" s="3361">
        <f t="shared" ref="H34:H42" si="5">IF(G34="NA","NA",IF(G34="NO","NO",G34*44/12))</f>
        <v>11.142404525359543</v>
      </c>
      <c r="I34" s="2388" t="s">
        <v>274</v>
      </c>
      <c r="J34" s="2600"/>
      <c r="M34" s="125"/>
    </row>
    <row r="35" spans="2:13" ht="18" customHeight="1" x14ac:dyDescent="0.2">
      <c r="B35" s="1433"/>
      <c r="C35" s="1566"/>
      <c r="D35" s="1451" t="s">
        <v>392</v>
      </c>
      <c r="E35" s="3379">
        <v>18734.529792000001</v>
      </c>
      <c r="F35" s="3384">
        <f>IF(I35="NA","NA",I35/(44/12)*1000/E35)</f>
        <v>24.78384416438152</v>
      </c>
      <c r="G35" s="3364">
        <v>508.44754908255078</v>
      </c>
      <c r="H35" s="3361">
        <f t="shared" si="5"/>
        <v>1864.3076799693529</v>
      </c>
      <c r="I35" s="3360">
        <v>1702.4834451456002</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66822.87119795999</v>
      </c>
      <c r="F41" s="3384">
        <f t="shared" ref="F41" si="8">IF(I41="NA","NA",I41/(44/12)*1000/E41)</f>
        <v>29.836402531422031</v>
      </c>
      <c r="G41" s="3360">
        <v>1993.7540833677001</v>
      </c>
      <c r="H41" s="3361">
        <f t="shared" si="5"/>
        <v>7310.4316390149006</v>
      </c>
      <c r="I41" s="3360">
        <v>7310.431639014907</v>
      </c>
      <c r="J41" s="3381" t="s">
        <v>460</v>
      </c>
      <c r="M41" s="125"/>
    </row>
    <row r="42" spans="2:13" ht="18" customHeight="1" x14ac:dyDescent="0.2">
      <c r="B42" s="1433"/>
      <c r="C42" s="1567"/>
      <c r="D42" s="1451" t="s">
        <v>467</v>
      </c>
      <c r="E42" s="3379">
        <v>8666.6049314667853</v>
      </c>
      <c r="F42" s="3384">
        <f>IF(I42="NA","NA",I42/(44/12)*1000/E42)</f>
        <v>18.403500831197402</v>
      </c>
      <c r="G42" s="3360">
        <v>175.47463355901317</v>
      </c>
      <c r="H42" s="3361">
        <f t="shared" si="5"/>
        <v>643.40698971638164</v>
      </c>
      <c r="I42" s="3360">
        <v>584.81819388633107</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94224.005921426782</v>
      </c>
      <c r="F45" s="3308">
        <f>IF(I45="NA","NA",I45/(44/12)*1000/E45)</f>
        <v>27.780220079671444</v>
      </c>
      <c r="G45" s="3388">
        <f>SUM(G33:G43)</f>
        <v>2680.7151036070891</v>
      </c>
      <c r="H45" s="3336">
        <f t="shared" ref="H45" si="9">IF(G45="NA","NA",IF(G45="NO","NO",G45*44/12))</f>
        <v>9829.288713225993</v>
      </c>
      <c r="I45" s="3388">
        <f>SUM(I33:I43)</f>
        <v>9597.7332780468387</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44765.22714000001</v>
      </c>
      <c r="F47" s="3384">
        <f t="shared" ref="F47" si="10">IF(I47="NA","NA",I47/(44/12)*1000/E47)</f>
        <v>14.021432274344999</v>
      </c>
      <c r="G47" s="3360">
        <v>659.14200139361571</v>
      </c>
      <c r="H47" s="3339">
        <f t="shared" ref="H47" si="11">IF(G47="NA","NA",IF(G47="NO","NO",G47*44/12))</f>
        <v>2416.8540051099244</v>
      </c>
      <c r="I47" s="3360">
        <v>2301.4662021603299</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44765.22714000001</v>
      </c>
      <c r="F50" s="3308">
        <f>IF(I50="NA","NA",I50/(44/12)*1000/E50)</f>
        <v>14.021432274344999</v>
      </c>
      <c r="G50" s="3388">
        <f>SUM(G47:G48)</f>
        <v>659.14200139361571</v>
      </c>
      <c r="H50" s="3362">
        <f t="shared" ref="H50" si="13">IF(G50="NA","NA",IF(G50="NO","NO",G50*44/12))</f>
        <v>2416.8540051099244</v>
      </c>
      <c r="I50" s="3388">
        <f>SUM(I47:I48)</f>
        <v>2301.4662021603299</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266330.78058521665</v>
      </c>
      <c r="F55" s="3319">
        <f t="shared" si="14"/>
        <v>14.363944817359158</v>
      </c>
      <c r="G55" s="3388">
        <f>SUM(G31,G45,G50,G54)</f>
        <v>5917.3123073487195</v>
      </c>
      <c r="H55" s="3363">
        <f t="shared" si="15"/>
        <v>21696.811793611971</v>
      </c>
      <c r="I55" s="3388">
        <f>SUM(I31,I45,I50,I54)</f>
        <v>14027.05566346422</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624.15485813867997</v>
      </c>
      <c r="D10" s="3105"/>
      <c r="E10" s="3105"/>
      <c r="F10" s="3057">
        <f>SUM(F11,F18)</f>
        <v>976.07213624065889</v>
      </c>
      <c r="G10" s="3057">
        <f>SUM(G11,G18)</f>
        <v>2062.3470403633114</v>
      </c>
      <c r="H10" s="3057">
        <f>H11</f>
        <v>-523.22557685713173</v>
      </c>
      <c r="I10" s="3106" t="s">
        <v>199</v>
      </c>
      <c r="L10" s="3676"/>
    </row>
    <row r="11" spans="2:12" ht="18" customHeight="1" x14ac:dyDescent="0.2">
      <c r="B11" s="1251" t="s">
        <v>486</v>
      </c>
      <c r="C11" s="3014">
        <v>103.63668262100001</v>
      </c>
      <c r="D11" s="3057">
        <f>IFERROR(SUM(F11,-H11)/$C$11,"NA")</f>
        <v>11.154044988588675</v>
      </c>
      <c r="E11" s="3057">
        <f>IFERROR(SUM(G11)/$C$11,"NA")</f>
        <v>18.511730222667047</v>
      </c>
      <c r="F11" s="3057">
        <f>SUM(F12:F16)</f>
        <v>632.74264356558831</v>
      </c>
      <c r="G11" s="3057">
        <f>SUM(G12:G16)</f>
        <v>1918.4943098521185</v>
      </c>
      <c r="H11" s="3057">
        <f>H12</f>
        <v>-523.22557685713173</v>
      </c>
      <c r="I11" s="3106" t="s">
        <v>199</v>
      </c>
    </row>
    <row r="12" spans="2:12" ht="18" customHeight="1" x14ac:dyDescent="0.2">
      <c r="B12" s="160" t="s">
        <v>487</v>
      </c>
      <c r="C12" s="3027"/>
      <c r="D12" s="3057">
        <f>IFERROR(SUM(F12,-H12)/$C$11,"NA")</f>
        <v>10.3991905602484</v>
      </c>
      <c r="E12" s="3057">
        <f>IFERROR(SUM(G12)/$C$11,"NA")</f>
        <v>11.936935782250726</v>
      </c>
      <c r="F12" s="3104">
        <v>554.51203475063085</v>
      </c>
      <c r="G12" s="3104">
        <v>1237.1044251323769</v>
      </c>
      <c r="H12" s="3104">
        <v>-523.22557685713173</v>
      </c>
      <c r="I12" s="3015" t="s">
        <v>199</v>
      </c>
    </row>
    <row r="13" spans="2:12" ht="18" customHeight="1" x14ac:dyDescent="0.2">
      <c r="B13" s="160" t="s">
        <v>488</v>
      </c>
      <c r="C13" s="3027"/>
      <c r="D13" s="3057">
        <f>IFERROR(SUM(F13)/$C$11,"NA")</f>
        <v>0.39550157713235512</v>
      </c>
      <c r="E13" s="3057" t="s">
        <v>205</v>
      </c>
      <c r="F13" s="3104">
        <v>40.98847142537084</v>
      </c>
      <c r="G13" s="3104" t="s">
        <v>221</v>
      </c>
      <c r="H13" s="3104" t="s">
        <v>199</v>
      </c>
      <c r="I13" s="3015" t="s">
        <v>199</v>
      </c>
    </row>
    <row r="14" spans="2:12" ht="18" customHeight="1" x14ac:dyDescent="0.2">
      <c r="B14" s="160" t="s">
        <v>489</v>
      </c>
      <c r="C14" s="3442">
        <v>128</v>
      </c>
      <c r="D14" s="3057">
        <f>IFERROR(SUM(F14)/$C$11,"NA")</f>
        <v>0.33764805023297129</v>
      </c>
      <c r="E14" s="3057" t="s">
        <v>205</v>
      </c>
      <c r="F14" s="3104">
        <v>34.992723819593913</v>
      </c>
      <c r="G14" s="3104" t="s">
        <v>205</v>
      </c>
      <c r="H14" s="3104" t="s">
        <v>199</v>
      </c>
      <c r="I14" s="3015" t="s">
        <v>199</v>
      </c>
    </row>
    <row r="15" spans="2:12" ht="18" customHeight="1" x14ac:dyDescent="0.2">
      <c r="B15" s="160" t="s">
        <v>490</v>
      </c>
      <c r="C15" s="3014">
        <v>0.25059185836376302</v>
      </c>
      <c r="D15" s="3057">
        <f>IFERROR(SUM(F15)/$C15,"NA")</f>
        <v>8.9764032426282405</v>
      </c>
      <c r="E15" s="3057">
        <f>IFERROR(SUM(G15)/$C15,"NA")</f>
        <v>2719.1221980190012</v>
      </c>
      <c r="F15" s="3104">
        <v>2.2494135699927194</v>
      </c>
      <c r="G15" s="3104">
        <v>681.38988471974153</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520.51817551767999</v>
      </c>
      <c r="D18" s="3057">
        <f>IFERROR(SUM(F18)/$C$18,"NA")</f>
        <v>0.65959174688494426</v>
      </c>
      <c r="E18" s="3057">
        <f>IFERROR(SUM(G18)/$C$18,"NA")</f>
        <v>0.27636447155399413</v>
      </c>
      <c r="F18" s="3057">
        <f>SUM(F19:F21)</f>
        <v>343.32949267507058</v>
      </c>
      <c r="G18" s="3109">
        <f t="shared" ref="G18" si="1">SUM(G19:G21)</f>
        <v>143.85273051119279</v>
      </c>
      <c r="H18" s="3057" t="s">
        <v>199</v>
      </c>
      <c r="I18" s="3106" t="s">
        <v>199</v>
      </c>
    </row>
    <row r="19" spans="2:9" ht="18" customHeight="1" x14ac:dyDescent="0.2">
      <c r="B19" s="160" t="s">
        <v>493</v>
      </c>
      <c r="C19" s="3027"/>
      <c r="D19" s="3057">
        <f>IFERROR(SUM(F19)/$C$18,"NA")</f>
        <v>0.65959174688494426</v>
      </c>
      <c r="E19" s="3057">
        <f>IFERROR(SUM(G19)/$C$18,"NA")</f>
        <v>0.27636447155399413</v>
      </c>
      <c r="F19" s="3104">
        <v>343.32949267507058</v>
      </c>
      <c r="G19" s="3104">
        <v>143.85273051119279</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0" t="s">
        <v>506</v>
      </c>
      <c r="C57" s="4501"/>
      <c r="D57" s="4501"/>
      <c r="E57" s="4501"/>
      <c r="F57" s="4501"/>
      <c r="G57" s="4501"/>
      <c r="H57" s="4501"/>
      <c r="I57" s="4502"/>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2" workbookViewId="0">
      <selection activeCell="H15" sqref="H1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108.70107962499998</v>
      </c>
      <c r="J10" s="3123">
        <f>IF(SUM(J11:J16)=0,"NO",SUM(J11:J16))</f>
        <v>2.5116778177153254</v>
      </c>
      <c r="K10" s="4433">
        <f>IF(SUM(K11:K16)=0,"NO",SUM(K11:K16))</f>
        <v>3.3804990840163745E-3</v>
      </c>
      <c r="L10" s="3124" t="s">
        <v>199</v>
      </c>
    </row>
    <row r="11" spans="2:12" ht="18" customHeight="1" x14ac:dyDescent="0.2">
      <c r="B11" s="1251" t="s">
        <v>520</v>
      </c>
      <c r="C11" s="2190" t="s">
        <v>521</v>
      </c>
      <c r="D11" s="2190" t="s">
        <v>522</v>
      </c>
      <c r="E11" s="699">
        <v>52</v>
      </c>
      <c r="F11" s="1938">
        <f>I11*1000000/$E11</f>
        <v>2384.6153846153848</v>
      </c>
      <c r="G11" s="1938">
        <f>J11*1000000/$E11</f>
        <v>0.24591346153846155</v>
      </c>
      <c r="H11" s="1938">
        <f>K11*1000000/$E11</f>
        <v>0.16394230769230769</v>
      </c>
      <c r="I11" s="3119">
        <v>0.124</v>
      </c>
      <c r="J11" s="4434">
        <v>1.2787500000000001E-5</v>
      </c>
      <c r="K11" s="4440">
        <v>8.5250000000000005E-6</v>
      </c>
      <c r="L11" s="3072" t="s">
        <v>199</v>
      </c>
    </row>
    <row r="12" spans="2:12" ht="18" customHeight="1" x14ac:dyDescent="0.2">
      <c r="B12" s="1251" t="s">
        <v>523</v>
      </c>
      <c r="C12" s="2190" t="s">
        <v>524</v>
      </c>
      <c r="D12" s="2190" t="s">
        <v>525</v>
      </c>
      <c r="E12" s="699">
        <v>676.82619999999997</v>
      </c>
      <c r="F12" s="1938" t="s">
        <v>205</v>
      </c>
      <c r="G12" s="1938">
        <f>J12*1000000/$E12</f>
        <v>1792.6610997032919</v>
      </c>
      <c r="H12" s="3075"/>
      <c r="I12" s="3125" t="s">
        <v>205</v>
      </c>
      <c r="J12" s="699">
        <v>1.2133200000000002</v>
      </c>
      <c r="K12" s="3027"/>
      <c r="L12" s="3072" t="s">
        <v>199</v>
      </c>
    </row>
    <row r="13" spans="2:12" ht="18" customHeight="1" x14ac:dyDescent="0.2">
      <c r="B13" s="1251" t="s">
        <v>526</v>
      </c>
      <c r="C13" s="2190" t="s">
        <v>527</v>
      </c>
      <c r="D13" s="2190" t="s">
        <v>525</v>
      </c>
      <c r="E13" s="699">
        <v>615.44763999999998</v>
      </c>
      <c r="F13" s="1938" t="s">
        <v>205</v>
      </c>
      <c r="G13" s="1938">
        <f>J13*1000000/$E13</f>
        <v>84.852054676820259</v>
      </c>
      <c r="H13" s="3075"/>
      <c r="I13" s="3125" t="s">
        <v>205</v>
      </c>
      <c r="J13" s="699">
        <v>5.222199679999999E-2</v>
      </c>
      <c r="K13" s="3027"/>
      <c r="L13" s="3072" t="s">
        <v>199</v>
      </c>
    </row>
    <row r="14" spans="2:12" ht="18" customHeight="1" x14ac:dyDescent="0.2">
      <c r="B14" s="1251" t="s">
        <v>528</v>
      </c>
      <c r="C14" s="2190" t="s">
        <v>529</v>
      </c>
      <c r="D14" s="2190" t="s">
        <v>525</v>
      </c>
      <c r="E14" s="699">
        <v>924.19762789200001</v>
      </c>
      <c r="F14" s="1938">
        <f>I14*1000000/$E14</f>
        <v>117482.5344149099</v>
      </c>
      <c r="G14" s="1938">
        <f>J14*1000000/$E14</f>
        <v>1236.8105293372389</v>
      </c>
      <c r="H14" s="1938">
        <f>K14*1000000/$E14</f>
        <v>3.6485422405892791</v>
      </c>
      <c r="I14" s="3125">
        <v>108.57707962499998</v>
      </c>
      <c r="J14" s="699">
        <v>1.1430573573653251</v>
      </c>
      <c r="K14" s="4439">
        <v>3.3719740840163744E-3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0.10306567605</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3364</v>
      </c>
      <c r="F18" s="1938" t="s">
        <v>205</v>
      </c>
      <c r="G18" s="1938">
        <f>J18*1000000/$E18</f>
        <v>30.637834735434005</v>
      </c>
      <c r="H18" s="3126"/>
      <c r="I18" s="3128" t="s">
        <v>205</v>
      </c>
      <c r="J18" s="2215">
        <v>0.10306567605</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37.360066572145534</v>
      </c>
      <c r="J21" s="4437">
        <f>IF(SUM(J22:J27)=0,"NO",SUM(J22:J27))</f>
        <v>203.59395966773877</v>
      </c>
      <c r="K21" s="4438">
        <f>IF(SUM(K22:K27)=0,"NO",SUM(K22:K27))</f>
        <v>2.8390500000000009E-4</v>
      </c>
      <c r="L21" s="3047" t="str">
        <f>IF(SUM(L22:L27)=0,"NO",SUM(L22:L27))</f>
        <v>NO</v>
      </c>
    </row>
    <row r="22" spans="2:12" ht="18" customHeight="1" x14ac:dyDescent="0.2">
      <c r="B22" s="1468" t="s">
        <v>535</v>
      </c>
      <c r="C22" s="2190" t="s">
        <v>521</v>
      </c>
      <c r="D22" s="2190" t="s">
        <v>522</v>
      </c>
      <c r="E22" s="699">
        <v>598</v>
      </c>
      <c r="F22" s="1938">
        <f>I22*1000000/$E22</f>
        <v>16131.10240866658</v>
      </c>
      <c r="G22" s="1938">
        <f>J22*1000000/$E22</f>
        <v>2150.8400230771294</v>
      </c>
      <c r="H22" s="1938">
        <f>K22*1000000/$E22</f>
        <v>0.47475752508361219</v>
      </c>
      <c r="I22" s="3119">
        <v>9.6463992403826158</v>
      </c>
      <c r="J22" s="700">
        <v>1.2862023338001234</v>
      </c>
      <c r="K22" s="4129">
        <v>2.8390500000000009E-4</v>
      </c>
      <c r="L22" s="3133" t="s">
        <v>199</v>
      </c>
    </row>
    <row r="23" spans="2:12" ht="18" customHeight="1" x14ac:dyDescent="0.2">
      <c r="B23" s="1251" t="s">
        <v>536</v>
      </c>
      <c r="C23" s="2190" t="s">
        <v>537</v>
      </c>
      <c r="D23" s="2190" t="s">
        <v>525</v>
      </c>
      <c r="E23" s="699">
        <v>9124.3104045760901</v>
      </c>
      <c r="F23" s="1938">
        <f>I23*1000000/$E23</f>
        <v>76.837029661826122</v>
      </c>
      <c r="G23" s="1938">
        <f>J23*1000000/$E23</f>
        <v>4361.0122711628192</v>
      </c>
      <c r="H23" s="3075"/>
      <c r="I23" s="3125">
        <v>0.70108490920012179</v>
      </c>
      <c r="J23" s="699">
        <v>39.791229640254912</v>
      </c>
      <c r="K23" s="3027"/>
      <c r="L23" s="3133" t="s">
        <v>199</v>
      </c>
    </row>
    <row r="24" spans="2:12" ht="18" customHeight="1" x14ac:dyDescent="0.2">
      <c r="B24" s="1251" t="s">
        <v>538</v>
      </c>
      <c r="C24" s="2190" t="s">
        <v>537</v>
      </c>
      <c r="D24" s="2190" t="s">
        <v>525</v>
      </c>
      <c r="E24" s="699">
        <v>9124.3104045760901</v>
      </c>
      <c r="F24" s="1938">
        <f t="shared" ref="F24:F26" si="0">I24*1000000/$E24</f>
        <v>1194.6979024937045</v>
      </c>
      <c r="G24" s="1938">
        <f t="shared" ref="G24:G26" si="1">J24*1000000/$E24</f>
        <v>6346.5848274171822</v>
      </c>
      <c r="H24" s="1885"/>
      <c r="I24" s="699">
        <v>10.900794502048539</v>
      </c>
      <c r="J24" s="699">
        <v>57.908209974327349</v>
      </c>
      <c r="K24" s="1939"/>
      <c r="L24" s="3072" t="str">
        <f>IF(Table1.C!E21="NO","NO",-Table1.C!E21)</f>
        <v>NO</v>
      </c>
    </row>
    <row r="25" spans="2:12" ht="18" customHeight="1" x14ac:dyDescent="0.2">
      <c r="B25" s="1251" t="s">
        <v>539</v>
      </c>
      <c r="C25" s="2190" t="s">
        <v>540</v>
      </c>
      <c r="D25" s="2190" t="s">
        <v>541</v>
      </c>
      <c r="E25" s="699">
        <v>32705.804000000004</v>
      </c>
      <c r="F25" s="1938">
        <f t="shared" si="0"/>
        <v>19.999999999999996</v>
      </c>
      <c r="G25" s="1938">
        <f t="shared" si="1"/>
        <v>1181.794747239009</v>
      </c>
      <c r="H25" s="3075"/>
      <c r="I25" s="3125">
        <v>0.65411607999999999</v>
      </c>
      <c r="J25" s="699">
        <v>38.65154737142857</v>
      </c>
      <c r="K25" s="3027"/>
      <c r="L25" s="3072" t="s">
        <v>199</v>
      </c>
    </row>
    <row r="26" spans="2:12" ht="18" customHeight="1" x14ac:dyDescent="0.2">
      <c r="B26" s="1251" t="s">
        <v>542</v>
      </c>
      <c r="C26" s="2190" t="s">
        <v>543</v>
      </c>
      <c r="D26" s="2190" t="s">
        <v>525</v>
      </c>
      <c r="E26" s="699">
        <v>345.92194000000001</v>
      </c>
      <c r="F26" s="1938">
        <f t="shared" si="0"/>
        <v>43058.48120413594</v>
      </c>
      <c r="G26" s="1938">
        <f t="shared" si="1"/>
        <v>147194.6620228581</v>
      </c>
      <c r="H26" s="3075"/>
      <c r="I26" s="3125">
        <v>14.894873351588242</v>
      </c>
      <c r="J26" s="699">
        <v>50.917863044591407</v>
      </c>
      <c r="K26" s="3027"/>
      <c r="L26" s="3072" t="s">
        <v>199</v>
      </c>
    </row>
    <row r="27" spans="2:12" ht="18" customHeight="1" x14ac:dyDescent="0.2">
      <c r="B27" s="2436" t="s">
        <v>544</v>
      </c>
      <c r="C27" s="607"/>
      <c r="D27" s="607"/>
      <c r="E27" s="615"/>
      <c r="F27" s="615"/>
      <c r="G27" s="615"/>
      <c r="H27" s="3126"/>
      <c r="I27" s="1938">
        <f>IF(SUM(I29:I30)=0,"NO",SUM(I29:I30))</f>
        <v>0.56279848892601292</v>
      </c>
      <c r="J27" s="1938">
        <f>IF(SUM(J29:J30)=0,"NO",SUM(J29:J30))</f>
        <v>15.038907303336444</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0.56279848892601292</v>
      </c>
      <c r="J29" s="3128">
        <v>14.675724098036444</v>
      </c>
      <c r="K29" s="3110"/>
      <c r="L29" s="3080" t="s">
        <v>199</v>
      </c>
    </row>
    <row r="30" spans="2:12" ht="18" customHeight="1" thickBot="1" x14ac:dyDescent="0.25">
      <c r="B30" s="2437" t="s">
        <v>547</v>
      </c>
      <c r="C30" s="2190" t="s">
        <v>533</v>
      </c>
      <c r="D30" s="2190" t="s">
        <v>522</v>
      </c>
      <c r="E30" s="699">
        <v>19286</v>
      </c>
      <c r="F30" s="1938" t="s">
        <v>205</v>
      </c>
      <c r="G30" s="1938">
        <f t="shared" ref="G30" si="2">J30*1000000/$E30</f>
        <v>18.831442771958933</v>
      </c>
      <c r="H30" s="3126"/>
      <c r="I30" s="3128" t="s">
        <v>205</v>
      </c>
      <c r="J30" s="3128">
        <v>0.36318320529999998</v>
      </c>
      <c r="K30" s="3110"/>
      <c r="L30" s="3080" t="s">
        <v>199</v>
      </c>
    </row>
    <row r="31" spans="2:12" ht="18" customHeight="1" x14ac:dyDescent="0.2">
      <c r="B31" s="1254" t="s">
        <v>548</v>
      </c>
      <c r="C31" s="2192"/>
      <c r="D31" s="2192"/>
      <c r="E31" s="3183"/>
      <c r="F31" s="3183"/>
      <c r="G31" s="3183"/>
      <c r="H31" s="3183"/>
      <c r="I31" s="4437">
        <f>IF(SUM(I32,I36)=0,"NO",SUM(I32,I36))</f>
        <v>18003.562057537805</v>
      </c>
      <c r="J31" s="3046">
        <f>IF(SUM(J32,J36)=0,"NO",SUM(J32,J36))</f>
        <v>100.8729939307585</v>
      </c>
      <c r="K31" s="3046">
        <f>IF(SUM(K32,K36)=0,"NO",SUM(K32,K36))</f>
        <v>0.29973022865498616</v>
      </c>
      <c r="L31" s="3047" t="str">
        <f>IF(SUM(L32,L36)=0,"NO",SUM(L32,L36))</f>
        <v>NO</v>
      </c>
    </row>
    <row r="32" spans="2:12" ht="18" customHeight="1" x14ac:dyDescent="0.2">
      <c r="B32" s="1467" t="s">
        <v>549</v>
      </c>
      <c r="C32" s="2195"/>
      <c r="D32" s="2195"/>
      <c r="E32" s="3007"/>
      <c r="F32" s="3007"/>
      <c r="G32" s="3007"/>
      <c r="H32" s="3007"/>
      <c r="I32" s="3134">
        <f>IF(SUM(I33:I35)=0,"NO",SUM(I33:I35))</f>
        <v>9518.769137690475</v>
      </c>
      <c r="J32" s="1938">
        <f>IF(SUM(J33:J35)=0,"NO",SUM(J33:J35))</f>
        <v>81.07641135408457</v>
      </c>
      <c r="K32" s="3110"/>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9801.1366045760897</v>
      </c>
      <c r="F35" s="1938">
        <f t="shared" ref="F35" si="3">SUM(I35,L35)*1000000/$E35</f>
        <v>971190.33452163311</v>
      </c>
      <c r="G35" s="1938">
        <f t="shared" ref="G35" si="4">J35*1000000/$E35</f>
        <v>8272.1437956726877</v>
      </c>
      <c r="H35" s="1938">
        <f t="shared" ref="H35" si="5">K35*1000000/$E35</f>
        <v>0</v>
      </c>
      <c r="I35" s="699">
        <v>9518.769137690475</v>
      </c>
      <c r="J35" s="699">
        <v>81.07641135408457</v>
      </c>
      <c r="K35" s="3110"/>
      <c r="L35" s="3072" t="s">
        <v>199</v>
      </c>
    </row>
    <row r="36" spans="2:12" ht="18" customHeight="1" x14ac:dyDescent="0.2">
      <c r="B36" s="1467" t="s">
        <v>554</v>
      </c>
      <c r="C36" s="2195"/>
      <c r="D36" s="2195"/>
      <c r="E36" s="3007"/>
      <c r="F36" s="3007"/>
      <c r="G36" s="3007"/>
      <c r="H36" s="3007"/>
      <c r="I36" s="3134">
        <f>IF(SUM(I37:I39)=0,"NO",SUM(I37:I39))</f>
        <v>8484.7929198473284</v>
      </c>
      <c r="J36" s="3134">
        <f>IF(SUM(J37:J39)=0,"NO",SUM(J37:J39))</f>
        <v>19.796582576673927</v>
      </c>
      <c r="K36" s="1938">
        <f>IF(SUM(K37:K39)=0,"NO",SUM(K37:K39))</f>
        <v>0.29973022865498616</v>
      </c>
      <c r="L36" s="3044" t="str">
        <f>IF(SUM(L37:L39)=0,"NO",SUM(L37:L39))</f>
        <v>NO</v>
      </c>
    </row>
    <row r="37" spans="2:12" ht="18" customHeight="1" x14ac:dyDescent="0.2">
      <c r="B37" s="1469" t="s">
        <v>555</v>
      </c>
      <c r="C37" s="277" t="s">
        <v>556</v>
      </c>
      <c r="D37" s="277" t="s">
        <v>525</v>
      </c>
      <c r="E37" s="699">
        <v>12.080463018797861</v>
      </c>
      <c r="F37" s="1938">
        <f t="shared" ref="F37:F38" si="6">SUM(I37,L37)*1000000/$E37</f>
        <v>39230988.022772089</v>
      </c>
      <c r="G37" s="1938">
        <f t="shared" ref="G37:H38" si="7">J37*1000000/$E37</f>
        <v>472029.34118724242</v>
      </c>
      <c r="H37" s="1938">
        <f t="shared" si="7"/>
        <v>1100.8439808396822</v>
      </c>
      <c r="I37" s="700">
        <v>473.92849999999999</v>
      </c>
      <c r="J37" s="700">
        <v>5.7023330000000003</v>
      </c>
      <c r="K37" s="700">
        <v>1.3298705000000001E-2</v>
      </c>
      <c r="L37" s="3133" t="s">
        <v>199</v>
      </c>
    </row>
    <row r="38" spans="2:12" ht="18" customHeight="1" x14ac:dyDescent="0.2">
      <c r="B38" s="1469" t="s">
        <v>557</v>
      </c>
      <c r="C38" s="277" t="s">
        <v>556</v>
      </c>
      <c r="D38" s="277" t="s">
        <v>525</v>
      </c>
      <c r="E38" s="699">
        <v>171.66507702872912</v>
      </c>
      <c r="F38" s="1938">
        <f t="shared" si="6"/>
        <v>46665661.755458072</v>
      </c>
      <c r="G38" s="1938">
        <f t="shared" si="7"/>
        <v>82103.18499618402</v>
      </c>
      <c r="H38" s="1938">
        <f t="shared" si="7"/>
        <v>1668.5485983095455</v>
      </c>
      <c r="I38" s="699">
        <v>8010.8644198473285</v>
      </c>
      <c r="J38" s="699">
        <v>14.094249576673926</v>
      </c>
      <c r="K38" s="699">
        <v>0.28643152365498614</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3" t="s">
        <v>562</v>
      </c>
      <c r="C66" s="4504"/>
      <c r="D66" s="4504"/>
      <c r="E66" s="4504"/>
      <c r="F66" s="4504"/>
      <c r="G66" s="4504"/>
      <c r="H66" s="4504"/>
      <c r="I66" s="4504"/>
      <c r="J66" s="4504"/>
      <c r="K66" s="4504"/>
      <c r="L66" s="4505"/>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11" workbookViewId="0">
      <selection activeCell="F24" sqref="F24"/>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35.544223695378335</v>
      </c>
      <c r="M9" s="3323">
        <f>100*C10/SUM(C10,'Table1.A(a)s3'!C16)</f>
        <v>64.455776304621665</v>
      </c>
    </row>
    <row r="10" spans="1:13" ht="18" customHeight="1" thickTop="1" thickBot="1" x14ac:dyDescent="0.25">
      <c r="B10" s="223" t="s">
        <v>603</v>
      </c>
      <c r="C10" s="3303">
        <f>IF(SUM(C11:C13)=0,"NO",SUM(C11:C13))</f>
        <v>220380.664051</v>
      </c>
      <c r="D10" s="3304"/>
      <c r="E10" s="3305"/>
      <c r="F10" s="3305"/>
      <c r="G10" s="3303">
        <f>IF(SUM(G11:G13)=0,"NO",SUM(G11:G13))</f>
        <v>15338.494217949599</v>
      </c>
      <c r="H10" s="3303">
        <f>IF(SUM(H11:H13)=0,"NO",SUM(H11:H13))</f>
        <v>3.437243488372093E-2</v>
      </c>
      <c r="I10" s="1154">
        <f>IF(SUM(I11:I13)=0,"NO",SUM(I11:I13))</f>
        <v>7.4445840969297669E-2</v>
      </c>
      <c r="J10" s="4"/>
      <c r="K10" s="68" t="s">
        <v>604</v>
      </c>
      <c r="L10" s="3324">
        <f>100-M10</f>
        <v>46.400423599742624</v>
      </c>
      <c r="M10" s="3325">
        <f>100*C14/SUM(C14,'Table1.A(a)s3'!C88)</f>
        <v>53.599576400257376</v>
      </c>
    </row>
    <row r="11" spans="1:13" ht="18" customHeight="1" x14ac:dyDescent="0.2">
      <c r="B11" s="1257" t="s">
        <v>293</v>
      </c>
      <c r="C11" s="3306">
        <v>220380.664051</v>
      </c>
      <c r="D11" s="116">
        <f>IF(G11="NO","NA",G11*1000/$C11)</f>
        <v>69.599999999999994</v>
      </c>
      <c r="E11" s="116">
        <f t="shared" ref="E11:F13" si="0">IF(H11="NO","NA",H11*1000000/$C11)</f>
        <v>0.15596846951947899</v>
      </c>
      <c r="F11" s="116">
        <f t="shared" si="0"/>
        <v>0.33780568404163436</v>
      </c>
      <c r="G11" s="3041">
        <v>15338.494217949599</v>
      </c>
      <c r="H11" s="3041">
        <v>3.437243488372093E-2</v>
      </c>
      <c r="I11" s="3042">
        <v>7.4445840969297669E-2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32538.991997000001</v>
      </c>
      <c r="D14" s="3313"/>
      <c r="E14" s="3314"/>
      <c r="F14" s="3315"/>
      <c r="G14" s="3387">
        <f>IF(SUM(G15:G18,G20:G22)=0,"NO",SUM(G15:G18,G20:G22))</f>
        <v>2381.9198109792001</v>
      </c>
      <c r="H14" s="3387">
        <f>IF(SUM(H15:H18,H20:H22)=0,"NO",SUM(H15:H18,H20:H22))</f>
        <v>0.22777294397900005</v>
      </c>
      <c r="I14" s="4428">
        <f>IF(SUM(I15:I18,I20:I22)=0,"NO",SUM(I15:I18,I20:I22))</f>
        <v>6.5077983994000013E-2</v>
      </c>
      <c r="J14" s="4"/>
      <c r="K14" s="1045"/>
      <c r="L14" s="1045"/>
      <c r="M14" s="1045"/>
    </row>
    <row r="15" spans="1:13" ht="18" customHeight="1" x14ac:dyDescent="0.2">
      <c r="B15" s="1259" t="s">
        <v>306</v>
      </c>
      <c r="C15" s="143">
        <v>29038.991997000001</v>
      </c>
      <c r="D15" s="116">
        <f>IF(G15="NO","NA",G15*1000/$C15)</f>
        <v>73.599999999999994</v>
      </c>
      <c r="E15" s="116">
        <f t="shared" ref="E15:F17" si="1">IF(H15="NO","NA",H15*1000000/$C15)</f>
        <v>7.0000000000000018</v>
      </c>
      <c r="F15" s="116">
        <f t="shared" si="1"/>
        <v>2.0000000000000004</v>
      </c>
      <c r="G15" s="3043">
        <v>2137.2698109792</v>
      </c>
      <c r="H15" s="3043">
        <v>0.20327294397900006</v>
      </c>
      <c r="I15" s="135">
        <v>5.8077983994000014E-2</v>
      </c>
      <c r="J15" s="4"/>
      <c r="K15" s="1045"/>
      <c r="L15" s="1045"/>
      <c r="M15" s="1045"/>
    </row>
    <row r="16" spans="1:13" ht="18" customHeight="1" x14ac:dyDescent="0.2">
      <c r="B16" s="1259" t="s">
        <v>307</v>
      </c>
      <c r="C16" s="3316">
        <v>3500</v>
      </c>
      <c r="D16" s="116">
        <f>IF(G16="NO","NA",G16*1000/$C16)</f>
        <v>69.900000000000006</v>
      </c>
      <c r="E16" s="116">
        <f t="shared" si="1"/>
        <v>7</v>
      </c>
      <c r="F16" s="116">
        <f t="shared" si="1"/>
        <v>1.9999999999999998</v>
      </c>
      <c r="G16" s="3043">
        <v>244.65000000000003</v>
      </c>
      <c r="H16" s="3043">
        <v>2.4500000000000001E-2</v>
      </c>
      <c r="I16" s="135">
        <v>6.9999999999999993E-3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7" t="s">
        <v>609</v>
      </c>
      <c r="C43" s="4498"/>
      <c r="D43" s="4498"/>
      <c r="E43" s="4498"/>
      <c r="F43" s="4498"/>
      <c r="G43" s="4498"/>
      <c r="H43" s="4498"/>
      <c r="I43" s="4499"/>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19369.841919175869</v>
      </c>
      <c r="D10" s="2923">
        <f t="shared" ref="D10:N10" si="0">IF(SUM(D11,D16,D27,D35,D39,D45,D52,D57)=0,"NO",SUM(D11,D16,D27,D35,D39,D45,D52,D57))</f>
        <v>2.8812401145691959</v>
      </c>
      <c r="E10" s="2923">
        <f t="shared" si="0"/>
        <v>7.5315206750354031</v>
      </c>
      <c r="F10" s="2923">
        <f t="shared" si="0"/>
        <v>10688.479613937492</v>
      </c>
      <c r="G10" s="2923">
        <f t="shared" si="0"/>
        <v>273.50220639665866</v>
      </c>
      <c r="H10" s="2923" t="str">
        <f t="shared" si="0"/>
        <v>NO</v>
      </c>
      <c r="I10" s="2923">
        <f t="shared" si="0"/>
        <v>5.4874417897203421E-3</v>
      </c>
      <c r="J10" s="2923" t="str">
        <f t="shared" si="0"/>
        <v>NO</v>
      </c>
      <c r="K10" s="2923">
        <f t="shared" si="0"/>
        <v>7.2729915811877968</v>
      </c>
      <c r="L10" s="2924">
        <f t="shared" si="0"/>
        <v>17.286302902719687</v>
      </c>
      <c r="M10" s="2925">
        <f t="shared" si="0"/>
        <v>248.34587350446003</v>
      </c>
      <c r="N10" s="2926">
        <f t="shared" si="0"/>
        <v>1568.4113753035251</v>
      </c>
      <c r="O10" s="3002">
        <f t="shared" ref="O10:O58" si="1">IF(SUM(C10:J10)=0,"NO",SUM(C10,F10:H10)+28*SUM(D10)+265*SUM(E10)+23500*SUM(I10)+16100*SUM(J10))</f>
        <v>32537.306323660763</v>
      </c>
    </row>
    <row r="11" spans="1:15" ht="18" customHeight="1" x14ac:dyDescent="0.2">
      <c r="B11" s="1262" t="s">
        <v>621</v>
      </c>
      <c r="C11" s="2163">
        <f>IF(SUM(C12:C15)=0,"NO",SUM(C12:C15))</f>
        <v>5588.8987343287281</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5588.8987343287281</v>
      </c>
    </row>
    <row r="12" spans="1:15" ht="18" customHeight="1" x14ac:dyDescent="0.2">
      <c r="B12" s="1263" t="s">
        <v>622</v>
      </c>
      <c r="C12" s="2930">
        <f>'Table2(I).A-H'!H11</f>
        <v>3039.5471560609881</v>
      </c>
      <c r="D12" s="2162"/>
      <c r="E12" s="2162"/>
      <c r="F12" s="615"/>
      <c r="G12" s="615"/>
      <c r="H12" s="2161"/>
      <c r="I12" s="615"/>
      <c r="J12" s="2161"/>
      <c r="K12" s="2161"/>
      <c r="L12" s="2161"/>
      <c r="M12" s="2161"/>
      <c r="N12" s="2929" t="s">
        <v>199</v>
      </c>
      <c r="O12" s="2943">
        <f t="shared" si="1"/>
        <v>3039.5471560609881</v>
      </c>
    </row>
    <row r="13" spans="1:15" ht="18" customHeight="1" x14ac:dyDescent="0.2">
      <c r="B13" s="1263" t="s">
        <v>623</v>
      </c>
      <c r="C13" s="1884">
        <f>'Table2(I).A-H'!H12</f>
        <v>1025.2644711432552</v>
      </c>
      <c r="D13" s="2135"/>
      <c r="E13" s="2135"/>
      <c r="F13" s="615"/>
      <c r="G13" s="615"/>
      <c r="H13" s="2161"/>
      <c r="I13" s="615"/>
      <c r="J13" s="2161"/>
      <c r="K13" s="615"/>
      <c r="L13" s="615"/>
      <c r="M13" s="615"/>
      <c r="N13" s="1842"/>
      <c r="O13" s="1887">
        <f t="shared" si="1"/>
        <v>1025.2644711432552</v>
      </c>
    </row>
    <row r="14" spans="1:15" ht="18" customHeight="1" x14ac:dyDescent="0.2">
      <c r="B14" s="1263" t="s">
        <v>624</v>
      </c>
      <c r="C14" s="1884">
        <f>'Table2(I).A-H'!H13</f>
        <v>80.254324563118303</v>
      </c>
      <c r="D14" s="2135"/>
      <c r="E14" s="2135"/>
      <c r="F14" s="615"/>
      <c r="G14" s="615"/>
      <c r="H14" s="2161"/>
      <c r="I14" s="615"/>
      <c r="J14" s="2161"/>
      <c r="K14" s="615"/>
      <c r="L14" s="615"/>
      <c r="M14" s="615"/>
      <c r="N14" s="1842"/>
      <c r="O14" s="1887">
        <f t="shared" si="1"/>
        <v>80.254324563118303</v>
      </c>
    </row>
    <row r="15" spans="1:15" ht="18" customHeight="1" thickBot="1" x14ac:dyDescent="0.25">
      <c r="B15" s="1263" t="s">
        <v>625</v>
      </c>
      <c r="C15" s="1884">
        <f>'Table2(I).A-H'!H14</f>
        <v>1443.8327825613665</v>
      </c>
      <c r="D15" s="1885"/>
      <c r="E15" s="1885"/>
      <c r="F15" s="3003"/>
      <c r="G15" s="3003"/>
      <c r="H15" s="3003"/>
      <c r="I15" s="3003"/>
      <c r="J15" s="3003"/>
      <c r="K15" s="2622" t="s">
        <v>199</v>
      </c>
      <c r="L15" s="2622" t="s">
        <v>199</v>
      </c>
      <c r="M15" s="2622" t="s">
        <v>199</v>
      </c>
      <c r="N15" s="2623" t="s">
        <v>199</v>
      </c>
      <c r="O15" s="1887">
        <f t="shared" si="1"/>
        <v>1443.8327825613665</v>
      </c>
    </row>
    <row r="16" spans="1:15" ht="18" customHeight="1" x14ac:dyDescent="0.2">
      <c r="B16" s="1264" t="s">
        <v>626</v>
      </c>
      <c r="C16" s="2163">
        <f>IF(SUM(C17:C26)=0,"NO",SUM(C17:C26))</f>
        <v>2820.7714109988174</v>
      </c>
      <c r="D16" s="2163">
        <f t="shared" ref="D16:N16" si="3">IF(SUM(D17:D26)=0,"NO",SUM(D17:D26))</f>
        <v>0.43359999999999999</v>
      </c>
      <c r="E16" s="2163">
        <f t="shared" si="3"/>
        <v>7.4754004933564833</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4813.893341738285</v>
      </c>
    </row>
    <row r="17" spans="2:15" ht="18" customHeight="1" x14ac:dyDescent="0.2">
      <c r="B17" s="1265" t="s">
        <v>627</v>
      </c>
      <c r="C17" s="2930">
        <f>'Table2(I).A-H'!H23</f>
        <v>1953.3757625223022</v>
      </c>
      <c r="D17" s="2165" t="str">
        <f>'Table2(I).A-H'!I23</f>
        <v>NO</v>
      </c>
      <c r="E17" s="2165" t="str">
        <f>'Table2(I).A-H'!J23</f>
        <v>NO</v>
      </c>
      <c r="F17" s="2161"/>
      <c r="G17" s="2161"/>
      <c r="H17" s="2161"/>
      <c r="I17" s="2161"/>
      <c r="J17" s="2161"/>
      <c r="K17" s="700" t="s">
        <v>199</v>
      </c>
      <c r="L17" s="700" t="s">
        <v>199</v>
      </c>
      <c r="M17" s="700" t="s">
        <v>199</v>
      </c>
      <c r="N17" s="700" t="s">
        <v>199</v>
      </c>
      <c r="O17" s="2943">
        <f t="shared" si="1"/>
        <v>1953.3757625223022</v>
      </c>
    </row>
    <row r="18" spans="2:15" ht="18" customHeight="1" x14ac:dyDescent="0.2">
      <c r="B18" s="1263" t="s">
        <v>628</v>
      </c>
      <c r="C18" s="1935"/>
      <c r="D18" s="2162"/>
      <c r="E18" s="2165">
        <f>'Table2(I).A-H'!J24</f>
        <v>7.4754004933564833</v>
      </c>
      <c r="F18" s="615"/>
      <c r="G18" s="615"/>
      <c r="H18" s="2161"/>
      <c r="I18" s="615"/>
      <c r="J18" s="2161"/>
      <c r="K18" s="700" t="s">
        <v>199</v>
      </c>
      <c r="L18" s="615"/>
      <c r="M18" s="615"/>
      <c r="N18" s="1842"/>
      <c r="O18" s="2943">
        <f t="shared" si="1"/>
        <v>1980.981130739468</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848.12741271697496</v>
      </c>
      <c r="D22" s="1939"/>
      <c r="E22" s="615"/>
      <c r="F22" s="615"/>
      <c r="G22" s="615"/>
      <c r="H22" s="2161"/>
      <c r="I22" s="615"/>
      <c r="J22" s="2161"/>
      <c r="K22" s="1939"/>
      <c r="L22" s="1939"/>
      <c r="M22" s="1939"/>
      <c r="N22" s="2931"/>
      <c r="O22" s="1887">
        <f t="shared" si="1"/>
        <v>848.12741271697496</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0.43359999999999999</v>
      </c>
      <c r="E24" s="615"/>
      <c r="F24" s="615"/>
      <c r="G24" s="615"/>
      <c r="H24" s="2161"/>
      <c r="I24" s="615"/>
      <c r="J24" s="2161"/>
      <c r="K24" s="700" t="s">
        <v>199</v>
      </c>
      <c r="L24" s="700" t="s">
        <v>199</v>
      </c>
      <c r="M24" s="699">
        <v>2.8425606806999988</v>
      </c>
      <c r="N24" s="700" t="s">
        <v>199</v>
      </c>
      <c r="O24" s="1887">
        <f t="shared" si="1"/>
        <v>12.140799999999999</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19.268235759540492</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19.268235759540492</v>
      </c>
    </row>
    <row r="27" spans="2:15" ht="18" customHeight="1" x14ac:dyDescent="0.2">
      <c r="B27" s="1262" t="s">
        <v>637</v>
      </c>
      <c r="C27" s="2163">
        <f>IF(SUM(C28:C34)=0,"NO",SUM(C28:C34))</f>
        <v>10558.578640061036</v>
      </c>
      <c r="D27" s="2163">
        <f t="shared" ref="D27:N27" si="4">IF(SUM(D28:D34)=0,"NO",SUM(D28:D34))</f>
        <v>2.4476401145691962</v>
      </c>
      <c r="E27" s="2163">
        <f t="shared" si="4"/>
        <v>5.6120181678920168E-2</v>
      </c>
      <c r="F27" s="2164" t="str">
        <f t="shared" si="4"/>
        <v>NO</v>
      </c>
      <c r="G27" s="2164">
        <f t="shared" si="4"/>
        <v>273.50220639665866</v>
      </c>
      <c r="H27" s="2164" t="str">
        <f t="shared" si="4"/>
        <v>NO</v>
      </c>
      <c r="I27" s="2164" t="str">
        <f t="shared" si="4"/>
        <v>NO</v>
      </c>
      <c r="J27" s="2164" t="str">
        <f t="shared" si="4"/>
        <v>NO</v>
      </c>
      <c r="K27" s="2163">
        <f t="shared" si="4"/>
        <v>7.2729915811877968</v>
      </c>
      <c r="L27" s="2163">
        <f t="shared" si="4"/>
        <v>17.286302902719687</v>
      </c>
      <c r="M27" s="2927">
        <f t="shared" si="4"/>
        <v>6.8354071844901304E-2</v>
      </c>
      <c r="N27" s="2928">
        <f t="shared" si="4"/>
        <v>1568.4113753035251</v>
      </c>
      <c r="O27" s="2950">
        <f t="shared" si="1"/>
        <v>10915.486617810546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2296.3824436192258</v>
      </c>
      <c r="D30" s="1885"/>
      <c r="E30" s="615"/>
      <c r="F30" s="615"/>
      <c r="G30" s="2166">
        <f>SUM('Table2(II)'!X41:Y41)</f>
        <v>273.50220639665866</v>
      </c>
      <c r="H30" s="2162"/>
      <c r="I30" s="2168" t="s">
        <v>199</v>
      </c>
      <c r="J30" s="2161"/>
      <c r="K30" s="699" t="s">
        <v>205</v>
      </c>
      <c r="L30" s="699" t="s">
        <v>205</v>
      </c>
      <c r="M30" s="699" t="s">
        <v>205</v>
      </c>
      <c r="N30" s="2921">
        <v>40.245344580000001</v>
      </c>
      <c r="O30" s="1887">
        <f t="shared" si="1"/>
        <v>2569.8846500158843</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8262.1961964418097</v>
      </c>
      <c r="D34" s="1888">
        <f>'Table2(I).A-H'!I67</f>
        <v>2.4476401145691962</v>
      </c>
      <c r="E34" s="1888">
        <f>'Table2(I).A-H'!J67</f>
        <v>5.6120181678920168E-2</v>
      </c>
      <c r="F34" s="2172" t="s">
        <v>199</v>
      </c>
      <c r="G34" s="2172" t="s">
        <v>199</v>
      </c>
      <c r="H34" s="2172" t="s">
        <v>199</v>
      </c>
      <c r="I34" s="2172" t="s">
        <v>199</v>
      </c>
      <c r="J34" s="2172" t="s">
        <v>199</v>
      </c>
      <c r="K34" s="2622">
        <v>7.2729915811877968</v>
      </c>
      <c r="L34" s="2622">
        <v>17.286302902719687</v>
      </c>
      <c r="M34" s="2622">
        <v>6.8354071844901304E-2</v>
      </c>
      <c r="N34" s="2623">
        <v>1528.1660307235252</v>
      </c>
      <c r="O34" s="1890">
        <f t="shared" si="1"/>
        <v>8345.6019677946606</v>
      </c>
    </row>
    <row r="35" spans="2:15" ht="18" customHeight="1" x14ac:dyDescent="0.2">
      <c r="B35" s="2489" t="s">
        <v>645</v>
      </c>
      <c r="C35" s="2930">
        <f>IF(SUM(C36:C38)=0,"NO",SUM(C36:C38))</f>
        <v>182.59849860500003</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193.44068575921932</v>
      </c>
      <c r="N35" s="2077" t="str">
        <f t="shared" ref="N35" si="7">IF(SUM(N36:N38)=0,"NO",SUM(N36:N38))</f>
        <v>NO</v>
      </c>
      <c r="O35" s="2943">
        <f t="shared" si="1"/>
        <v>182.59849860500003</v>
      </c>
    </row>
    <row r="36" spans="2:15" ht="18" customHeight="1" x14ac:dyDescent="0.2">
      <c r="B36" s="1269" t="s">
        <v>646</v>
      </c>
      <c r="C36" s="1884">
        <f>'Table2(I).A-H'!H73</f>
        <v>182.59849860500003</v>
      </c>
      <c r="D36" s="2166" t="str">
        <f>'Table2(I).A-H'!I73</f>
        <v>NO</v>
      </c>
      <c r="E36" s="2166" t="str">
        <f>'Table2(I).A-H'!J73</f>
        <v>NO</v>
      </c>
      <c r="F36" s="615"/>
      <c r="G36" s="615"/>
      <c r="H36" s="2161"/>
      <c r="I36" s="615"/>
      <c r="J36" s="2161"/>
      <c r="K36" s="2173" t="s">
        <v>205</v>
      </c>
      <c r="L36" s="2173" t="s">
        <v>205</v>
      </c>
      <c r="M36" s="699" t="s">
        <v>205</v>
      </c>
      <c r="N36" s="2167" t="s">
        <v>205</v>
      </c>
      <c r="O36" s="1887">
        <f t="shared" si="1"/>
        <v>182.59849860500003</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193.44068575921932</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10688.479613937492</v>
      </c>
      <c r="G45" s="2163" t="str">
        <f t="shared" ref="G45:J45" si="9">IF(SUM(G46:G51)=0,"NO",SUM(G46:G51))</f>
        <v>NO</v>
      </c>
      <c r="H45" s="2930" t="str">
        <f t="shared" si="9"/>
        <v>NO</v>
      </c>
      <c r="I45" s="2930" t="str">
        <f t="shared" si="9"/>
        <v>NO</v>
      </c>
      <c r="J45" s="2165" t="str">
        <f t="shared" si="9"/>
        <v>NO</v>
      </c>
      <c r="K45" s="1955"/>
      <c r="L45" s="1955"/>
      <c r="M45" s="1955"/>
      <c r="N45" s="2178"/>
      <c r="O45" s="2950">
        <f t="shared" si="1"/>
        <v>10688.479613937492</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10098.180751685111</v>
      </c>
      <c r="G46" s="1884" t="s">
        <v>199</v>
      </c>
      <c r="H46" s="1884" t="s">
        <v>199</v>
      </c>
      <c r="I46" s="1884" t="s">
        <v>199</v>
      </c>
      <c r="J46" s="2165" t="str">
        <f t="shared" ref="J46" si="10">IF(SUM(J47:J52)=0,"NO",SUM(J47:J52))</f>
        <v>NO</v>
      </c>
      <c r="K46" s="615"/>
      <c r="L46" s="615"/>
      <c r="M46" s="615"/>
      <c r="N46" s="1842"/>
      <c r="O46" s="1887">
        <f t="shared" si="1"/>
        <v>10098.180751685111</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101.38383327299113</v>
      </c>
      <c r="G47" s="1884" t="s">
        <v>199</v>
      </c>
      <c r="H47" s="1884" t="s">
        <v>199</v>
      </c>
      <c r="I47" s="1884" t="s">
        <v>199</v>
      </c>
      <c r="J47" s="2165" t="str">
        <f t="shared" ref="J47" si="11">IF(SUM(J48:J53)=0,"NO",SUM(J48:J53))</f>
        <v>NO</v>
      </c>
      <c r="K47" s="615"/>
      <c r="L47" s="615"/>
      <c r="M47" s="615"/>
      <c r="N47" s="1842"/>
      <c r="O47" s="1887">
        <f t="shared" si="1"/>
        <v>101.38383327299113</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78.568489680367875</v>
      </c>
      <c r="G48" s="1884" t="s">
        <v>199</v>
      </c>
      <c r="H48" s="1884" t="s">
        <v>199</v>
      </c>
      <c r="I48" s="1884" t="s">
        <v>199</v>
      </c>
      <c r="J48" s="2165" t="str">
        <f t="shared" ref="J48" si="12">IF(SUM(J49:J54)=0,"NO",SUM(J49:J54))</f>
        <v>NO</v>
      </c>
      <c r="K48" s="615"/>
      <c r="L48" s="615"/>
      <c r="M48" s="615"/>
      <c r="N48" s="1842"/>
      <c r="O48" s="1887">
        <f t="shared" si="1"/>
        <v>78.568489680367875</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122.23486226328116</v>
      </c>
      <c r="G49" s="1884" t="s">
        <v>199</v>
      </c>
      <c r="H49" s="1884" t="s">
        <v>199</v>
      </c>
      <c r="I49" s="1884" t="s">
        <v>199</v>
      </c>
      <c r="J49" s="2165" t="str">
        <f t="shared" ref="J49" si="13">IF(SUM(J50:J55)=0,"NO",SUM(J50:J55))</f>
        <v>NO</v>
      </c>
      <c r="K49" s="615"/>
      <c r="L49" s="615"/>
      <c r="M49" s="615"/>
      <c r="N49" s="1842"/>
      <c r="O49" s="1887">
        <f t="shared" si="1"/>
        <v>122.23486226328116</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288.11167703573892</v>
      </c>
      <c r="G50" s="1884" t="s">
        <v>199</v>
      </c>
      <c r="H50" s="1884" t="s">
        <v>199</v>
      </c>
      <c r="I50" s="1884" t="s">
        <v>199</v>
      </c>
      <c r="J50" s="2165" t="str">
        <f t="shared" ref="J50" si="14">IF(SUM(J51:J56)=0,"NO",SUM(J51:J56))</f>
        <v>NO</v>
      </c>
      <c r="K50" s="615"/>
      <c r="L50" s="615"/>
      <c r="M50" s="615"/>
      <c r="N50" s="1842"/>
      <c r="O50" s="1887">
        <f t="shared" si="1"/>
        <v>288.11167703573892</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5.4874417897203421E-3</v>
      </c>
      <c r="J52" s="2165" t="str">
        <f t="shared" si="16"/>
        <v>NO</v>
      </c>
      <c r="K52" s="2165" t="str">
        <f t="shared" si="16"/>
        <v>NO</v>
      </c>
      <c r="L52" s="2165" t="str">
        <f t="shared" si="16"/>
        <v>NO</v>
      </c>
      <c r="M52" s="2165" t="str">
        <f t="shared" si="16"/>
        <v>NO</v>
      </c>
      <c r="N52" s="2077" t="str">
        <f t="shared" si="16"/>
        <v>NO</v>
      </c>
      <c r="O52" s="2943">
        <f t="shared" si="1"/>
        <v>128.95488205842804</v>
      </c>
    </row>
    <row r="53" spans="2:15" ht="18" customHeight="1" x14ac:dyDescent="0.2">
      <c r="B53" s="1269" t="s">
        <v>663</v>
      </c>
      <c r="C53" s="2161"/>
      <c r="D53" s="2161"/>
      <c r="E53" s="2161"/>
      <c r="F53" s="2930" t="s">
        <v>199</v>
      </c>
      <c r="G53" s="2930" t="s">
        <v>199</v>
      </c>
      <c r="H53" s="2930" t="s">
        <v>199</v>
      </c>
      <c r="I53" s="2930">
        <f>SUM('Table2(II).B-Hs2'!J163:M163)/1000</f>
        <v>4.6236550929663759E-3</v>
      </c>
      <c r="J53" s="2930" t="s">
        <v>199</v>
      </c>
      <c r="K53" s="2161"/>
      <c r="L53" s="2161"/>
      <c r="M53" s="2161"/>
      <c r="N53" s="2174"/>
      <c r="O53" s="2943">
        <f t="shared" si="1"/>
        <v>108.65589468470984</v>
      </c>
    </row>
    <row r="54" spans="2:15" ht="18" customHeight="1" x14ac:dyDescent="0.2">
      <c r="B54" s="1269" t="s">
        <v>664</v>
      </c>
      <c r="C54" s="2161"/>
      <c r="D54" s="2161"/>
      <c r="E54" s="2161"/>
      <c r="F54" s="2161"/>
      <c r="G54" s="2930" t="s">
        <v>199</v>
      </c>
      <c r="H54" s="3007"/>
      <c r="I54" s="2930">
        <f>SUM('Table2(II).B-Hs2'!J165:M165)/1000</f>
        <v>8.6378669675396666E-4</v>
      </c>
      <c r="J54" s="2161"/>
      <c r="K54" s="2161"/>
      <c r="L54" s="2161"/>
      <c r="M54" s="2161"/>
      <c r="N54" s="2174"/>
      <c r="O54" s="2943">
        <f t="shared" si="1"/>
        <v>20.298987373718216</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218.99463518228731</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51.994272992695819</v>
      </c>
      <c r="N57" s="2100" t="str">
        <f>N58</f>
        <v>NA</v>
      </c>
      <c r="O57" s="2950">
        <f t="shared" si="1"/>
        <v>218.99463518228731</v>
      </c>
    </row>
    <row r="58" spans="2:15" ht="18" customHeight="1" thickBot="1" x14ac:dyDescent="0.25">
      <c r="B58" s="2613" t="s">
        <v>668</v>
      </c>
      <c r="C58" s="2517">
        <f>'Table2(I).A-H'!H98</f>
        <v>218.99463518228731</v>
      </c>
      <c r="D58" s="2517" t="str">
        <f>'Table2(I).A-H'!I98</f>
        <v>NO</v>
      </c>
      <c r="E58" s="2517" t="str">
        <f>'Table2(I).A-H'!J98</f>
        <v>NO</v>
      </c>
      <c r="F58" s="2517" t="s">
        <v>199</v>
      </c>
      <c r="G58" s="2517" t="s">
        <v>199</v>
      </c>
      <c r="H58" s="2517" t="s">
        <v>199</v>
      </c>
      <c r="I58" s="2517" t="s">
        <v>199</v>
      </c>
      <c r="J58" s="2517" t="s">
        <v>199</v>
      </c>
      <c r="K58" s="2922" t="s">
        <v>205</v>
      </c>
      <c r="L58" s="2922" t="s">
        <v>205</v>
      </c>
      <c r="M58" s="2922">
        <v>51.994272992695819</v>
      </c>
      <c r="N58" s="2932" t="s">
        <v>205</v>
      </c>
      <c r="O58" s="2935">
        <f t="shared" si="1"/>
        <v>218.99463518228731</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1"/>
      <c r="C75" s="4492"/>
      <c r="D75" s="4492"/>
      <c r="E75" s="4492"/>
      <c r="F75" s="4492"/>
      <c r="G75" s="4492"/>
      <c r="H75" s="4492"/>
      <c r="I75" s="4492"/>
      <c r="J75" s="4492"/>
      <c r="K75" s="4492"/>
      <c r="L75" s="4492"/>
      <c r="M75" s="4492"/>
      <c r="N75" s="4492"/>
      <c r="O75" s="4493"/>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52.927894470300011</v>
      </c>
      <c r="D10" s="4431">
        <f t="shared" ref="D10:X10" si="0">IF(SUM(D11,D16,D20,D26,D33,D37)=0,"NO",SUM(D11,D16,D20,D26,D33,D37))</f>
        <v>408.30090019945732</v>
      </c>
      <c r="E10" s="4431" t="str">
        <f t="shared" si="0"/>
        <v>NO</v>
      </c>
      <c r="F10" s="4431" t="str">
        <f t="shared" si="0"/>
        <v>NO</v>
      </c>
      <c r="G10" s="4431">
        <f t="shared" si="0"/>
        <v>931.90899906635389</v>
      </c>
      <c r="H10" s="4431">
        <f t="shared" si="0"/>
        <v>4.8821672191476617</v>
      </c>
      <c r="I10" s="4431">
        <f t="shared" si="0"/>
        <v>2676.6392346408875</v>
      </c>
      <c r="J10" s="4431" t="str">
        <f t="shared" si="0"/>
        <v>NO</v>
      </c>
      <c r="K10" s="4431">
        <f t="shared" si="0"/>
        <v>623.79304197139288</v>
      </c>
      <c r="L10" s="2073" t="str">
        <f t="shared" si="0"/>
        <v>NO</v>
      </c>
      <c r="M10" s="2073">
        <f t="shared" si="0"/>
        <v>113.41691672207151</v>
      </c>
      <c r="N10" s="2073" t="str">
        <f t="shared" si="0"/>
        <v>NO</v>
      </c>
      <c r="O10" s="4431">
        <f t="shared" si="0"/>
        <v>34.02507501662145</v>
      </c>
      <c r="P10" s="2073" t="str">
        <f t="shared" si="0"/>
        <v>NO</v>
      </c>
      <c r="Q10" s="2073" t="str">
        <f t="shared" si="0"/>
        <v>NO</v>
      </c>
      <c r="R10" s="2073">
        <f t="shared" si="0"/>
        <v>5.670845836103573</v>
      </c>
      <c r="S10" s="2073" t="str">
        <f t="shared" si="0"/>
        <v>NO</v>
      </c>
      <c r="T10" s="2073">
        <f t="shared" si="0"/>
        <v>103.96550699523219</v>
      </c>
      <c r="U10" s="2073">
        <f t="shared" si="0"/>
        <v>71.830713923978593</v>
      </c>
      <c r="V10" s="2074" t="str">
        <f t="shared" si="0"/>
        <v>NO</v>
      </c>
      <c r="W10" s="2075"/>
      <c r="X10" s="2073">
        <f t="shared" si="0"/>
        <v>24.627729341001356</v>
      </c>
      <c r="Y10" s="4431">
        <f t="shared" ref="Y10" si="1">IF(SUM(Y11,Y16,Y20,Y26,Y33,Y37)=0,"NO",SUM(Y11,Y16,Y20,Y26,Y33,Y37))</f>
        <v>9.9297622401639352</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5.4874417897203429</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24.627729341001356</v>
      </c>
      <c r="Y16" s="4432">
        <f t="shared" ref="Y16" si="35">IF(SUM(Y17:Y19)=0,"NO",SUM(Y17:Y19))</f>
        <v>9.9297622401639352</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24.627729341001356</v>
      </c>
      <c r="Y17" s="4432">
        <f>'Table2(II).B-Hs1'!G26</f>
        <v>9.9297622401639352</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52.927894470300011</v>
      </c>
      <c r="D26" s="4430">
        <f t="shared" ref="D26:AK26" si="58">IF(SUM(D27:D32)=0,"NO",SUM(D27:D32))</f>
        <v>408.30090019945732</v>
      </c>
      <c r="E26" s="2097" t="str">
        <f t="shared" si="58"/>
        <v>NO</v>
      </c>
      <c r="F26" s="2097" t="str">
        <f t="shared" si="58"/>
        <v>NO</v>
      </c>
      <c r="G26" s="4430">
        <f t="shared" si="58"/>
        <v>931.90899906635389</v>
      </c>
      <c r="H26" s="4430">
        <f t="shared" si="58"/>
        <v>4.8821672191476617</v>
      </c>
      <c r="I26" s="4430">
        <f t="shared" si="58"/>
        <v>2676.6392346408875</v>
      </c>
      <c r="J26" s="4430" t="str">
        <f t="shared" si="58"/>
        <v>NO</v>
      </c>
      <c r="K26" s="4430">
        <f t="shared" si="58"/>
        <v>623.79304197139288</v>
      </c>
      <c r="L26" s="2097" t="str">
        <f t="shared" si="58"/>
        <v>NO</v>
      </c>
      <c r="M26" s="2097">
        <f t="shared" si="58"/>
        <v>113.41691672207151</v>
      </c>
      <c r="N26" s="2097" t="str">
        <f t="shared" si="58"/>
        <v>NO</v>
      </c>
      <c r="O26" s="4430">
        <f t="shared" si="58"/>
        <v>34.02507501662145</v>
      </c>
      <c r="P26" s="2097" t="str">
        <f t="shared" si="58"/>
        <v>NO</v>
      </c>
      <c r="Q26" s="2097" t="str">
        <f t="shared" si="58"/>
        <v>NO</v>
      </c>
      <c r="R26" s="2097">
        <f t="shared" si="58"/>
        <v>5.670845836103573</v>
      </c>
      <c r="S26" s="2097" t="str">
        <f t="shared" si="58"/>
        <v>NO</v>
      </c>
      <c r="T26" s="2097">
        <f t="shared" si="58"/>
        <v>103.96550699523219</v>
      </c>
      <c r="U26" s="2097">
        <f t="shared" si="58"/>
        <v>71.830713923978593</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50.00481494769965</v>
      </c>
      <c r="D27" s="4431">
        <f>IF(SUM('Table2(II).B-Hs2'!J14:M14,'Table2(II).B-Hs2'!J27:M27,'Table2(II).B-Hs2'!J40:M40,'Table2(II).B-Hs2'!J53:M53,'Table2(II).B-Hs2'!J66:M66,'Table2(II).B-Hs2'!J79:M79)=0,"NO",SUM('Table2(II).B-Hs2'!J14:M14,'Table2(II).B-Hs2'!J27:M27,'Table2(II).B-Hs2'!J40:M40,'Table2(II).B-Hs2'!J53:M53,'Table2(II).B-Hs2'!J66:M66,'Table2(II).B-Hs2'!J79:M79))</f>
        <v>385.75142959654033</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880.44192032914043</v>
      </c>
      <c r="H27" s="4431">
        <f>IF(SUM('Table2(II).B-Hs2'!J17:M17,'Table2(II).B-Hs2'!J30:M30,'Table2(II).B-Hs2'!J43:M43,'Table2(II).B-Hs2'!J56:M56,'Table2(II).B-Hs2'!J69:M69,'Table2(II).B-Hs2'!J82:M82)=0,"NO",SUM('Table2(II).B-Hs2'!J17:M17,'Table2(II).B-Hs2'!J30:M30,'Table2(II).B-Hs2'!J43:M43,'Table2(II).B-Hs2'!J56:M56,'Table2(II).B-Hs2'!J69:M69,'Table2(II).B-Hs2'!J82:M82))</f>
        <v>4.6125369388007025</v>
      </c>
      <c r="I27" s="4431">
        <f>IF(SUM('Table2(II).B-Hs2'!J18:M18,'Table2(II).B-Hs2'!J31:M31,'Table2(II).B-Hs2'!J44:M44,'Table2(II).B-Hs2'!J57:M57,'Table2(II).B-Hs2'!J70:M70,'Table2(II).B-Hs2'!J83:M83)=0,"NO",SUM('Table2(II).B-Hs2'!J18:M18,'Table2(II).B-Hs2'!J31:M31,'Table2(II).B-Hs2'!J44:M44,'Table2(II).B-Hs2'!J57:M57,'Table2(II).B-Hs2'!J70:M70,'Table2(II).B-Hs2'!J83:M83))</f>
        <v>2528.8149273550976</v>
      </c>
      <c r="J27" s="4431" t="s">
        <v>199</v>
      </c>
      <c r="K27" s="4431">
        <f>IF(SUM('Table2(II).B-Hs2'!J19:M19,'Table2(II).B-Hs2'!J32:M32,'Table2(II).B-Hs2'!J45:M45,'Table2(II).B-Hs2'!J58:M58,'Table2(II).B-Hs2'!J71:M71,'Table2(II).B-Hs2'!J84:M84)=0,"NO",SUM('Table2(II).B-Hs2'!J19:M19,'Table2(II).B-Hs2'!J32:M32,'Table2(II).B-Hs2'!J45:M45,'Table2(II).B-Hs2'!J58:M58,'Table2(II).B-Hs2'!J71:M71,'Table2(II).B-Hs2'!J84:M84))</f>
        <v>589.34246188360294</v>
      </c>
      <c r="L27" s="2073" t="s">
        <v>199</v>
      </c>
      <c r="M27" s="2073">
        <f>IF(SUM('Table2(II).B-Hs2'!J20:M20,'Table2(II).B-Hs2'!J33:M33,'Table2(II).B-Hs2'!J46:M46,'Table2(II).B-Hs2'!J59:M59,'Table2(II).B-Hs2'!J72:M72,'Table2(II).B-Hs2'!J85:M85)=0,"NO",SUM('Table2(II).B-Hs2'!J20:M20,'Table2(II).B-Hs2'!J33:M33,'Table2(II).B-Hs2'!J46:M46,'Table2(II).B-Hs2'!J59:M59,'Table2(II).B-Hs2'!J72:M72,'Table2(II).B-Hs2'!J85:M85))</f>
        <v>107.15317488792788</v>
      </c>
      <c r="N27" s="2073" t="s">
        <v>199</v>
      </c>
      <c r="O27" s="4431">
        <f>IF(SUM('Table2(II).B-Hs2'!J21:M21,'Table2(II).B-Hs2'!J34:M34,'Table2(II).B-Hs2'!J47:M47,'Table2(II).B-Hs2'!J60:M60,'Table2(II).B-Hs2'!J73:M73,'Table2(II).B-Hs2'!J86:M86)=0,"NO",SUM('Table2(II).B-Hs2'!J21:M21,'Table2(II).B-Hs2'!J34:M34,'Table2(II).B-Hs2'!J47:M47,'Table2(II).B-Hs2'!J60:M60,'Table2(II).B-Hs2'!J73:M73,'Table2(II).B-Hs2'!J86:M86))</f>
        <v>32.145952466378354</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5.3576587443963914</v>
      </c>
      <c r="S27" s="2073" t="s">
        <v>199</v>
      </c>
      <c r="T27" s="2073">
        <f>IF(SUM('Table2(II).B-Hs2'!J23:M23,'Table2(II).B-Hs2'!J36:M36,'Table2(II).B-Hs2'!J49:M49,'Table2(II).B-Hs2'!J62:M62,'Table2(II).B-Hs2'!J75:M75,'Table2(II).B-Hs2'!J88:M88)=0,"NO",SUM('Table2(II).B-Hs2'!J23:M23,'Table2(II).B-Hs2'!J36:M36,'Table2(II).B-Hs2'!J49:M49,'Table2(II).B-Hs2'!J62:M62,'Table2(II).B-Hs2'!J75:M75,'Table2(II).B-Hs2'!J88:M88))</f>
        <v>98.223743647267199</v>
      </c>
      <c r="U27" s="2073">
        <f>IF(SUM('Table2(II).B-Hs2'!J24:M24,'Table2(II).B-Hs2'!J37:M37,'Table2(II).B-Hs2'!J50:M50,'Table2(II).B-Hs2'!J63:M63,'Table2(II).B-Hs2'!J76:M76,'Table2(II).B-Hs2'!J89:M89)=0,"NO",SUM('Table2(II).B-Hs2'!J24:M24,'Table2(II).B-Hs2'!J37:M37,'Table2(II).B-Hs2'!J50:M50,'Table2(II).B-Hs2'!J63:M63,'Table2(II).B-Hs2'!J76:M76,'Table2(II).B-Hs2'!J89:M89))</f>
        <v>67.863677429020967</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0.50203892623514035</v>
      </c>
      <c r="D28" s="4431">
        <f>IF(SUM('Table2(II).B-Hs2'!J93:M93,'Table2(II).B-Hs2'!J106:M106)=0,"NO",SUM('Table2(II).B-Hs2'!J93:M93,'Table2(II).B-Hs2'!J106:M106))</f>
        <v>3.8728717166710833</v>
      </c>
      <c r="E28" s="2073" t="s">
        <v>199</v>
      </c>
      <c r="F28" s="2073" t="str">
        <f>IF(SUM('Table2(II).B-Hs2'!J94:M94,'Table2(II).B-Hs2'!J107:M107)=0,"NO",SUM('Table2(II).B-Hs2'!J94:M94,'Table2(II).B-Hs2'!J107:M107))</f>
        <v>NO</v>
      </c>
      <c r="G28" s="4431">
        <f>IF(SUM('Table2(II).B-Hs2'!J95:M95,'Table2(II).B-Hs2'!J108:M108)=0,"NO",SUM('Table2(II).B-Hs2'!J95:M95,'Table2(II).B-Hs2'!J108:M108))</f>
        <v>8.8394710940687204</v>
      </c>
      <c r="H28" s="4431">
        <f>IF(SUM('Table2(II).B-Hs2'!J96:M96,'Table2(II).B-Hs2'!J109:M109)=0,"NO",SUM('Table2(II).B-Hs2'!J96:M96,'Table2(II).B-Hs2'!J109:M109))</f>
        <v>4.6309002331023565E-2</v>
      </c>
      <c r="I28" s="4431">
        <f>IF(SUM('Table2(II).B-Hs2'!J97:M97,'Table2(II).B-Hs2'!J110:M110)=0,"NO",SUM('Table2(II).B-Hs2'!J97:M97,'Table2(II).B-Hs2'!J110:M110))</f>
        <v>25.388825698177101</v>
      </c>
      <c r="J28" s="4431" t="s">
        <v>199</v>
      </c>
      <c r="K28" s="4431">
        <f>IF(SUM('Table2(II).B-Hs2'!J98:M98,'Table2(II).B-Hs2'!J111:M111)=0,"NO",SUM('Table2(II).B-Hs2'!J98:M98,'Table2(II).B-Hs2'!J111:M111))</f>
        <v>5.9168873449141541</v>
      </c>
      <c r="L28" s="2073" t="s">
        <v>199</v>
      </c>
      <c r="M28" s="2073">
        <f>IF(SUM('Table2(II).B-Hs2'!J99:M99,'Table2(II).B-Hs2'!J112:M112)=0,"NO",SUM('Table2(II).B-Hs2'!J99:M99,'Table2(II).B-Hs2'!J112:M112))</f>
        <v>1.0757976990753009</v>
      </c>
      <c r="N28" s="2073" t="s">
        <v>199</v>
      </c>
      <c r="O28" s="4431">
        <f>IF(SUM('Table2(II).B-Hs2'!J100:M100,'Table2(II).B-Hs2'!J113:M113)=0,"NO",SUM('Table2(II).B-Hs2'!J100:M100,'Table2(II).B-Hs2'!J113:M113))</f>
        <v>0.32273930972259018</v>
      </c>
      <c r="P28" s="2073" t="s">
        <v>199</v>
      </c>
      <c r="Q28" s="2073" t="s">
        <v>199</v>
      </c>
      <c r="R28" s="2073">
        <f>IF(SUM('Table2(II).B-Hs2'!J101:M101,'Table2(II).B-Hs2'!J114:M114)=0,"NO",SUM('Table2(II).B-Hs2'!J101:M101,'Table2(II).B-Hs2'!J114:M114))</f>
        <v>5.3789884953765042E-2</v>
      </c>
      <c r="S28" s="2073" t="s">
        <v>199</v>
      </c>
      <c r="T28" s="2073">
        <f>IF(SUM('Table2(II).B-Hs2'!J102:M102,'Table2(II).B-Hs2'!J115:M115)=0,"NO",SUM('Table2(II).B-Hs2'!J102:M102,'Table2(II).B-Hs2'!J115:M115))</f>
        <v>0.98614789081902565</v>
      </c>
      <c r="U28" s="2073">
        <f>IF(SUM('Table2(II).B-Hs2'!J103:M103,'Table2(II).B-Hs2'!J116:M116)=0,"NO",SUM('Table2(II).B-Hs2'!J103:M103,'Table2(II).B-Hs2'!J116:M116))</f>
        <v>0.68133854274769057</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0.38906045393685723</v>
      </c>
      <c r="D29" s="4431">
        <f>IF(SUM('Table2(II).B-Hs2'!J119:M119)=0,"NO",SUM('Table2(II).B-Hs2'!J119:M119))</f>
        <v>3.0013235017986135</v>
      </c>
      <c r="E29" s="2073" t="s">
        <v>199</v>
      </c>
      <c r="F29" s="2073" t="str">
        <f>IF(SUM('Table2(II).B-Hs2'!J120:M120)=0,"NO",SUM('Table2(II).B-Hs2'!J120:M120))</f>
        <v>NO</v>
      </c>
      <c r="G29" s="4431">
        <f>IF(SUM('Table2(II).B-Hs2'!J121:M121)=0,"NO",SUM('Table2(II).B-Hs2'!J121:M121))</f>
        <v>6.8502429925310961</v>
      </c>
      <c r="H29" s="4431">
        <f>IF(SUM('Table2(II).B-Hs2'!J122:M122)=0,"NO",SUM('Table2(II).B-Hs2'!J122:M122))</f>
        <v>3.5887658360245107E-2</v>
      </c>
      <c r="I29" s="4431">
        <f>IF(SUM('Table2(II).B-Hs2'!J123:M123)=0,"NO",SUM('Table2(II).B-Hs2'!J123:M123))</f>
        <v>19.675342956235362</v>
      </c>
      <c r="J29" s="4431" t="s">
        <v>199</v>
      </c>
      <c r="K29" s="4431">
        <f>IF(SUM('Table2(II).B-Hs2'!J124:M124)=0,"NO",SUM('Table2(II).B-Hs2'!J124:M124))</f>
        <v>4.5853553499701043</v>
      </c>
      <c r="L29" s="2073" t="s">
        <v>199</v>
      </c>
      <c r="M29" s="2073">
        <f>IF(SUM('Table2(II).B-Hs2'!J125:M125)=0,"NO",SUM('Table2(II).B-Hs2'!J125:M125))</f>
        <v>0.83370097272183719</v>
      </c>
      <c r="N29" s="2073" t="s">
        <v>199</v>
      </c>
      <c r="O29" s="4431">
        <f>IF(SUM('Table2(II).B-Hs2'!J126:M126)=0,"NO",SUM('Table2(II).B-Hs2'!J126:M126))</f>
        <v>0.2501102918165512</v>
      </c>
      <c r="P29" s="2073" t="s">
        <v>199</v>
      </c>
      <c r="Q29" s="2073" t="s">
        <v>199</v>
      </c>
      <c r="R29" s="2073">
        <f>IF(SUM('Table2(II).B-Hs2'!J127:M127)=0,"NO",SUM('Table2(II).B-Hs2'!J127:M127))</f>
        <v>4.1685048636091855E-2</v>
      </c>
      <c r="S29" s="2073" t="s">
        <v>199</v>
      </c>
      <c r="T29" s="2073">
        <f>IF(SUM('Table2(II).B-Hs2'!J128:M128)=0,"NO",SUM('Table2(II).B-Hs2'!J128:M128))</f>
        <v>0.7642258916616842</v>
      </c>
      <c r="U29" s="2073">
        <f>IF(SUM('Table2(II).B-Hs2'!J129:M129)=0,"NO",SUM('Table2(II).B-Hs2'!J129:M129))</f>
        <v>0.52801061605716371</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0.60529038031062665</v>
      </c>
      <c r="D30" s="4431">
        <f>IF(SUM('Table2(II).B-Hs2'!J133:M133)=0,"NO",SUM('Table2(II).B-Hs2'!J133:M133))</f>
        <v>4.6693829338248349</v>
      </c>
      <c r="E30" s="2073" t="s">
        <v>199</v>
      </c>
      <c r="F30" s="2073" t="str">
        <f>IF(SUM('Table2(II).B-Hs2'!J134:M134)=0,"NO",SUM('Table2(II).B-Hs2'!J134:M134))</f>
        <v>NO</v>
      </c>
      <c r="G30" s="4431">
        <f>IF(SUM('Table2(II).B-Hs2'!J135:M135)=0,"NO",SUM('Table2(II).B-Hs2'!J135:M135))</f>
        <v>10.657434196183535</v>
      </c>
      <c r="H30" s="4431">
        <f>IF(SUM('Table2(II).B-Hs2'!J136:M136)=0,"NO",SUM('Table2(II).B-Hs2'!J136:M136))</f>
        <v>5.5833108087762769E-2</v>
      </c>
      <c r="I30" s="4431">
        <f>IF(SUM('Table2(II).B-Hs2'!J137:M137)=0,"NO",SUM('Table2(II).B-Hs2'!J137:M137))</f>
        <v>30.610399232851698</v>
      </c>
      <c r="J30" s="4431" t="s">
        <v>199</v>
      </c>
      <c r="K30" s="4431">
        <f>IF(SUM('Table2(II).B-Hs2'!J138:M138)=0,"NO",SUM('Table2(II).B-Hs2'!J138:M138))</f>
        <v>7.1337794822323852</v>
      </c>
      <c r="L30" s="2073" t="s">
        <v>199</v>
      </c>
      <c r="M30" s="2073">
        <f>IF(SUM('Table2(II).B-Hs2'!J139:M139)=0,"NO",SUM('Table2(II).B-Hs2'!J139:M139))</f>
        <v>1.2970508149513429</v>
      </c>
      <c r="N30" s="2073" t="s">
        <v>199</v>
      </c>
      <c r="O30" s="4431">
        <f>IF(SUM('Table2(II).B-Hs2'!J140:M140)=0,"NO",SUM('Table2(II).B-Hs2'!J140:M140))</f>
        <v>0.38911524448540291</v>
      </c>
      <c r="P30" s="2073" t="s">
        <v>199</v>
      </c>
      <c r="Q30" s="2073" t="s">
        <v>199</v>
      </c>
      <c r="R30" s="2073">
        <f>IF(SUM('Table2(II).B-Hs2'!J141:M141)=0,"NO",SUM('Table2(II).B-Hs2'!J141:M141))</f>
        <v>6.4852540747567147E-2</v>
      </c>
      <c r="S30" s="2073" t="s">
        <v>199</v>
      </c>
      <c r="T30" s="2073">
        <f>IF(SUM('Table2(II).B-Hs2'!J142:M142)=0,"NO",SUM('Table2(II).B-Hs2'!J142:M142))</f>
        <v>1.1889632470387312</v>
      </c>
      <c r="U30" s="2073">
        <f>IF(SUM('Table2(II).B-Hs2'!J143:M143)=0,"NO",SUM('Table2(II).B-Hs2'!J143:M143))</f>
        <v>0.8214655161358505</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1.4266897621177363</v>
      </c>
      <c r="D31" s="4431">
        <f>IF(SUM('Table2(II).B-Hs2'!J148:M148)=0,"NO",SUM('Table2(II).B-Hs2'!J148:M148))</f>
        <v>11.005892450622541</v>
      </c>
      <c r="E31" s="2073" t="s">
        <v>199</v>
      </c>
      <c r="F31" s="2073" t="str">
        <f>IF(SUM('Table2(II).B-Hs2'!J149:M149)=0,"NO",SUM('Table2(II).B-Hs2'!J149:M149))</f>
        <v>NO</v>
      </c>
      <c r="G31" s="4431">
        <f>IF(SUM('Table2(II).B-Hs2'!J150:M150)=0,"NO",SUM('Table2(II).B-Hs2'!J150:M150))</f>
        <v>25.119930454430147</v>
      </c>
      <c r="H31" s="4431">
        <f>IF(SUM('Table2(II).B-Hs2'!J151:M151)=0,"NO",SUM('Table2(II).B-Hs2'!J151:M151))</f>
        <v>0.13160051156792796</v>
      </c>
      <c r="I31" s="4431">
        <f>IF(SUM('Table2(II).B-Hs2'!J152:M152)=0,"NO",SUM('Table2(II).B-Hs2'!J152:M152))</f>
        <v>72.14973939852554</v>
      </c>
      <c r="J31" s="4431" t="s">
        <v>199</v>
      </c>
      <c r="K31" s="4431">
        <f>IF(SUM('Table2(II).B-Hs2'!J153:M153)=0,"NO",SUM('Table2(II).B-Hs2'!J153:M153))</f>
        <v>16.814557910673322</v>
      </c>
      <c r="L31" s="2073" t="s">
        <v>199</v>
      </c>
      <c r="M31" s="2073">
        <f>IF(SUM('Table2(II).B-Hs2'!J154:M154)=0,"NO",SUM('Table2(II).B-Hs2'!J154:M154))</f>
        <v>3.0571923473951497</v>
      </c>
      <c r="N31" s="2073" t="s">
        <v>199</v>
      </c>
      <c r="O31" s="4431">
        <f>IF(SUM('Table2(II).B-Hs2'!J155:M155)=0,"NO",SUM('Table2(II).B-Hs2'!J155:M155))</f>
        <v>0.91715770421854492</v>
      </c>
      <c r="P31" s="2073" t="s">
        <v>199</v>
      </c>
      <c r="Q31" s="2073" t="s">
        <v>199</v>
      </c>
      <c r="R31" s="2073">
        <f>IF(SUM('Table2(II).B-Hs2'!J156:M156)=0,"NO",SUM('Table2(II).B-Hs2'!J156:M156))</f>
        <v>0.15285961736975748</v>
      </c>
      <c r="S31" s="2073" t="s">
        <v>199</v>
      </c>
      <c r="T31" s="2073">
        <f>IF(SUM('Table2(II).B-Hs2'!J157:M157)=0,"NO",SUM('Table2(II).B-Hs2'!J157:M157))</f>
        <v>2.8024263184455545</v>
      </c>
      <c r="U31" s="2073">
        <f>IF(SUM('Table2(II).B-Hs2'!J158:M158)=0,"NO",SUM('Table2(II).B-Hs2'!J158:M158))</f>
        <v>1.9362218200169281</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5.4874417897203429</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4.6236550929663762</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0.86378669675396669</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656.30589143172006</v>
      </c>
      <c r="D39" s="4183">
        <f t="shared" ref="D39:AK39" si="72">IF(SUM(D40:D45)=0,"NO",SUM(D40:D45))</f>
        <v>276.41970943503264</v>
      </c>
      <c r="E39" s="4183" t="str">
        <f t="shared" si="72"/>
        <v>NO</v>
      </c>
      <c r="F39" s="4183" t="str">
        <f t="shared" si="72"/>
        <v>NO</v>
      </c>
      <c r="G39" s="4183">
        <f t="shared" si="72"/>
        <v>2954.151527040342</v>
      </c>
      <c r="H39" s="4183">
        <f t="shared" si="72"/>
        <v>5.4680272854453813</v>
      </c>
      <c r="I39" s="4183">
        <f t="shared" si="72"/>
        <v>3479.6310050331535</v>
      </c>
      <c r="J39" s="4183" t="str">
        <f t="shared" si="72"/>
        <v>NO</v>
      </c>
      <c r="K39" s="4183">
        <f t="shared" si="72"/>
        <v>2994.2066014626862</v>
      </c>
      <c r="L39" s="4183" t="str">
        <f t="shared" si="72"/>
        <v>NO</v>
      </c>
      <c r="M39" s="4183">
        <f t="shared" si="72"/>
        <v>15.651534507645867</v>
      </c>
      <c r="N39" s="4183" t="str">
        <f t="shared" si="72"/>
        <v>NO</v>
      </c>
      <c r="O39" s="4183">
        <f t="shared" si="72"/>
        <v>113.98400130568186</v>
      </c>
      <c r="P39" s="4183" t="str">
        <f t="shared" si="72"/>
        <v>NO</v>
      </c>
      <c r="Q39" s="4183" t="str">
        <f t="shared" si="72"/>
        <v>NO</v>
      </c>
      <c r="R39" s="4183">
        <f t="shared" si="72"/>
        <v>45.707017438994804</v>
      </c>
      <c r="S39" s="4183" t="str">
        <f t="shared" si="72"/>
        <v>NO</v>
      </c>
      <c r="T39" s="4183">
        <f t="shared" si="72"/>
        <v>89.202405001909227</v>
      </c>
      <c r="U39" s="4183">
        <f t="shared" si="72"/>
        <v>57.751893994878792</v>
      </c>
      <c r="V39" s="4183" t="str">
        <f t="shared" si="72"/>
        <v>NO</v>
      </c>
      <c r="W39" s="4183">
        <f t="shared" si="72"/>
        <v>10688.47961393749</v>
      </c>
      <c r="X39" s="4183">
        <f t="shared" si="72"/>
        <v>163.28184553083901</v>
      </c>
      <c r="Y39" s="4183">
        <f t="shared" si="72"/>
        <v>110.22036086581967</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273.50220639665866</v>
      </c>
      <c r="AI39" s="4184" t="str">
        <f t="shared" si="72"/>
        <v>NO</v>
      </c>
      <c r="AJ39" s="4184">
        <f t="shared" si="72"/>
        <v>128.95488205842807</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163.28184553083901</v>
      </c>
      <c r="Y41" s="4186">
        <f>IF(SUM(Y16)=0,"NO",Y16*11100/1000)</f>
        <v>110.22036086581967</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273.50220639665866</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656.30589143172006</v>
      </c>
      <c r="D43" s="4186">
        <f>IF(SUM(D26)=0,"NO",D26*677/1000)</f>
        <v>276.41970943503264</v>
      </c>
      <c r="E43" s="4186" t="str">
        <f>IF(SUM(E26)=0,"NO",E26*116/1000)</f>
        <v>NO</v>
      </c>
      <c r="F43" s="4186" t="str">
        <f>IF(SUM(F26)=0,"NO",F26*1650/1000)</f>
        <v>NO</v>
      </c>
      <c r="G43" s="4186">
        <f>IF(SUM(G26)=0,"NO",G26*3170/1000)</f>
        <v>2954.151527040342</v>
      </c>
      <c r="H43" s="4186">
        <f>IF(SUM(H26)=0,"NO",H26*1120/1000)</f>
        <v>5.4680272854453813</v>
      </c>
      <c r="I43" s="4186">
        <f>IF(SUM(I26)=0,"NO",I26*1300/1000)</f>
        <v>3479.6310050331535</v>
      </c>
      <c r="J43" s="4186" t="str">
        <f>IF(SUM(J26)=0,"NO",J26*328/1000)</f>
        <v>NO</v>
      </c>
      <c r="K43" s="4186">
        <f>IF(SUM(K26)=0,"NO",K26*4800/1000)</f>
        <v>2994.2066014626862</v>
      </c>
      <c r="L43" s="4186" t="str">
        <f>IF(SUM(L26)=0,"NO",L26*16/1000)</f>
        <v>NO</v>
      </c>
      <c r="M43" s="4186">
        <f>IF(SUM(M26)=0,"NO",M26*138/1000)</f>
        <v>15.651534507645867</v>
      </c>
      <c r="N43" s="4186" t="str">
        <f>IF(SUM(N26)=0,"NO",N26*4/1000)</f>
        <v>NO</v>
      </c>
      <c r="O43" s="4186">
        <f>IF(SUM(O26)=0,"NO",O26*3350/1000)</f>
        <v>113.98400130568186</v>
      </c>
      <c r="P43" s="4186" t="str">
        <f>IF(SUM(P26)=0,"NO",P26*1210/1000)</f>
        <v>NO</v>
      </c>
      <c r="Q43" s="4186" t="str">
        <f>IF(SUM(Q26)=0,"NO",Q26*1330/1000)</f>
        <v>NO</v>
      </c>
      <c r="R43" s="4186">
        <f>IF(SUM(R26)=0,"NO",R26*8060/1000)</f>
        <v>45.707017438994804</v>
      </c>
      <c r="S43" s="4186" t="str">
        <f>IF(SUM(S26)=0,"NO",S26*716/1000)</f>
        <v>NO</v>
      </c>
      <c r="T43" s="4186">
        <f>IF(SUM(T26)=0,"NO",T26*858/1000)</f>
        <v>89.202405001909227</v>
      </c>
      <c r="U43" s="4186">
        <f>IF(SUM(U26)=0,"NO",U26*804/1000)</f>
        <v>57.751893994878792</v>
      </c>
      <c r="V43" s="4186" t="str">
        <f>IF(SUM(V26)=0,"NO",V26*1/1000)</f>
        <v>NO</v>
      </c>
      <c r="W43" s="4186">
        <f t="shared" si="73"/>
        <v>10688.47961393749</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128.95488205842807</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5588.8987343287281</v>
      </c>
      <c r="I10" s="615"/>
      <c r="J10" s="615"/>
      <c r="K10" s="3161" t="str">
        <f>IF(SUM(K11:K14)=0,"NO",SUM(K11:K14))</f>
        <v>NO</v>
      </c>
      <c r="L10" s="3161" t="str">
        <f>IF(SUM(L11:L14)=0,"NO",SUM(L11:L14))</f>
        <v>NO</v>
      </c>
      <c r="M10" s="615"/>
      <c r="N10" s="1842"/>
    </row>
    <row r="11" spans="2:14" ht="18" customHeight="1" x14ac:dyDescent="0.2">
      <c r="B11" s="286" t="s">
        <v>748</v>
      </c>
      <c r="C11" s="2126" t="s">
        <v>749</v>
      </c>
      <c r="D11" s="699">
        <v>5625.4472100000003</v>
      </c>
      <c r="E11" s="1938">
        <f>IF(SUM($D11)=0,"NA",H11/$D11)</f>
        <v>0.54032098117599936</v>
      </c>
      <c r="F11" s="615"/>
      <c r="G11" s="615"/>
      <c r="H11" s="3149">
        <v>3039.5471560609881</v>
      </c>
      <c r="I11" s="615"/>
      <c r="J11" s="615"/>
      <c r="K11" s="3149" t="s">
        <v>199</v>
      </c>
      <c r="L11" s="699" t="s">
        <v>199</v>
      </c>
      <c r="M11" s="615"/>
      <c r="N11" s="1842"/>
    </row>
    <row r="12" spans="2:14" ht="18" customHeight="1" x14ac:dyDescent="0.2">
      <c r="B12" s="286" t="s">
        <v>750</v>
      </c>
      <c r="C12" s="2127" t="s">
        <v>751</v>
      </c>
      <c r="D12" s="699">
        <v>1487.8396800000003</v>
      </c>
      <c r="E12" s="1938">
        <f>IF(SUM($D12)=0,"NA",H12/$D12)</f>
        <v>0.68909606654881994</v>
      </c>
      <c r="F12" s="615"/>
      <c r="G12" s="615"/>
      <c r="H12" s="3149">
        <v>1025.2644711432552</v>
      </c>
      <c r="I12" s="615"/>
      <c r="J12" s="615"/>
      <c r="K12" s="3149" t="s">
        <v>199</v>
      </c>
      <c r="L12" s="699" t="s">
        <v>199</v>
      </c>
      <c r="M12" s="615"/>
      <c r="N12" s="1842"/>
    </row>
    <row r="13" spans="2:14" ht="18" customHeight="1" x14ac:dyDescent="0.2">
      <c r="B13" s="286" t="s">
        <v>752</v>
      </c>
      <c r="C13" s="2127" t="s">
        <v>753</v>
      </c>
      <c r="D13" s="699">
        <v>188.58820689999999</v>
      </c>
      <c r="E13" s="1938">
        <f>IF(SUM($D13)=0,"NA",H13/$D13)</f>
        <v>0.42555325108782455</v>
      </c>
      <c r="F13" s="615"/>
      <c r="G13" s="615"/>
      <c r="H13" s="3149">
        <v>80.254324563118303</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1443.8327825613665</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184.82899437560408</v>
      </c>
      <c r="I15" s="615"/>
      <c r="J15" s="615"/>
      <c r="K15" s="3149" t="s">
        <v>199</v>
      </c>
      <c r="L15" s="699" t="s">
        <v>199</v>
      </c>
      <c r="M15" s="615"/>
      <c r="N15" s="1842"/>
    </row>
    <row r="16" spans="2:14" ht="18" customHeight="1" x14ac:dyDescent="0.2">
      <c r="B16" s="160" t="s">
        <v>756</v>
      </c>
      <c r="C16" s="474" t="s">
        <v>757</v>
      </c>
      <c r="D16" s="2917">
        <v>331.51226285000007</v>
      </c>
      <c r="E16" s="1938">
        <f>IF(SUM($D16)=0,"NA",H16/$D16)</f>
        <v>0.41492000000000001</v>
      </c>
      <c r="F16" s="615"/>
      <c r="G16" s="615"/>
      <c r="H16" s="3149">
        <v>137.55106810172202</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1121.4527200840403</v>
      </c>
      <c r="I18" s="615"/>
      <c r="J18" s="615"/>
      <c r="K18" s="3150" t="str">
        <f>K19</f>
        <v>NO</v>
      </c>
      <c r="L18" s="3162" t="str">
        <f>L19</f>
        <v>NO</v>
      </c>
      <c r="M18" s="615"/>
      <c r="N18" s="1842"/>
    </row>
    <row r="19" spans="2:14" ht="18" customHeight="1" x14ac:dyDescent="0.2">
      <c r="B19" s="3151" t="s">
        <v>761</v>
      </c>
      <c r="C19" s="474" t="s">
        <v>753</v>
      </c>
      <c r="D19" s="2917">
        <v>1486.8932279999999</v>
      </c>
      <c r="E19" s="1938">
        <f>IF(SUM($D19)=0,"NA",H19/$D19)</f>
        <v>0.41456455974322787</v>
      </c>
      <c r="F19" s="615"/>
      <c r="G19" s="615"/>
      <c r="H19" s="3149">
        <v>616.41323645100692</v>
      </c>
      <c r="I19" s="615"/>
      <c r="J19" s="615"/>
      <c r="K19" s="3149" t="s">
        <v>199</v>
      </c>
      <c r="L19" s="3149" t="s">
        <v>199</v>
      </c>
      <c r="M19" s="615"/>
      <c r="N19" s="1842"/>
    </row>
    <row r="20" spans="2:14" ht="18" customHeight="1" x14ac:dyDescent="0.2">
      <c r="B20" s="3152" t="s">
        <v>762</v>
      </c>
      <c r="C20" s="474" t="s">
        <v>753</v>
      </c>
      <c r="D20" s="2917">
        <v>420.28682329115031</v>
      </c>
      <c r="E20" s="1938">
        <f>IF(SUM($D20)=0,"NA",H20/$D20)</f>
        <v>0.51435411014939725</v>
      </c>
      <c r="F20" s="615"/>
      <c r="G20" s="615"/>
      <c r="H20" s="3149">
        <v>216.1762550014366</v>
      </c>
      <c r="I20" s="615"/>
      <c r="J20" s="615"/>
      <c r="K20" s="3149" t="s">
        <v>199</v>
      </c>
      <c r="L20" s="3149" t="s">
        <v>199</v>
      </c>
      <c r="M20" s="2161"/>
      <c r="N20" s="2174"/>
    </row>
    <row r="21" spans="2:14" ht="18" customHeight="1" thickBot="1" x14ac:dyDescent="0.25">
      <c r="B21" s="3152" t="s">
        <v>763</v>
      </c>
      <c r="C21" s="474" t="s">
        <v>753</v>
      </c>
      <c r="D21" s="2917">
        <v>661.00207455499992</v>
      </c>
      <c r="E21" s="1938">
        <f>IF(SUM($D21)=0,"NA",H21/$D21)</f>
        <v>0.43700805148919575</v>
      </c>
      <c r="F21" s="615"/>
      <c r="G21" s="615"/>
      <c r="H21" s="3149">
        <v>288.8632286315966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2820.7714109988174</v>
      </c>
      <c r="I22" s="3046">
        <f>IF(SUM(I23:I26,I30,I33:I35,I47)=0,"IE",SUM(I23:I26,I30,I33:I35,I47))</f>
        <v>0.43359999999999999</v>
      </c>
      <c r="J22" s="3046">
        <f>IF(SUM(J23:J26,J30,J33:J35,J47)=0,"IE",SUM(J23:J26,J30,J33:J35,J47))</f>
        <v>7.4754004933564833</v>
      </c>
      <c r="K22" s="3046">
        <f>IF(SUM(K23:K26,K30,K33:K35,K47)=0,"NO",SUM(K23:K26,K30,K33:K35,K47))</f>
        <v>-302.93943899999999</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1576.0509299999999</v>
      </c>
      <c r="E23" s="1938">
        <f>IF(SUM($D23)=0,"NA",(H23-K23)/$D23)</f>
        <v>1.431625817778809</v>
      </c>
      <c r="F23" s="1938" t="str">
        <f>IFERROR(IF(SUM($D23)=0,"NA",I23/$D23),"NA")</f>
        <v>NA</v>
      </c>
      <c r="G23" s="1938" t="str">
        <f>IFERROR(IF(SUM($D23)=0,"NA",J23/$D23),"NA")</f>
        <v>NA</v>
      </c>
      <c r="H23" s="699">
        <v>1953.3757625223022</v>
      </c>
      <c r="I23" s="699" t="s">
        <v>199</v>
      </c>
      <c r="J23" s="699" t="s">
        <v>199</v>
      </c>
      <c r="K23" s="3149">
        <v>-302.93943899999999</v>
      </c>
      <c r="L23" s="699" t="s">
        <v>199</v>
      </c>
      <c r="M23" s="699" t="s">
        <v>199</v>
      </c>
      <c r="N23" s="2921" t="s">
        <v>199</v>
      </c>
    </row>
    <row r="24" spans="2:14" ht="18" customHeight="1" x14ac:dyDescent="0.2">
      <c r="B24" s="286" t="s">
        <v>766</v>
      </c>
      <c r="C24" s="474" t="s">
        <v>349</v>
      </c>
      <c r="D24" s="699">
        <v>1699.3318511400005</v>
      </c>
      <c r="E24" s="2135"/>
      <c r="F24" s="2135"/>
      <c r="G24" s="1938">
        <f>IF(SUM($D24)=0,"NA",J24/$D24)</f>
        <v>4.3990233504665934E-3</v>
      </c>
      <c r="H24" s="2135"/>
      <c r="I24" s="2135"/>
      <c r="J24" s="699">
        <v>7.4754004933564833</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848.12741271697496</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0.43359999999999999</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0.43359999999999999</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0.43359999999999999</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0.43359999999999999</v>
      </c>
      <c r="J46" s="615"/>
      <c r="K46" s="699" t="s">
        <v>199</v>
      </c>
      <c r="L46" s="699" t="s">
        <v>199</v>
      </c>
      <c r="M46" s="699" t="s">
        <v>199</v>
      </c>
      <c r="N46" s="1842"/>
    </row>
    <row r="47" spans="2:16" ht="18" customHeight="1" x14ac:dyDescent="0.2">
      <c r="B47" s="286" t="s">
        <v>787</v>
      </c>
      <c r="C47" s="2131"/>
      <c r="D47" s="615"/>
      <c r="E47" s="615"/>
      <c r="F47" s="615"/>
      <c r="G47" s="615"/>
      <c r="H47" s="3167">
        <f>H50</f>
        <v>19.268235759540492</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19.268235759540492</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19.268235759540492</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10558.578640061036</v>
      </c>
      <c r="I52" s="3161">
        <f>IF(SUM(I53,I62:I67)=0,"IE",SUM(I53,I62:I67))</f>
        <v>2.4476401145691962</v>
      </c>
      <c r="J52" s="1934">
        <f>J67</f>
        <v>5.6120181678920168E-2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1575.777</v>
      </c>
      <c r="E63" s="4121">
        <f>IF(SUM($D63)=0,"NA",H63/$D63)</f>
        <v>1.4573016636359242</v>
      </c>
      <c r="F63" s="1917"/>
      <c r="G63" s="2134"/>
      <c r="H63" s="699">
        <v>2296.3824436192258</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8262.1961964418097</v>
      </c>
      <c r="I67" s="3168">
        <f t="shared" ref="I67:N67" si="8">IF(SUM(I69:I70)=0,I70,SUM(I69:I70))</f>
        <v>2.4476401145691962</v>
      </c>
      <c r="J67" s="3168">
        <f t="shared" si="8"/>
        <v>5.6120181678920168E-2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8262.1961964418097</v>
      </c>
      <c r="I70" s="3074">
        <f t="shared" si="9"/>
        <v>2.4476401145691962</v>
      </c>
      <c r="J70" s="3074">
        <f t="shared" si="9"/>
        <v>5.6120181678920168E-2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8262.1961964418097</v>
      </c>
      <c r="I71" s="3101">
        <v>2.4476401145691962</v>
      </c>
      <c r="J71" s="3101">
        <v>5.6120181678920168E-2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182.59849860500003</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339.6134020618556</v>
      </c>
      <c r="E73" s="4121">
        <f t="shared" ref="E73:G74" si="11">IF(SUM($D73)=0,"NA",H73/$D73)</f>
        <v>0.53766576200000016</v>
      </c>
      <c r="F73" s="276" t="s">
        <v>205</v>
      </c>
      <c r="G73" s="276" t="s">
        <v>205</v>
      </c>
      <c r="H73" s="3100">
        <v>182.59849860500003</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248.3124</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218.99463518228731</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218.99463518228731</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1" t="s">
        <v>837</v>
      </c>
      <c r="C135" s="4492"/>
      <c r="D135" s="4492"/>
      <c r="E135" s="4492"/>
      <c r="F135" s="4492"/>
      <c r="G135" s="4492"/>
      <c r="H135" s="4492"/>
      <c r="I135" s="4492"/>
      <c r="J135" s="4492"/>
      <c r="K135" s="4492"/>
      <c r="L135" s="4492"/>
      <c r="M135" s="4492"/>
      <c r="N135" s="4493"/>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34.557491581165294</v>
      </c>
      <c r="H22" s="2628" t="str">
        <f>H23</f>
        <v>NO</v>
      </c>
    </row>
    <row r="23" spans="2:8" ht="18" customHeight="1" x14ac:dyDescent="0.2">
      <c r="B23" s="169" t="s">
        <v>857</v>
      </c>
      <c r="C23" s="2523"/>
      <c r="D23" s="76"/>
      <c r="E23" s="76"/>
      <c r="F23" s="1829"/>
      <c r="G23" s="3157">
        <f>IF(SUM(G24,G27)=0,"NO",SUM(G24,G27))</f>
        <v>34.557491581165294</v>
      </c>
      <c r="H23" s="2628" t="str">
        <f>H24</f>
        <v>NO</v>
      </c>
    </row>
    <row r="24" spans="2:8" ht="18" customHeight="1" x14ac:dyDescent="0.2">
      <c r="B24" s="171" t="s">
        <v>858</v>
      </c>
      <c r="C24" s="2523"/>
      <c r="D24" s="76"/>
      <c r="E24" s="76"/>
      <c r="F24" s="1829"/>
      <c r="G24" s="3157">
        <f>IF(SUM(G25:G26)=0,"NO",SUM(G25:G26))</f>
        <v>34.557491581165294</v>
      </c>
      <c r="H24" s="2628" t="str">
        <f>H25</f>
        <v>NO</v>
      </c>
    </row>
    <row r="25" spans="2:8" ht="18" customHeight="1" x14ac:dyDescent="0.25">
      <c r="B25" s="2626" t="s">
        <v>859</v>
      </c>
      <c r="C25" s="2638" t="s">
        <v>859</v>
      </c>
      <c r="D25" s="73" t="s">
        <v>860</v>
      </c>
      <c r="E25" s="699">
        <v>1575777</v>
      </c>
      <c r="F25" s="4135">
        <f>IF(SUM(E25)=0,"NA",G25*1000/E25)</f>
        <v>1.562894327116169E-2</v>
      </c>
      <c r="G25" s="699">
        <v>24.627729341001356</v>
      </c>
      <c r="H25" s="2627" t="s">
        <v>199</v>
      </c>
    </row>
    <row r="26" spans="2:8" ht="18" customHeight="1" x14ac:dyDescent="0.25">
      <c r="B26" s="2626" t="s">
        <v>861</v>
      </c>
      <c r="C26" s="2638" t="s">
        <v>861</v>
      </c>
      <c r="D26" s="73" t="s">
        <v>860</v>
      </c>
      <c r="E26" s="699">
        <v>1575777</v>
      </c>
      <c r="F26" s="4135">
        <f>IF(SUM(E26)=0,"NA",G26*1000/E26)</f>
        <v>6.3015022050480077E-3</v>
      </c>
      <c r="G26" s="699">
        <v>9.9297622401639352</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78.886576217851101</v>
      </c>
      <c r="K10" s="3191">
        <f>IF(SUM(K11,K90,K117,K130,K146,K159)=0,"NO",SUM(K11,K90,K117,K130,K146,K159))</f>
        <v>3528.6568283683878</v>
      </c>
      <c r="L10" s="3192">
        <f>IF(SUM(L11,L90,L117,L130,L146,L159)=0,"NO",SUM(L11,L90,L117,L130,L146,L159))</f>
        <v>1856.9399136037598</v>
      </c>
      <c r="M10" s="3462">
        <f>IF(SUM(M11,M90,M117,M130,M146,M159)=0,"NO",SUM(M11,M90,M117,M130,M146,M159))</f>
        <v>-437.1220221284517</v>
      </c>
    </row>
    <row r="11" spans="1:13" ht="18" customHeight="1" x14ac:dyDescent="0.2">
      <c r="B11" s="147" t="s">
        <v>888</v>
      </c>
      <c r="C11" s="2524"/>
      <c r="D11" s="150"/>
      <c r="E11" s="150"/>
      <c r="F11" s="150"/>
      <c r="G11" s="150"/>
      <c r="H11" s="150"/>
      <c r="I11" s="150"/>
      <c r="J11" s="3081">
        <f>IF(SUM(J12,J25,J38,J51,J64,J77)=0,"NO",SUM(J12,J25,J38,J51,J64,J77))</f>
        <v>40.745481922737916</v>
      </c>
      <c r="K11" s="3081">
        <f t="shared" ref="K11:M11" si="0">IF(SUM(K12,K25,K38,K51,K64,K77)=0,"NO",SUM(K12,K25,K38,K51,K64,K77))</f>
        <v>3340.7408615458007</v>
      </c>
      <c r="L11" s="3081">
        <f t="shared" si="0"/>
        <v>1789.8841482446051</v>
      </c>
      <c r="M11" s="3193">
        <f t="shared" si="0"/>
        <v>-421.65819348727098</v>
      </c>
    </row>
    <row r="12" spans="1:13" ht="18" customHeight="1" x14ac:dyDescent="0.2">
      <c r="B12" s="104" t="s">
        <v>889</v>
      </c>
      <c r="C12" s="2524"/>
      <c r="D12" s="150"/>
      <c r="E12" s="150"/>
      <c r="F12" s="150"/>
      <c r="G12" s="150"/>
      <c r="H12" s="150"/>
      <c r="I12" s="150"/>
      <c r="J12" s="3081">
        <f>IF(SUM(J13:J24)=0,"NO",SUM(J13:J24))</f>
        <v>31.806581707141735</v>
      </c>
      <c r="K12" s="3081">
        <f>IF(SUM(K13:K24)=0,"NO",SUM(K13:K24))</f>
        <v>2091.4953735739391</v>
      </c>
      <c r="L12" s="3081">
        <f>IF(SUM(L13:L24)=0,"NO",SUM(L13:L24))</f>
        <v>699.51605358830329</v>
      </c>
      <c r="M12" s="3193">
        <f>IF(SUM(M13:M24)=0,"NO",SUM(M13:M24))</f>
        <v>-166.88387644134494</v>
      </c>
    </row>
    <row r="13" spans="1:13" ht="18" customHeight="1" x14ac:dyDescent="0.2">
      <c r="B13" s="2634" t="s">
        <v>671</v>
      </c>
      <c r="C13" s="2636" t="s">
        <v>671</v>
      </c>
      <c r="D13" s="3160">
        <v>19.134779811263133</v>
      </c>
      <c r="E13" s="3160">
        <v>161.77068012484091</v>
      </c>
      <c r="F13" s="3160">
        <v>9.1434114439140721</v>
      </c>
      <c r="G13" s="3668">
        <f>IF(SUM(D13)=0,"NA",J13/D13)</f>
        <v>1.7499999999999998E-2</v>
      </c>
      <c r="H13" s="3081">
        <f>IF(SUM(E13)=0,"NA",K13/E13)</f>
        <v>0.13611363027186665</v>
      </c>
      <c r="I13" s="3081">
        <f>IF(SUM(F13)=0,"NA",L13/F13)</f>
        <v>0.80664342774149</v>
      </c>
      <c r="J13" s="3194">
        <v>0.3348586466971048</v>
      </c>
      <c r="K13" s="3194">
        <v>22.019194543341001</v>
      </c>
      <c r="L13" s="3194">
        <v>7.3754727483696136</v>
      </c>
      <c r="M13" s="3460">
        <v>-1.7679386955444514</v>
      </c>
    </row>
    <row r="14" spans="1:13" ht="18" customHeight="1" x14ac:dyDescent="0.2">
      <c r="B14" s="2634" t="s">
        <v>672</v>
      </c>
      <c r="C14" s="2636" t="s">
        <v>672</v>
      </c>
      <c r="D14" s="3160">
        <v>147.61115854402991</v>
      </c>
      <c r="E14" s="3160">
        <v>1247.9452466773446</v>
      </c>
      <c r="F14" s="3160">
        <v>70.534888281622855</v>
      </c>
      <c r="G14" s="3668">
        <f t="shared" ref="G14:G24" si="1">IF(SUM(D14)=0,"NA",J14/D14)</f>
        <v>1.7500000000000002E-2</v>
      </c>
      <c r="H14" s="3081">
        <f t="shared" ref="H14:H24" si="2">IF(SUM(E14)=0,"NA",K14/E14)</f>
        <v>0.13611363027186663</v>
      </c>
      <c r="I14" s="3081">
        <f t="shared" ref="I14:I24" si="3">IF(SUM(F14)=0,"NA",L14/F14)</f>
        <v>0.80664342774149012</v>
      </c>
      <c r="J14" s="3194">
        <v>2.5831952745205236</v>
      </c>
      <c r="K14" s="3194">
        <v>169.86235790577348</v>
      </c>
      <c r="L14" s="3194">
        <v>56.89650405885132</v>
      </c>
      <c r="M14" s="3460">
        <v>-13.638384222771485</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336.908801676883</v>
      </c>
      <c r="E16" s="3160">
        <v>2848.3194750552348</v>
      </c>
      <c r="F16" s="3160">
        <v>160.98935149462991</v>
      </c>
      <c r="G16" s="3668">
        <f t="shared" si="1"/>
        <v>1.7500000000000005E-2</v>
      </c>
      <c r="H16" s="3081">
        <f t="shared" si="2"/>
        <v>0.13611363027186665</v>
      </c>
      <c r="I16" s="3081">
        <f t="shared" si="3"/>
        <v>0.80664342774148945</v>
      </c>
      <c r="J16" s="3194">
        <v>5.8959040293454539</v>
      </c>
      <c r="K16" s="3194">
        <v>387.69510392382551</v>
      </c>
      <c r="L16" s="3194">
        <v>129.86100231950775</v>
      </c>
      <c r="M16" s="3460">
        <v>-31.128349175121947</v>
      </c>
    </row>
    <row r="17" spans="2:13" ht="18" customHeight="1" x14ac:dyDescent="0.2">
      <c r="B17" s="2634" t="s">
        <v>676</v>
      </c>
      <c r="C17" s="2636" t="s">
        <v>676</v>
      </c>
      <c r="D17" s="3160">
        <v>1.7650276035933872</v>
      </c>
      <c r="E17" s="3160">
        <v>14.922027778148333</v>
      </c>
      <c r="F17" s="3160">
        <v>0.84340524159157682</v>
      </c>
      <c r="G17" s="3668">
        <f t="shared" si="1"/>
        <v>1.7500000000000005E-2</v>
      </c>
      <c r="H17" s="3081">
        <f t="shared" si="2"/>
        <v>0.13611363027186663</v>
      </c>
      <c r="I17" s="3081">
        <f t="shared" si="3"/>
        <v>0.80664342774148967</v>
      </c>
      <c r="J17" s="3194">
        <v>3.0887983062884282E-2</v>
      </c>
      <c r="K17" s="3194">
        <v>2.0310913719014057</v>
      </c>
      <c r="L17" s="3194">
        <v>0.68032729505256873</v>
      </c>
      <c r="M17" s="3460">
        <v>-0.16307794653900715</v>
      </c>
    </row>
    <row r="18" spans="2:13" ht="18" customHeight="1" x14ac:dyDescent="0.2">
      <c r="B18" s="2634" t="s">
        <v>677</v>
      </c>
      <c r="C18" s="2636" t="s">
        <v>677</v>
      </c>
      <c r="D18" s="3160">
        <v>967.673150455307</v>
      </c>
      <c r="E18" s="3160">
        <v>8180.9743948848136</v>
      </c>
      <c r="F18" s="3160">
        <v>462.39537873508317</v>
      </c>
      <c r="G18" s="3668">
        <f t="shared" si="1"/>
        <v>1.7500000000000005E-2</v>
      </c>
      <c r="H18" s="3081">
        <f t="shared" si="2"/>
        <v>0.13611363027186665</v>
      </c>
      <c r="I18" s="3081">
        <f t="shared" si="3"/>
        <v>0.80664342774148978</v>
      </c>
      <c r="J18" s="3194">
        <v>16.934280132967878</v>
      </c>
      <c r="K18" s="3194">
        <v>1113.5421240489595</v>
      </c>
      <c r="L18" s="3194">
        <v>372.98819327469187</v>
      </c>
      <c r="M18" s="3460">
        <v>-89.407185460390835</v>
      </c>
    </row>
    <row r="19" spans="2:13" ht="18" customHeight="1" x14ac:dyDescent="0.2">
      <c r="B19" s="2634" t="s">
        <v>679</v>
      </c>
      <c r="C19" s="2636" t="s">
        <v>679</v>
      </c>
      <c r="D19" s="3160">
        <v>225.51704777560118</v>
      </c>
      <c r="E19" s="3160">
        <v>1906.5830157570538</v>
      </c>
      <c r="F19" s="3160">
        <v>107.76163487470156</v>
      </c>
      <c r="G19" s="3668">
        <f t="shared" si="1"/>
        <v>1.7500000000000002E-2</v>
      </c>
      <c r="H19" s="3081">
        <f t="shared" si="2"/>
        <v>0.13611363027186663</v>
      </c>
      <c r="I19" s="3081">
        <f t="shared" si="3"/>
        <v>0.80664342774149023</v>
      </c>
      <c r="J19" s="3194">
        <v>3.9465483360730209</v>
      </c>
      <c r="K19" s="3194">
        <v>259.51193568937606</v>
      </c>
      <c r="L19" s="3194">
        <v>86.925214534356172</v>
      </c>
      <c r="M19" s="3460">
        <v>-20.83642034034532</v>
      </c>
    </row>
    <row r="20" spans="2:13" ht="18" customHeight="1" x14ac:dyDescent="0.2">
      <c r="B20" s="2634" t="s">
        <v>681</v>
      </c>
      <c r="C20" s="2636" t="s">
        <v>681</v>
      </c>
      <c r="D20" s="3160">
        <v>41.003099595563853</v>
      </c>
      <c r="E20" s="3160">
        <v>346.65145741037344</v>
      </c>
      <c r="F20" s="3160">
        <v>19.593024522673012</v>
      </c>
      <c r="G20" s="3668">
        <f t="shared" si="1"/>
        <v>1.7500000000000002E-2</v>
      </c>
      <c r="H20" s="3081">
        <f t="shared" si="2"/>
        <v>0.13611363027186663</v>
      </c>
      <c r="I20" s="3081">
        <f t="shared" si="3"/>
        <v>0.78574852485588997</v>
      </c>
      <c r="J20" s="3194">
        <v>0.71755424292236747</v>
      </c>
      <c r="K20" s="3194">
        <v>47.183988307159289</v>
      </c>
      <c r="L20" s="3194">
        <v>15.395190116155597</v>
      </c>
      <c r="M20" s="3460">
        <v>-3.3790457172445341</v>
      </c>
    </row>
    <row r="21" spans="2:13" ht="18" customHeight="1" x14ac:dyDescent="0.2">
      <c r="B21" s="2634" t="s">
        <v>683</v>
      </c>
      <c r="C21" s="2636" t="s">
        <v>683</v>
      </c>
      <c r="D21" s="3160">
        <v>12.300929878669157</v>
      </c>
      <c r="E21" s="3160">
        <v>103.99543722311202</v>
      </c>
      <c r="F21" s="3160">
        <v>5.8779073568019049</v>
      </c>
      <c r="G21" s="3668">
        <f t="shared" si="1"/>
        <v>1.7500000000000005E-2</v>
      </c>
      <c r="H21" s="3081">
        <f t="shared" si="2"/>
        <v>0.13611363027186665</v>
      </c>
      <c r="I21" s="3081">
        <f t="shared" si="3"/>
        <v>0.80664342774148912</v>
      </c>
      <c r="J21" s="3194">
        <v>0.2152662728767103</v>
      </c>
      <c r="K21" s="3194">
        <v>14.155196492147788</v>
      </c>
      <c r="L21" s="3194">
        <v>4.7413753382376047</v>
      </c>
      <c r="M21" s="3460">
        <v>-1.1365320185642902</v>
      </c>
    </row>
    <row r="22" spans="2:13" ht="18" customHeight="1" x14ac:dyDescent="0.2">
      <c r="B22" s="2634" t="s">
        <v>686</v>
      </c>
      <c r="C22" s="2636" t="s">
        <v>686</v>
      </c>
      <c r="D22" s="3160">
        <v>2.0501549797781928</v>
      </c>
      <c r="E22" s="3160">
        <v>16.339357741420315</v>
      </c>
      <c r="F22" s="3160">
        <v>0.97965122613365074</v>
      </c>
      <c r="G22" s="3668">
        <f t="shared" si="1"/>
        <v>1.7499999999999998E-2</v>
      </c>
      <c r="H22" s="3081">
        <f t="shared" si="2"/>
        <v>0.14438752444824607</v>
      </c>
      <c r="I22" s="3081">
        <f t="shared" si="3"/>
        <v>0.80664342774149045</v>
      </c>
      <c r="J22" s="3194">
        <v>3.5877712146118373E-2</v>
      </c>
      <c r="K22" s="3194">
        <v>2.3591994153579643</v>
      </c>
      <c r="L22" s="3194">
        <v>0.79022922303960197</v>
      </c>
      <c r="M22" s="3460">
        <v>-0.18942200309404839</v>
      </c>
    </row>
    <row r="23" spans="2:13" ht="18" customHeight="1" x14ac:dyDescent="0.2">
      <c r="B23" s="2634" t="s">
        <v>688</v>
      </c>
      <c r="C23" s="2636" t="s">
        <v>688</v>
      </c>
      <c r="D23" s="3160">
        <v>37.586174629266871</v>
      </c>
      <c r="E23" s="3160">
        <v>317.76383595950904</v>
      </c>
      <c r="F23" s="3160">
        <v>17.960272479116931</v>
      </c>
      <c r="G23" s="3668">
        <f t="shared" si="1"/>
        <v>1.7500000000000002E-2</v>
      </c>
      <c r="H23" s="3081">
        <f t="shared" si="2"/>
        <v>0.13611363027186663</v>
      </c>
      <c r="I23" s="3081">
        <f t="shared" si="3"/>
        <v>0.78574852485588986</v>
      </c>
      <c r="J23" s="3194">
        <v>0.6577580560121703</v>
      </c>
      <c r="K23" s="3194">
        <v>43.251989281562686</v>
      </c>
      <c r="L23" s="3194">
        <v>14.112257606475964</v>
      </c>
      <c r="M23" s="3460">
        <v>-3.0974585741408234</v>
      </c>
    </row>
    <row r="24" spans="2:13" ht="18" customHeight="1" x14ac:dyDescent="0.2">
      <c r="B24" s="2634" t="s">
        <v>689</v>
      </c>
      <c r="C24" s="2636" t="s">
        <v>689</v>
      </c>
      <c r="D24" s="3160">
        <v>25.968629743857107</v>
      </c>
      <c r="E24" s="3160">
        <v>219.54592302656982</v>
      </c>
      <c r="F24" s="3160">
        <v>12.408915531026242</v>
      </c>
      <c r="G24" s="3668">
        <f t="shared" si="1"/>
        <v>1.7500000000000002E-2</v>
      </c>
      <c r="H24" s="3081">
        <f t="shared" si="2"/>
        <v>0.13611363027186665</v>
      </c>
      <c r="I24" s="3081">
        <f t="shared" si="3"/>
        <v>0.78574852485588953</v>
      </c>
      <c r="J24" s="3194">
        <v>0.45445102051749942</v>
      </c>
      <c r="K24" s="3194">
        <v>29.883192594534219</v>
      </c>
      <c r="L24" s="3194">
        <v>9.7502870735652074</v>
      </c>
      <c r="M24" s="3460">
        <v>-2.1400622875882052</v>
      </c>
    </row>
    <row r="25" spans="2:13" ht="18" customHeight="1" x14ac:dyDescent="0.2">
      <c r="B25" s="105" t="s">
        <v>890</v>
      </c>
      <c r="C25" s="2524"/>
      <c r="D25" s="150"/>
      <c r="E25" s="150"/>
      <c r="F25" s="150"/>
      <c r="G25" s="3669"/>
      <c r="H25" s="2135"/>
      <c r="I25" s="2135"/>
      <c r="J25" s="3081" t="str">
        <f>IF(SUM(J26:J37)=0,"NO",SUM(J26:J37))</f>
        <v>NO</v>
      </c>
      <c r="K25" s="3081">
        <f>IF(SUM(K26:K37)=0,"NO",SUM(K26:K37))</f>
        <v>12.084260757188183</v>
      </c>
      <c r="L25" s="3081">
        <f>IF(SUM(L26:L37)=0,"NO",SUM(L26:L37))</f>
        <v>50.076190182533509</v>
      </c>
      <c r="M25" s="3193">
        <f>IF(SUM(M26:M37)=0,"NO",SUM(M26:M37))</f>
        <v>-9.7705520099460816</v>
      </c>
    </row>
    <row r="26" spans="2:13" ht="18" customHeight="1" x14ac:dyDescent="0.2">
      <c r="B26" s="2634" t="s">
        <v>671</v>
      </c>
      <c r="C26" s="2636" t="s">
        <v>671</v>
      </c>
      <c r="D26" s="3461" t="s">
        <v>199</v>
      </c>
      <c r="E26" s="3461">
        <v>6.8471494857155148</v>
      </c>
      <c r="F26" s="3461">
        <v>0.63006453457727229</v>
      </c>
      <c r="G26" s="3668" t="str">
        <f>IF(SUM(D26)=0,"NA",J26/D26)</f>
        <v>NA</v>
      </c>
      <c r="H26" s="3081">
        <f>IF(SUM(E26)=0,"NA",K26/E26)</f>
        <v>1.8580388860323493E-2</v>
      </c>
      <c r="I26" s="3081">
        <f>IF(SUM(F26)=0,"NA",L26/F26)</f>
        <v>0.83674045316415147</v>
      </c>
      <c r="J26" s="3194" t="s">
        <v>199</v>
      </c>
      <c r="K26" s="3194">
        <v>0.12722270002935829</v>
      </c>
      <c r="L26" s="3194">
        <v>0.527200484184847</v>
      </c>
      <c r="M26" s="3460">
        <v>-0.1028640503924254</v>
      </c>
    </row>
    <row r="27" spans="2:13" ht="18" customHeight="1" x14ac:dyDescent="0.2">
      <c r="B27" s="2634" t="s">
        <v>672</v>
      </c>
      <c r="C27" s="2636" t="s">
        <v>672</v>
      </c>
      <c r="D27" s="3461" t="s">
        <v>199</v>
      </c>
      <c r="E27" s="3461">
        <v>52.820867461233981</v>
      </c>
      <c r="F27" s="3461">
        <v>4.8604978381675297</v>
      </c>
      <c r="G27" s="3668" t="str">
        <f t="shared" ref="G27:G37" si="7">IF(SUM(D27)=0,"NA",J27/D27)</f>
        <v>NA</v>
      </c>
      <c r="H27" s="3081">
        <f t="shared" ref="H27:H37" si="8">IF(SUM(E27)=0,"NA",K27/E27)</f>
        <v>1.8580388860323493E-2</v>
      </c>
      <c r="I27" s="3081">
        <f t="shared" ref="I27:I37" si="9">IF(SUM(F27)=0,"NA",L27/F27)</f>
        <v>0.83674045316415169</v>
      </c>
      <c r="J27" s="3194" t="s">
        <v>199</v>
      </c>
      <c r="K27" s="3194">
        <v>0.98143225736933548</v>
      </c>
      <c r="L27" s="3194">
        <v>4.0669751637116782</v>
      </c>
      <c r="M27" s="3460">
        <v>-0.79352267445585334</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v>120.55873915920533</v>
      </c>
      <c r="F29" s="3461">
        <v>11.093636269521259</v>
      </c>
      <c r="G29" s="3668" t="str">
        <f t="shared" si="7"/>
        <v>NA</v>
      </c>
      <c r="H29" s="3081">
        <f t="shared" si="8"/>
        <v>1.8580388860323493E-2</v>
      </c>
      <c r="I29" s="3081">
        <f t="shared" si="9"/>
        <v>0.83674045316415158</v>
      </c>
      <c r="J29" s="3194" t="s">
        <v>199</v>
      </c>
      <c r="K29" s="3194">
        <v>2.2400282540883443</v>
      </c>
      <c r="L29" s="3194">
        <v>9.2824942393974865</v>
      </c>
      <c r="M29" s="3460">
        <v>-1.8111420301237759</v>
      </c>
    </row>
    <row r="30" spans="2:13" ht="18" customHeight="1" x14ac:dyDescent="0.2">
      <c r="B30" s="2634" t="s">
        <v>676</v>
      </c>
      <c r="C30" s="2636" t="s">
        <v>676</v>
      </c>
      <c r="D30" s="3461" t="s">
        <v>199</v>
      </c>
      <c r="E30" s="3461">
        <v>0.63159377674701156</v>
      </c>
      <c r="F30" s="3461">
        <v>5.811832205769682E-2</v>
      </c>
      <c r="G30" s="3668" t="str">
        <f t="shared" si="7"/>
        <v>NA</v>
      </c>
      <c r="H30" s="3081">
        <f t="shared" si="8"/>
        <v>1.8580388860323489E-2</v>
      </c>
      <c r="I30" s="3081">
        <f t="shared" si="9"/>
        <v>0.83674045316415135</v>
      </c>
      <c r="J30" s="3194" t="s">
        <v>199</v>
      </c>
      <c r="K30" s="3194">
        <v>1.1735257973719816E-2</v>
      </c>
      <c r="L30" s="3194">
        <v>4.8629951135697333E-2</v>
      </c>
      <c r="M30" s="3460">
        <v>-9.4883709219994918E-3</v>
      </c>
    </row>
    <row r="31" spans="2:13" ht="18" customHeight="1" x14ac:dyDescent="0.2">
      <c r="B31" s="2634" t="s">
        <v>677</v>
      </c>
      <c r="C31" s="2636" t="s">
        <v>677</v>
      </c>
      <c r="D31" s="3461" t="s">
        <v>199</v>
      </c>
      <c r="E31" s="3461">
        <v>346.27013113475613</v>
      </c>
      <c r="F31" s="3461">
        <v>31.863263605764921</v>
      </c>
      <c r="G31" s="3668" t="str">
        <f t="shared" si="7"/>
        <v>NA</v>
      </c>
      <c r="H31" s="3081">
        <f t="shared" si="8"/>
        <v>1.8580388860323489E-2</v>
      </c>
      <c r="I31" s="3081">
        <f t="shared" si="9"/>
        <v>0.83674045316415158</v>
      </c>
      <c r="J31" s="3194" t="s">
        <v>199</v>
      </c>
      <c r="K31" s="3194">
        <v>6.4338336871989767</v>
      </c>
      <c r="L31" s="3194">
        <v>26.661281628776557</v>
      </c>
      <c r="M31" s="3460">
        <v>-5.2019819769883711</v>
      </c>
    </row>
    <row r="32" spans="2:13" ht="18" customHeight="1" x14ac:dyDescent="0.2">
      <c r="B32" s="2634" t="s">
        <v>679</v>
      </c>
      <c r="C32" s="2636" t="s">
        <v>679</v>
      </c>
      <c r="D32" s="3461" t="s">
        <v>199</v>
      </c>
      <c r="E32" s="3461">
        <v>80.698547510218575</v>
      </c>
      <c r="F32" s="3461">
        <v>7.4257605860892797</v>
      </c>
      <c r="G32" s="3668" t="str">
        <f t="shared" si="7"/>
        <v>NA</v>
      </c>
      <c r="H32" s="3081">
        <f t="shared" si="8"/>
        <v>1.8580388860323489E-2</v>
      </c>
      <c r="I32" s="3081">
        <f t="shared" si="9"/>
        <v>0.83674045316415147</v>
      </c>
      <c r="J32" s="3194" t="s">
        <v>199</v>
      </c>
      <c r="K32" s="3194">
        <v>1.4994103932031511</v>
      </c>
      <c r="L32" s="3194">
        <v>6.2134342778928389</v>
      </c>
      <c r="M32" s="3460">
        <v>-1.2123263081964422</v>
      </c>
    </row>
    <row r="33" spans="2:13" ht="18" customHeight="1" x14ac:dyDescent="0.2">
      <c r="B33" s="2634" t="s">
        <v>681</v>
      </c>
      <c r="C33" s="2636" t="s">
        <v>681</v>
      </c>
      <c r="D33" s="3461" t="s">
        <v>199</v>
      </c>
      <c r="E33" s="3461">
        <v>14.672463183676104</v>
      </c>
      <c r="F33" s="3461">
        <v>1.3501382883798694</v>
      </c>
      <c r="G33" s="3668" t="str">
        <f t="shared" si="7"/>
        <v>NA</v>
      </c>
      <c r="H33" s="3081">
        <f t="shared" si="8"/>
        <v>1.8580388860323496E-2</v>
      </c>
      <c r="I33" s="3081">
        <f t="shared" si="9"/>
        <v>0.83674045316415135</v>
      </c>
      <c r="J33" s="3194" t="s">
        <v>199</v>
      </c>
      <c r="K33" s="3194">
        <v>0.2726200714914821</v>
      </c>
      <c r="L33" s="3194">
        <v>1.1297153232532435</v>
      </c>
      <c r="M33" s="3460">
        <v>-0.22042296512662587</v>
      </c>
    </row>
    <row r="34" spans="2:13" ht="18" customHeight="1" x14ac:dyDescent="0.2">
      <c r="B34" s="2634" t="s">
        <v>683</v>
      </c>
      <c r="C34" s="2636" t="s">
        <v>683</v>
      </c>
      <c r="D34" s="3461" t="s">
        <v>199</v>
      </c>
      <c r="E34" s="3461">
        <v>4.4017389551028314</v>
      </c>
      <c r="F34" s="3461">
        <v>0.40504148651396077</v>
      </c>
      <c r="G34" s="3668" t="str">
        <f t="shared" si="7"/>
        <v>NA</v>
      </c>
      <c r="H34" s="3081">
        <f t="shared" si="8"/>
        <v>1.8580388860323493E-2</v>
      </c>
      <c r="I34" s="3081">
        <f t="shared" si="9"/>
        <v>0.83674045316415169</v>
      </c>
      <c r="J34" s="3194" t="s">
        <v>199</v>
      </c>
      <c r="K34" s="3194">
        <v>8.1786021447444623E-2</v>
      </c>
      <c r="L34" s="3194">
        <v>0.33891459697597315</v>
      </c>
      <c r="M34" s="3460">
        <v>-6.612688953798776E-2</v>
      </c>
    </row>
    <row r="35" spans="2:13" ht="18" customHeight="1" x14ac:dyDescent="0.2">
      <c r="B35" s="2634" t="s">
        <v>686</v>
      </c>
      <c r="C35" s="2636" t="s">
        <v>686</v>
      </c>
      <c r="D35" s="3461" t="s">
        <v>199</v>
      </c>
      <c r="E35" s="3461">
        <v>0.73362315918380516</v>
      </c>
      <c r="F35" s="3461">
        <v>6.7506914418993466E-2</v>
      </c>
      <c r="G35" s="3668" t="str">
        <f t="shared" si="7"/>
        <v>NA</v>
      </c>
      <c r="H35" s="3081">
        <f t="shared" si="8"/>
        <v>1.8580388860323493E-2</v>
      </c>
      <c r="I35" s="3081">
        <f t="shared" si="9"/>
        <v>0.83674045316415135</v>
      </c>
      <c r="J35" s="3194" t="s">
        <v>199</v>
      </c>
      <c r="K35" s="3194">
        <v>1.3631003574574103E-2</v>
      </c>
      <c r="L35" s="3194">
        <v>5.6485766162662175E-2</v>
      </c>
      <c r="M35" s="3460">
        <v>-1.1021148256331293E-2</v>
      </c>
    </row>
    <row r="36" spans="2:13" ht="18" customHeight="1" x14ac:dyDescent="0.2">
      <c r="B36" s="2634" t="s">
        <v>688</v>
      </c>
      <c r="C36" s="2636" t="s">
        <v>688</v>
      </c>
      <c r="D36" s="3461" t="s">
        <v>199</v>
      </c>
      <c r="E36" s="3461">
        <v>13.449757918369762</v>
      </c>
      <c r="F36" s="3461">
        <v>1.2376267643482135</v>
      </c>
      <c r="G36" s="3668" t="str">
        <f t="shared" si="7"/>
        <v>NA</v>
      </c>
      <c r="H36" s="3081">
        <f t="shared" si="8"/>
        <v>1.8580388860323489E-2</v>
      </c>
      <c r="I36" s="3081">
        <f t="shared" si="9"/>
        <v>0.83674045316415169</v>
      </c>
      <c r="J36" s="3194" t="s">
        <v>199</v>
      </c>
      <c r="K36" s="3194">
        <v>0.2499017322005252</v>
      </c>
      <c r="L36" s="3194">
        <v>1.035572379648807</v>
      </c>
      <c r="M36" s="3460">
        <v>-0.20205438469940706</v>
      </c>
    </row>
    <row r="37" spans="2:13" ht="18" customHeight="1" x14ac:dyDescent="0.2">
      <c r="B37" s="2634" t="s">
        <v>689</v>
      </c>
      <c r="C37" s="2636" t="s">
        <v>689</v>
      </c>
      <c r="D37" s="3461" t="s">
        <v>199</v>
      </c>
      <c r="E37" s="3461">
        <v>9.2925600163281992</v>
      </c>
      <c r="F37" s="3461">
        <v>0.85508758264058393</v>
      </c>
      <c r="G37" s="3668" t="str">
        <f t="shared" si="7"/>
        <v>NA</v>
      </c>
      <c r="H37" s="3081">
        <f t="shared" si="8"/>
        <v>1.8580388860323493E-2</v>
      </c>
      <c r="I37" s="3081">
        <f t="shared" si="9"/>
        <v>0.83674045316415158</v>
      </c>
      <c r="J37" s="3194" t="s">
        <v>199</v>
      </c>
      <c r="K37" s="3194">
        <v>0.17265937861127195</v>
      </c>
      <c r="L37" s="3194">
        <v>0.71548637139372107</v>
      </c>
      <c r="M37" s="3460">
        <v>-0.13960121124686306</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7.669044189145577</v>
      </c>
      <c r="K51" s="3081">
        <f>IF(SUM(K52:K63)=0,"NO",SUM(K52:K63))</f>
        <v>146.16138619904703</v>
      </c>
      <c r="L51" s="3081">
        <f>IF(SUM(L52:L63)=0,"NO",SUM(L52:L63))</f>
        <v>80.48061750465159</v>
      </c>
      <c r="M51" s="3193">
        <f>IF(SUM(M52:M63)=0,"NO",SUM(M52:M63))</f>
        <v>-18.320018601615949</v>
      </c>
    </row>
    <row r="52" spans="2:13" ht="18" customHeight="1" x14ac:dyDescent="0.2">
      <c r="B52" s="2634" t="s">
        <v>671</v>
      </c>
      <c r="C52" s="2636" t="s">
        <v>671</v>
      </c>
      <c r="D52" s="3461">
        <v>1.5831263751726026</v>
      </c>
      <c r="E52" s="3461">
        <v>8.9570820846709758</v>
      </c>
      <c r="F52" s="3461">
        <v>1.0401698492463038</v>
      </c>
      <c r="G52" s="3081">
        <f>IF(SUM(D52)=0,"NA",J52/D52)</f>
        <v>5.1000000000000004E-2</v>
      </c>
      <c r="H52" s="3081">
        <f>IF(SUM(E52)=0,"NA",K52/E52)</f>
        <v>0.17179503937549406</v>
      </c>
      <c r="I52" s="3081">
        <f>IF(SUM(F52)=0,"NA",L52/F52)</f>
        <v>0.81457590433009597</v>
      </c>
      <c r="J52" s="3194">
        <v>8.073944513380274E-2</v>
      </c>
      <c r="K52" s="3194">
        <v>1.5387822694255828</v>
      </c>
      <c r="L52" s="3194">
        <v>0.84729729560670752</v>
      </c>
      <c r="M52" s="3460">
        <v>-0.19287255363959649</v>
      </c>
    </row>
    <row r="53" spans="2:13" ht="18" customHeight="1" x14ac:dyDescent="0.2">
      <c r="B53" s="2634" t="s">
        <v>672</v>
      </c>
      <c r="C53" s="2636" t="s">
        <v>672</v>
      </c>
      <c r="D53" s="3461">
        <v>12.212689179902936</v>
      </c>
      <c r="E53" s="3461">
        <v>69.09749036746183</v>
      </c>
      <c r="F53" s="3461">
        <v>8.024167408471488</v>
      </c>
      <c r="G53" s="3081">
        <f t="shared" ref="G53:G63" si="39">IF(SUM(D53)=0,"NA",J53/D53)</f>
        <v>5.0999999999999997E-2</v>
      </c>
      <c r="H53" s="3081">
        <f t="shared" ref="H53:H63" si="40">IF(SUM(E53)=0,"NA",K53/E53)</f>
        <v>0.17179503937549404</v>
      </c>
      <c r="I53" s="3081">
        <f t="shared" ref="I53:I63" si="41">IF(SUM(F53)=0,"NA",L53/F53)</f>
        <v>0.81457590433009552</v>
      </c>
      <c r="J53" s="3194">
        <v>0.62284714817504971</v>
      </c>
      <c r="K53" s="3194">
        <v>11.870606078425926</v>
      </c>
      <c r="L53" s="3194">
        <v>6.5362934232517418</v>
      </c>
      <c r="M53" s="3460">
        <v>-1.4878739852197447</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27.874332248574756</v>
      </c>
      <c r="E55" s="3461">
        <v>157.70862384795683</v>
      </c>
      <c r="F55" s="3461">
        <v>18.314419131372425</v>
      </c>
      <c r="G55" s="3081">
        <f t="shared" si="39"/>
        <v>5.0999999999999997E-2</v>
      </c>
      <c r="H55" s="3081">
        <f t="shared" si="40"/>
        <v>0.17179503937549406</v>
      </c>
      <c r="I55" s="3081">
        <f t="shared" si="41"/>
        <v>0.81457590433009563</v>
      </c>
      <c r="J55" s="3194">
        <v>1.4215909446773125</v>
      </c>
      <c r="K55" s="3194">
        <v>27.093559243814727</v>
      </c>
      <c r="L55" s="3194">
        <v>14.918484526218098</v>
      </c>
      <c r="M55" s="3460">
        <v>-3.395934605154324</v>
      </c>
    </row>
    <row r="56" spans="2:13" ht="18" customHeight="1" x14ac:dyDescent="0.2">
      <c r="B56" s="2634" t="s">
        <v>676</v>
      </c>
      <c r="C56" s="2636" t="s">
        <v>676</v>
      </c>
      <c r="D56" s="3461">
        <v>0.14603051509961057</v>
      </c>
      <c r="E56" s="3461">
        <v>0.82621787567109983</v>
      </c>
      <c r="F56" s="3461">
        <v>9.5947197430755526E-2</v>
      </c>
      <c r="G56" s="3081">
        <f t="shared" si="39"/>
        <v>5.0999999999999997E-2</v>
      </c>
      <c r="H56" s="3081">
        <f t="shared" si="40"/>
        <v>0.17179503937549409</v>
      </c>
      <c r="I56" s="3081">
        <f t="shared" si="41"/>
        <v>0.8145759043300953</v>
      </c>
      <c r="J56" s="3194">
        <v>7.447556270080139E-3</v>
      </c>
      <c r="K56" s="3194">
        <v>0.14194013248365367</v>
      </c>
      <c r="L56" s="3194">
        <v>7.8156275115095875E-2</v>
      </c>
      <c r="M56" s="3460">
        <v>-1.77909223156596E-2</v>
      </c>
    </row>
    <row r="57" spans="2:13" ht="18" customHeight="1" x14ac:dyDescent="0.2">
      <c r="B57" s="2634" t="s">
        <v>677</v>
      </c>
      <c r="C57" s="2636" t="s">
        <v>677</v>
      </c>
      <c r="D57" s="3461">
        <v>80.060962401585925</v>
      </c>
      <c r="E57" s="3461">
        <v>452.97243685336088</v>
      </c>
      <c r="F57" s="3461">
        <v>52.6028752333131</v>
      </c>
      <c r="G57" s="3081">
        <f t="shared" si="39"/>
        <v>5.0999999999999997E-2</v>
      </c>
      <c r="H57" s="3081">
        <f t="shared" si="40"/>
        <v>0.17179503937549406</v>
      </c>
      <c r="I57" s="3081">
        <f t="shared" si="41"/>
        <v>0.81457590433009575</v>
      </c>
      <c r="J57" s="3194">
        <v>4.083109082480882</v>
      </c>
      <c r="K57" s="3194">
        <v>77.818417625236634</v>
      </c>
      <c r="L57" s="3194">
        <v>42.849034663539214</v>
      </c>
      <c r="M57" s="3460">
        <v>-9.7538405697738817</v>
      </c>
    </row>
    <row r="58" spans="2:13" ht="18" customHeight="1" x14ac:dyDescent="0.2">
      <c r="B58" s="2634" t="s">
        <v>679</v>
      </c>
      <c r="C58" s="2636" t="s">
        <v>679</v>
      </c>
      <c r="D58" s="3461">
        <v>18.658275135962814</v>
      </c>
      <c r="E58" s="3461">
        <v>105.56561028362222</v>
      </c>
      <c r="F58" s="3461">
        <v>12.25914465183144</v>
      </c>
      <c r="G58" s="3081">
        <f t="shared" si="39"/>
        <v>5.1000000000000004E-2</v>
      </c>
      <c r="H58" s="3081">
        <f t="shared" si="40"/>
        <v>0.17179503937549409</v>
      </c>
      <c r="I58" s="3081">
        <f t="shared" si="41"/>
        <v>0.81457590433009563</v>
      </c>
      <c r="J58" s="3194">
        <v>0.95157203193410356</v>
      </c>
      <c r="K58" s="3194">
        <v>18.135648175372943</v>
      </c>
      <c r="L58" s="3194">
        <v>9.9860038410790501</v>
      </c>
      <c r="M58" s="3460">
        <v>-2.2731408107523876</v>
      </c>
    </row>
    <row r="59" spans="2:13" ht="18" customHeight="1" x14ac:dyDescent="0.2">
      <c r="B59" s="2634" t="s">
        <v>681</v>
      </c>
      <c r="C59" s="2636" t="s">
        <v>681</v>
      </c>
      <c r="D59" s="3461">
        <v>3.3924136610841491</v>
      </c>
      <c r="E59" s="3461">
        <v>19.19374732429495</v>
      </c>
      <c r="F59" s="3461">
        <v>2.22893539124208</v>
      </c>
      <c r="G59" s="3081">
        <f t="shared" si="39"/>
        <v>5.1000000000000004E-2</v>
      </c>
      <c r="H59" s="3081">
        <f t="shared" si="40"/>
        <v>0.17179503937549406</v>
      </c>
      <c r="I59" s="3081">
        <f t="shared" si="41"/>
        <v>0.81457590433009586</v>
      </c>
      <c r="J59" s="3194">
        <v>0.17301309671529161</v>
      </c>
      <c r="K59" s="3194">
        <v>3.297390577340535</v>
      </c>
      <c r="L59" s="3194">
        <v>1.8156370620143734</v>
      </c>
      <c r="M59" s="3460">
        <v>-0.41329832922770687</v>
      </c>
    </row>
    <row r="60" spans="2:13" ht="18" customHeight="1" x14ac:dyDescent="0.2">
      <c r="B60" s="2634" t="s">
        <v>683</v>
      </c>
      <c r="C60" s="2636" t="s">
        <v>683</v>
      </c>
      <c r="D60" s="3461">
        <v>1.0177240983252447</v>
      </c>
      <c r="E60" s="3461">
        <v>5.7581241972884856</v>
      </c>
      <c r="F60" s="3461">
        <v>0.66868061737262408</v>
      </c>
      <c r="G60" s="3081">
        <f t="shared" si="39"/>
        <v>5.1000000000000004E-2</v>
      </c>
      <c r="H60" s="3081">
        <f t="shared" si="40"/>
        <v>0.17179503937549409</v>
      </c>
      <c r="I60" s="3081">
        <f t="shared" si="41"/>
        <v>0.81457590433009541</v>
      </c>
      <c r="J60" s="3194">
        <v>5.1903929014587485E-2</v>
      </c>
      <c r="K60" s="3194">
        <v>0.98921717320216063</v>
      </c>
      <c r="L60" s="3194">
        <v>0.54469111860431174</v>
      </c>
      <c r="M60" s="3460">
        <v>-0.12398949876831206</v>
      </c>
    </row>
    <row r="61" spans="2:13" ht="18" customHeight="1" x14ac:dyDescent="0.2">
      <c r="B61" s="2634" t="s">
        <v>686</v>
      </c>
      <c r="C61" s="2636" t="s">
        <v>686</v>
      </c>
      <c r="D61" s="3461">
        <v>0.16962068305420744</v>
      </c>
      <c r="E61" s="3461">
        <v>0.95968736621474737</v>
      </c>
      <c r="F61" s="3461">
        <v>0.11144676956210399</v>
      </c>
      <c r="G61" s="3081">
        <f t="shared" si="39"/>
        <v>5.1000000000000004E-2</v>
      </c>
      <c r="H61" s="3081">
        <f t="shared" si="40"/>
        <v>0.17179503937549409</v>
      </c>
      <c r="I61" s="3081">
        <f t="shared" si="41"/>
        <v>0.81457590433009608</v>
      </c>
      <c r="J61" s="3194">
        <v>8.6506548357645797E-3</v>
      </c>
      <c r="K61" s="3194">
        <v>0.16486952886702674</v>
      </c>
      <c r="L61" s="3194">
        <v>9.0781853100718679E-2</v>
      </c>
      <c r="M61" s="3460">
        <v>-2.0664916461385342E-2</v>
      </c>
    </row>
    <row r="62" spans="2:13" ht="18" customHeight="1" x14ac:dyDescent="0.2">
      <c r="B62" s="2634" t="s">
        <v>688</v>
      </c>
      <c r="C62" s="2636" t="s">
        <v>688</v>
      </c>
      <c r="D62" s="3461">
        <v>3.10971252266047</v>
      </c>
      <c r="E62" s="3461">
        <v>17.594268380603705</v>
      </c>
      <c r="F62" s="3461">
        <v>2.0431907753052401</v>
      </c>
      <c r="G62" s="3081">
        <f t="shared" si="39"/>
        <v>5.1000000000000004E-2</v>
      </c>
      <c r="H62" s="3081">
        <f t="shared" si="40"/>
        <v>0.17179503937549409</v>
      </c>
      <c r="I62" s="3081">
        <f t="shared" si="41"/>
        <v>0.81457590433009575</v>
      </c>
      <c r="J62" s="3194">
        <v>0.15859533865568398</v>
      </c>
      <c r="K62" s="3194">
        <v>3.0226080292288242</v>
      </c>
      <c r="L62" s="3194">
        <v>1.6643339735131755</v>
      </c>
      <c r="M62" s="3460">
        <v>-0.3788568017920646</v>
      </c>
    </row>
    <row r="63" spans="2:13" ht="18" customHeight="1" x14ac:dyDescent="0.2">
      <c r="B63" s="2634" t="s">
        <v>689</v>
      </c>
      <c r="C63" s="2636" t="s">
        <v>689</v>
      </c>
      <c r="D63" s="3461">
        <v>2.1485286520199609</v>
      </c>
      <c r="E63" s="3461">
        <v>12.156039972053467</v>
      </c>
      <c r="F63" s="3461">
        <v>1.4116590811199841</v>
      </c>
      <c r="G63" s="3081">
        <f t="shared" si="39"/>
        <v>5.1000000000000004E-2</v>
      </c>
      <c r="H63" s="3081">
        <f t="shared" si="40"/>
        <v>0.17179503937549409</v>
      </c>
      <c r="I63" s="3081">
        <f t="shared" si="41"/>
        <v>0.8145759043300953</v>
      </c>
      <c r="J63" s="3194">
        <v>0.10957496125301801</v>
      </c>
      <c r="K63" s="3194">
        <v>2.0883473656490055</v>
      </c>
      <c r="L63" s="3194">
        <v>1.1499034726091024</v>
      </c>
      <c r="M63" s="3460">
        <v>-0.26175560851088098</v>
      </c>
    </row>
    <row r="64" spans="2:13" ht="18" customHeight="1" x14ac:dyDescent="0.2">
      <c r="B64" s="104" t="s">
        <v>893</v>
      </c>
      <c r="C64" s="2524"/>
      <c r="D64" s="150"/>
      <c r="E64" s="150"/>
      <c r="F64" s="150"/>
      <c r="G64" s="2135"/>
      <c r="H64" s="2135"/>
      <c r="I64" s="2135"/>
      <c r="J64" s="3081">
        <f>IF(SUM(J65:J76)=0,"NO",SUM(J65:J76))</f>
        <v>0.31710561788262825</v>
      </c>
      <c r="K64" s="3081">
        <f>IF(SUM(K65:K76)=0,"NO",SUM(K65:K76))</f>
        <v>426.59948536471001</v>
      </c>
      <c r="L64" s="3081">
        <f>IF(SUM(L65:L76)=0,"NO",SUM(L65:L76))</f>
        <v>158.67836651875066</v>
      </c>
      <c r="M64" s="3193">
        <f>IF(SUM(M65:M76)=0,"NO",SUM(M65:M76))</f>
        <v>-49.586267324247999</v>
      </c>
    </row>
    <row r="65" spans="2:13" ht="18" customHeight="1" x14ac:dyDescent="0.2">
      <c r="B65" s="2634" t="s">
        <v>671</v>
      </c>
      <c r="C65" s="2636" t="s">
        <v>671</v>
      </c>
      <c r="D65" s="3461">
        <v>0.95385072042120911</v>
      </c>
      <c r="E65" s="3461">
        <v>54.230756440463679</v>
      </c>
      <c r="F65" s="3461">
        <v>2.3960426929180838</v>
      </c>
      <c r="G65" s="3081">
        <f>IF(SUM(D65)=0,"NA",J65/D65)</f>
        <v>3.4999999999999996E-3</v>
      </c>
      <c r="H65" s="3081">
        <f>IF(SUM(E65)=0,"NA",K65/E65)</f>
        <v>8.2816941048535764E-2</v>
      </c>
      <c r="I65" s="3081">
        <f>IF(SUM(F65)=0,"NA",L65/F65)</f>
        <v>0.69721655282803907</v>
      </c>
      <c r="J65" s="3194">
        <v>3.3384775214742317E-3</v>
      </c>
      <c r="K65" s="3194">
        <v>4.4912253591473821</v>
      </c>
      <c r="L65" s="3194">
        <v>1.670560626785158</v>
      </c>
      <c r="M65" s="3460">
        <v>-0.52204259243709505</v>
      </c>
    </row>
    <row r="66" spans="2:13" ht="18" customHeight="1" x14ac:dyDescent="0.2">
      <c r="B66" s="2634" t="s">
        <v>672</v>
      </c>
      <c r="C66" s="2636" t="s">
        <v>672</v>
      </c>
      <c r="D66" s="3461">
        <v>7.3582769861064712</v>
      </c>
      <c r="E66" s="3461">
        <v>418.35154968357705</v>
      </c>
      <c r="F66" s="3461">
        <v>18.483757916796652</v>
      </c>
      <c r="G66" s="3081">
        <f t="shared" ref="G66:G76" si="42">IF(SUM(D66)=0,"NA",J66/D66)</f>
        <v>3.5000000000000001E-3</v>
      </c>
      <c r="H66" s="3081">
        <f t="shared" ref="H66:H76" si="43">IF(SUM(E66)=0,"NA",K66/E66)</f>
        <v>8.2816941048535778E-2</v>
      </c>
      <c r="I66" s="3081">
        <f t="shared" ref="I66:I76" si="44">IF(SUM(F66)=0,"NA",L66/F66)</f>
        <v>0.69721655282803863</v>
      </c>
      <c r="J66" s="3194">
        <v>2.5753969451372649E-2</v>
      </c>
      <c r="K66" s="3194">
        <v>34.646595627708386</v>
      </c>
      <c r="L66" s="3194">
        <v>12.88718197805693</v>
      </c>
      <c r="M66" s="3460">
        <v>-4.0271857130861628</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16.794585898844861</v>
      </c>
      <c r="E68" s="3461">
        <v>954.84867589816406</v>
      </c>
      <c r="F68" s="3461">
        <v>42.187465986021984</v>
      </c>
      <c r="G68" s="3081">
        <f t="shared" si="42"/>
        <v>3.4999999999999996E-3</v>
      </c>
      <c r="H68" s="3081">
        <f t="shared" si="43"/>
        <v>8.2816941048535792E-2</v>
      </c>
      <c r="I68" s="3081">
        <f t="shared" si="44"/>
        <v>0.69721655282803896</v>
      </c>
      <c r="J68" s="3194">
        <v>5.8781050645957011E-2</v>
      </c>
      <c r="K68" s="3194">
        <v>79.077646502130705</v>
      </c>
      <c r="L68" s="3194">
        <v>29.413799607324393</v>
      </c>
      <c r="M68" s="3460">
        <v>-9.1916785025531382</v>
      </c>
    </row>
    <row r="69" spans="2:13" ht="18" customHeight="1" x14ac:dyDescent="0.2">
      <c r="B69" s="2634" t="s">
        <v>676</v>
      </c>
      <c r="C69" s="2636" t="s">
        <v>676</v>
      </c>
      <c r="D69" s="3461">
        <v>8.7984960781199384E-2</v>
      </c>
      <c r="E69" s="3461">
        <v>5.0023456253636205</v>
      </c>
      <c r="F69" s="3461">
        <v>0.22101542500631893</v>
      </c>
      <c r="G69" s="3081">
        <f t="shared" si="42"/>
        <v>3.5000000000000001E-3</v>
      </c>
      <c r="H69" s="3081">
        <f t="shared" si="43"/>
        <v>8.2816941048535764E-2</v>
      </c>
      <c r="I69" s="3081">
        <f t="shared" si="44"/>
        <v>0.69721655282803907</v>
      </c>
      <c r="J69" s="3194">
        <v>3.0794736273419786E-4</v>
      </c>
      <c r="K69" s="3194">
        <v>0.41427896276013976</v>
      </c>
      <c r="L69" s="3194">
        <v>0.15409561274472966</v>
      </c>
      <c r="M69" s="3460">
        <v>-4.8154177627931651E-2</v>
      </c>
    </row>
    <row r="70" spans="2:13" ht="18" customHeight="1" x14ac:dyDescent="0.2">
      <c r="B70" s="2634" t="s">
        <v>677</v>
      </c>
      <c r="C70" s="2636" t="s">
        <v>677</v>
      </c>
      <c r="D70" s="3461">
        <v>48.237593575586871</v>
      </c>
      <c r="E70" s="3461">
        <v>2742.5268257034495</v>
      </c>
      <c r="F70" s="3461">
        <v>121.17130189900027</v>
      </c>
      <c r="G70" s="3081">
        <f t="shared" si="42"/>
        <v>3.4999999999999996E-3</v>
      </c>
      <c r="H70" s="3081">
        <f t="shared" si="43"/>
        <v>8.2816941048535764E-2</v>
      </c>
      <c r="I70" s="3081">
        <f t="shared" si="44"/>
        <v>0.69721655282803918</v>
      </c>
      <c r="J70" s="3194">
        <v>0.16883157751455402</v>
      </c>
      <c r="K70" s="3194">
        <v>227.12768244831048</v>
      </c>
      <c r="L70" s="3194">
        <v>84.482637411706605</v>
      </c>
      <c r="M70" s="3460">
        <v>-26.400439674675955</v>
      </c>
    </row>
    <row r="71" spans="2:13" ht="18" customHeight="1" x14ac:dyDescent="0.2">
      <c r="B71" s="2634" t="s">
        <v>679</v>
      </c>
      <c r="C71" s="2636" t="s">
        <v>679</v>
      </c>
      <c r="D71" s="3461">
        <v>11.241812062107106</v>
      </c>
      <c r="E71" s="3461">
        <v>639.14820090546482</v>
      </c>
      <c r="F71" s="3461">
        <v>28.239074595105993</v>
      </c>
      <c r="G71" s="3081">
        <f t="shared" si="42"/>
        <v>3.5000000000000001E-3</v>
      </c>
      <c r="H71" s="3081">
        <f t="shared" si="43"/>
        <v>8.2816941048535764E-2</v>
      </c>
      <c r="I71" s="3081">
        <f t="shared" si="44"/>
        <v>0.69721655282803829</v>
      </c>
      <c r="J71" s="3194">
        <v>3.9346342217374874E-2</v>
      </c>
      <c r="K71" s="3194">
        <v>52.932298875665573</v>
      </c>
      <c r="L71" s="3194">
        <v>19.688750244253633</v>
      </c>
      <c r="M71" s="3460">
        <v>-6.1526448394371913</v>
      </c>
    </row>
    <row r="72" spans="2:13" ht="18" customHeight="1" x14ac:dyDescent="0.2">
      <c r="B72" s="2634" t="s">
        <v>681</v>
      </c>
      <c r="C72" s="2636" t="s">
        <v>681</v>
      </c>
      <c r="D72" s="3461">
        <v>2.0439658294740197</v>
      </c>
      <c r="E72" s="3461">
        <v>116.20876380099361</v>
      </c>
      <c r="F72" s="3461">
        <v>5.1343771991101814</v>
      </c>
      <c r="G72" s="3081">
        <f t="shared" si="42"/>
        <v>3.4999999999999996E-3</v>
      </c>
      <c r="H72" s="3081">
        <f t="shared" si="43"/>
        <v>8.2816941048535764E-2</v>
      </c>
      <c r="I72" s="3081">
        <f t="shared" si="44"/>
        <v>0.69721655282803918</v>
      </c>
      <c r="J72" s="3194">
        <v>7.1538804031590682E-3</v>
      </c>
      <c r="K72" s="3194">
        <v>9.6240543410301047</v>
      </c>
      <c r="L72" s="3194">
        <v>3.5797727716824834</v>
      </c>
      <c r="M72" s="3460">
        <v>-1.1186626980794896</v>
      </c>
    </row>
    <row r="73" spans="2:13" ht="18" customHeight="1" x14ac:dyDescent="0.2">
      <c r="B73" s="2634" t="s">
        <v>683</v>
      </c>
      <c r="C73" s="2636" t="s">
        <v>683</v>
      </c>
      <c r="D73" s="3461">
        <v>0.6131897488422059</v>
      </c>
      <c r="E73" s="3461">
        <v>34.862629140298083</v>
      </c>
      <c r="F73" s="3461">
        <v>1.5403131597330544</v>
      </c>
      <c r="G73" s="3081">
        <f t="shared" si="42"/>
        <v>3.5000000000000005E-3</v>
      </c>
      <c r="H73" s="3081">
        <f t="shared" si="43"/>
        <v>8.2816941048535764E-2</v>
      </c>
      <c r="I73" s="3081">
        <f t="shared" si="44"/>
        <v>0.69721655282803863</v>
      </c>
      <c r="J73" s="3194">
        <v>2.1461641209477209E-3</v>
      </c>
      <c r="K73" s="3194">
        <v>2.8872163023090316</v>
      </c>
      <c r="L73" s="3194">
        <v>1.0739318315047441</v>
      </c>
      <c r="M73" s="3460">
        <v>-0.33559880942384684</v>
      </c>
    </row>
    <row r="74" spans="2:13" ht="18" customHeight="1" x14ac:dyDescent="0.2">
      <c r="B74" s="2634" t="s">
        <v>686</v>
      </c>
      <c r="C74" s="2636" t="s">
        <v>686</v>
      </c>
      <c r="D74" s="3461">
        <v>0.10219829147370098</v>
      </c>
      <c r="E74" s="3461">
        <v>5.8104381900496804</v>
      </c>
      <c r="F74" s="3461">
        <v>0.25671885995550903</v>
      </c>
      <c r="G74" s="3081">
        <f t="shared" si="42"/>
        <v>3.5000000000000001E-3</v>
      </c>
      <c r="H74" s="3081">
        <f t="shared" si="43"/>
        <v>8.2816941048535764E-2</v>
      </c>
      <c r="I74" s="3081">
        <f t="shared" si="44"/>
        <v>0.69721655282803885</v>
      </c>
      <c r="J74" s="3194">
        <v>3.5769402015795341E-4</v>
      </c>
      <c r="K74" s="3194">
        <v>0.48120271705150525</v>
      </c>
      <c r="L74" s="3194">
        <v>0.17898863858412406</v>
      </c>
      <c r="M74" s="3460">
        <v>-5.5933134903974474E-2</v>
      </c>
    </row>
    <row r="75" spans="2:13" ht="18" customHeight="1" x14ac:dyDescent="0.2">
      <c r="B75" s="2634" t="s">
        <v>688</v>
      </c>
      <c r="C75" s="2636" t="s">
        <v>688</v>
      </c>
      <c r="D75" s="3461">
        <v>1.8736353436845181</v>
      </c>
      <c r="E75" s="3461">
        <v>106.52470015091083</v>
      </c>
      <c r="F75" s="3461">
        <v>4.7065124325176662</v>
      </c>
      <c r="G75" s="3081">
        <f t="shared" si="42"/>
        <v>3.5000000000000001E-3</v>
      </c>
      <c r="H75" s="3081">
        <f t="shared" si="43"/>
        <v>8.2816941048535764E-2</v>
      </c>
      <c r="I75" s="3081">
        <f t="shared" si="44"/>
        <v>0.69721655282803885</v>
      </c>
      <c r="J75" s="3194">
        <v>6.5577237028958133E-3</v>
      </c>
      <c r="K75" s="3194">
        <v>8.8220498126109312</v>
      </c>
      <c r="L75" s="3194">
        <v>3.2814583740422751</v>
      </c>
      <c r="M75" s="3460">
        <v>-1.0254408065728653</v>
      </c>
    </row>
    <row r="76" spans="2:13" ht="18" customHeight="1" x14ac:dyDescent="0.2">
      <c r="B76" s="2634" t="s">
        <v>689</v>
      </c>
      <c r="C76" s="2636" t="s">
        <v>689</v>
      </c>
      <c r="D76" s="3461">
        <v>1.2945116920002124</v>
      </c>
      <c r="E76" s="3461">
        <v>73.59888374062929</v>
      </c>
      <c r="F76" s="3461">
        <v>3.2517722261031143</v>
      </c>
      <c r="G76" s="3081">
        <f t="shared" si="42"/>
        <v>3.4999999999999996E-3</v>
      </c>
      <c r="H76" s="3081">
        <f t="shared" si="43"/>
        <v>8.281694104853575E-2</v>
      </c>
      <c r="I76" s="3081">
        <f t="shared" si="44"/>
        <v>0.69721655282803874</v>
      </c>
      <c r="J76" s="3194">
        <v>4.5307909220007429E-3</v>
      </c>
      <c r="K76" s="3194">
        <v>6.0952344159857326</v>
      </c>
      <c r="L76" s="3194">
        <v>2.2671894220655711</v>
      </c>
      <c r="M76" s="3460">
        <v>-0.70848637545034343</v>
      </c>
    </row>
    <row r="77" spans="2:13" ht="18" customHeight="1" x14ac:dyDescent="0.2">
      <c r="B77" s="104" t="s">
        <v>894</v>
      </c>
      <c r="C77" s="2524"/>
      <c r="D77" s="150"/>
      <c r="E77" s="150"/>
      <c r="F77" s="150"/>
      <c r="G77" s="2135"/>
      <c r="H77" s="2135"/>
      <c r="I77" s="2135"/>
      <c r="J77" s="3081">
        <f>IF(SUM(J78:J89)=0,"NO",SUM(J78:J89))</f>
        <v>0.95275040856798232</v>
      </c>
      <c r="K77" s="3081">
        <f>IF(SUM(K78:K89)=0,"NO",SUM(K78:K89))</f>
        <v>664.40035565091659</v>
      </c>
      <c r="L77" s="3081">
        <f>IF(SUM(L78:L89)=0,"NO",SUM(L78:L89))</f>
        <v>801.13292045036599</v>
      </c>
      <c r="M77" s="3193">
        <f>IF(SUM(M78:M89)=0,"NO",SUM(M78:M89))</f>
        <v>-177.09747911011598</v>
      </c>
    </row>
    <row r="78" spans="2:13" ht="18" customHeight="1" x14ac:dyDescent="0.2">
      <c r="B78" s="2634" t="s">
        <v>671</v>
      </c>
      <c r="C78" s="2636" t="s">
        <v>671</v>
      </c>
      <c r="D78" s="3461">
        <v>0.4581449465911745</v>
      </c>
      <c r="E78" s="3461">
        <v>192.80578566365315</v>
      </c>
      <c r="F78" s="3461">
        <v>8.422450412383192</v>
      </c>
      <c r="G78" s="3081">
        <f>IF(SUM(D78)=0,"NA",J78/D78)</f>
        <v>2.1893780686944399E-2</v>
      </c>
      <c r="H78" s="3081">
        <f>IF(SUM(E78)=0,"NA",K78/E78)</f>
        <v>3.6278917049506872E-2</v>
      </c>
      <c r="I78" s="3081">
        <f>IF(SUM(F78)=0,"NA",L78/F78)</f>
        <v>0.88605987887040427</v>
      </c>
      <c r="J78" s="3194">
        <v>1.0030524983499029E-2</v>
      </c>
      <c r="K78" s="3194">
        <v>6.9947851047566738</v>
      </c>
      <c r="L78" s="3194">
        <v>7.4627953921882373</v>
      </c>
      <c r="M78" s="3460">
        <v>-0.89297077845721784</v>
      </c>
    </row>
    <row r="79" spans="2:13" ht="18" customHeight="1" x14ac:dyDescent="0.2">
      <c r="B79" s="2634" t="s">
        <v>672</v>
      </c>
      <c r="C79" s="2636" t="s">
        <v>672</v>
      </c>
      <c r="D79" s="3461">
        <v>3.5342610165604897</v>
      </c>
      <c r="E79" s="3461">
        <v>1487.3589179767532</v>
      </c>
      <c r="F79" s="3461">
        <v>64.9731888955275</v>
      </c>
      <c r="G79" s="3081">
        <f t="shared" ref="G79:G89" si="45">IF(SUM(D79)=0,"NA",J79/D79)</f>
        <v>2.1893780686944395E-2</v>
      </c>
      <c r="H79" s="3081">
        <f t="shared" ref="H79:H89" si="46">IF(SUM(E79)=0,"NA",K79/E79)</f>
        <v>3.6278917049506872E-2</v>
      </c>
      <c r="I79" s="3081">
        <f t="shared" ref="I79:I89" si="47">IF(SUM(F79)=0,"NA",L79/F79)</f>
        <v>2.0866123075245846</v>
      </c>
      <c r="J79" s="3194">
        <v>7.7378335586992517E-2</v>
      </c>
      <c r="K79" s="3194">
        <v>53.959770808122926</v>
      </c>
      <c r="L79" s="3194">
        <v>135.57385560852734</v>
      </c>
      <c r="M79" s="3460">
        <v>-84.89235144545944</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8.0666235239088948</v>
      </c>
      <c r="E81" s="3461">
        <v>3394.7590118636076</v>
      </c>
      <c r="F81" s="3461">
        <v>148.29528761803266</v>
      </c>
      <c r="G81" s="3081">
        <f t="shared" si="45"/>
        <v>2.1893780686944399E-2</v>
      </c>
      <c r="H81" s="3081">
        <f t="shared" si="46"/>
        <v>3.6278917049506872E-2</v>
      </c>
      <c r="I81" s="3081">
        <f t="shared" si="47"/>
        <v>0.88605987887040438</v>
      </c>
      <c r="J81" s="3194">
        <v>0.17660888631660793</v>
      </c>
      <c r="K81" s="3194">
        <v>123.15818059446573</v>
      </c>
      <c r="L81" s="3194">
        <v>131.3985045838858</v>
      </c>
      <c r="M81" s="3460">
        <v>-15.722664063550299</v>
      </c>
    </row>
    <row r="82" spans="2:13" ht="18" customHeight="1" x14ac:dyDescent="0.2">
      <c r="B82" s="2634" t="s">
        <v>676</v>
      </c>
      <c r="C82" s="2636" t="s">
        <v>676</v>
      </c>
      <c r="D82" s="3461">
        <v>4.2260140182238184E-2</v>
      </c>
      <c r="E82" s="3461">
        <v>17.784763513638438</v>
      </c>
      <c r="F82" s="3461">
        <v>0.77690245795263801</v>
      </c>
      <c r="G82" s="3081">
        <f t="shared" si="45"/>
        <v>2.1893780686944395E-2</v>
      </c>
      <c r="H82" s="3081">
        <f t="shared" si="46"/>
        <v>3.6278917049506879E-2</v>
      </c>
      <c r="I82" s="3081">
        <f t="shared" si="47"/>
        <v>1.7222416506944411</v>
      </c>
      <c r="J82" s="3194">
        <v>9.2523424094944923E-4</v>
      </c>
      <c r="K82" s="3194">
        <v>0.64521196025638539</v>
      </c>
      <c r="L82" s="3194">
        <v>1.3380137716129199</v>
      </c>
      <c r="M82" s="3460">
        <v>-0.73200095576766444</v>
      </c>
    </row>
    <row r="83" spans="2:13" ht="18" customHeight="1" x14ac:dyDescent="0.2">
      <c r="B83" s="2634" t="s">
        <v>677</v>
      </c>
      <c r="C83" s="2636" t="s">
        <v>677</v>
      </c>
      <c r="D83" s="3461">
        <v>23.169044441896546</v>
      </c>
      <c r="E83" s="3461">
        <v>9750.4640178476038</v>
      </c>
      <c r="F83" s="3461">
        <v>425.93534942623586</v>
      </c>
      <c r="G83" s="3081">
        <f t="shared" si="45"/>
        <v>2.1893780686944399E-2</v>
      </c>
      <c r="H83" s="3081">
        <f t="shared" si="46"/>
        <v>3.6278917049506872E-2</v>
      </c>
      <c r="I83" s="3081">
        <f t="shared" si="47"/>
        <v>0.89803352700003292</v>
      </c>
      <c r="J83" s="3194">
        <v>0.50725797773695103</v>
      </c>
      <c r="K83" s="3194">
        <v>353.7362752976947</v>
      </c>
      <c r="L83" s="3194">
        <v>382.50422411923404</v>
      </c>
      <c r="M83" s="3460">
        <v>-50.258807939122164</v>
      </c>
    </row>
    <row r="84" spans="2:13" ht="18" customHeight="1" x14ac:dyDescent="0.2">
      <c r="B84" s="2634" t="s">
        <v>679</v>
      </c>
      <c r="C84" s="2636" t="s">
        <v>679</v>
      </c>
      <c r="D84" s="3461">
        <v>5.3995654419674146</v>
      </c>
      <c r="E84" s="3461">
        <v>2272.3539024644838</v>
      </c>
      <c r="F84" s="3461">
        <v>99.264594145944798</v>
      </c>
      <c r="G84" s="3081">
        <f t="shared" si="45"/>
        <v>2.1893780686944392E-2</v>
      </c>
      <c r="H84" s="3081">
        <f t="shared" si="46"/>
        <v>3.6278917049506872E-2</v>
      </c>
      <c r="I84" s="3081">
        <f t="shared" si="47"/>
        <v>0.92923046865534653</v>
      </c>
      <c r="J84" s="3194">
        <v>0.11821690159123854</v>
      </c>
      <c r="K84" s="3194">
        <v>82.438538734632232</v>
      </c>
      <c r="L84" s="3194">
        <v>92.239685339119049</v>
      </c>
      <c r="M84" s="3460">
        <v>-14.809609534432024</v>
      </c>
    </row>
    <row r="85" spans="2:13" ht="18" customHeight="1" x14ac:dyDescent="0.2">
      <c r="B85" s="2634" t="s">
        <v>681</v>
      </c>
      <c r="C85" s="2636" t="s">
        <v>681</v>
      </c>
      <c r="D85" s="3461" t="s">
        <v>199</v>
      </c>
      <c r="E85" s="3461">
        <v>338.45336462923444</v>
      </c>
      <c r="F85" s="3461">
        <v>17.398476352710134</v>
      </c>
      <c r="G85" s="3081" t="str">
        <f t="shared" si="45"/>
        <v>NA</v>
      </c>
      <c r="H85" s="3081">
        <f t="shared" si="46"/>
        <v>4.4286234946721237E-2</v>
      </c>
      <c r="I85" s="3081">
        <f t="shared" si="47"/>
        <v>0.95337084561744934</v>
      </c>
      <c r="J85" s="3194">
        <v>2.1493982107497922E-2</v>
      </c>
      <c r="K85" s="3194">
        <v>14.988825224478589</v>
      </c>
      <c r="L85" s="3194">
        <v>16.587200112838456</v>
      </c>
      <c r="M85" s="3460">
        <v>-2.509004511986265</v>
      </c>
    </row>
    <row r="86" spans="2:13" ht="18" customHeight="1" x14ac:dyDescent="0.2">
      <c r="B86" s="2634" t="s">
        <v>683</v>
      </c>
      <c r="C86" s="2636" t="s">
        <v>683</v>
      </c>
      <c r="D86" s="3461">
        <v>0.29452175138004083</v>
      </c>
      <c r="E86" s="3461">
        <v>123.94657649806275</v>
      </c>
      <c r="F86" s="3461">
        <v>5.414432407960625</v>
      </c>
      <c r="G86" s="3081">
        <f t="shared" si="45"/>
        <v>2.1893780686944395E-2</v>
      </c>
      <c r="H86" s="3081">
        <f t="shared" si="46"/>
        <v>3.6278917049506872E-2</v>
      </c>
      <c r="I86" s="3081">
        <f t="shared" si="47"/>
        <v>0.889261927252748</v>
      </c>
      <c r="J86" s="3194">
        <v>6.448194632249377E-3</v>
      </c>
      <c r="K86" s="3194">
        <v>4.4966475673435768</v>
      </c>
      <c r="L86" s="3194">
        <v>4.8148485980828024</v>
      </c>
      <c r="M86" s="3460">
        <v>-0.59138991782714478</v>
      </c>
    </row>
    <row r="87" spans="2:13" ht="18" customHeight="1" x14ac:dyDescent="0.2">
      <c r="B87" s="2634" t="s">
        <v>686</v>
      </c>
      <c r="C87" s="2636" t="s">
        <v>686</v>
      </c>
      <c r="D87" s="3461">
        <v>4.9086958563340125E-2</v>
      </c>
      <c r="E87" s="3461">
        <v>20.657762749677126</v>
      </c>
      <c r="F87" s="3461">
        <v>0.90240540132677072</v>
      </c>
      <c r="G87" s="3081">
        <f t="shared" si="45"/>
        <v>2.1893780686944399E-2</v>
      </c>
      <c r="H87" s="3081">
        <f t="shared" si="46"/>
        <v>3.6278917049506872E-2</v>
      </c>
      <c r="I87" s="3081">
        <f t="shared" si="47"/>
        <v>4.4494610595323225</v>
      </c>
      <c r="J87" s="3194">
        <v>1.074699105374896E-3</v>
      </c>
      <c r="K87" s="3194">
        <v>0.7494412612239294</v>
      </c>
      <c r="L87" s="3194">
        <v>4.0152176931151038</v>
      </c>
      <c r="M87" s="3460">
        <v>-3.3113079130724943</v>
      </c>
    </row>
    <row r="88" spans="2:13" ht="18" customHeight="1" x14ac:dyDescent="0.2">
      <c r="B88" s="2634" t="s">
        <v>688</v>
      </c>
      <c r="C88" s="2636" t="s">
        <v>688</v>
      </c>
      <c r="D88" s="3461" t="s">
        <v>199</v>
      </c>
      <c r="E88" s="3461">
        <v>310.24891757679831</v>
      </c>
      <c r="F88" s="3461">
        <v>15.94860332331762</v>
      </c>
      <c r="G88" s="3081" t="str">
        <f t="shared" si="45"/>
        <v>NA</v>
      </c>
      <c r="H88" s="3081">
        <f t="shared" si="46"/>
        <v>4.428623494672123E-2</v>
      </c>
      <c r="I88" s="3081">
        <f t="shared" si="47"/>
        <v>0.94494141370370088</v>
      </c>
      <c r="J88" s="3194">
        <v>1.9702816931873098E-2</v>
      </c>
      <c r="K88" s="3194">
        <v>13.73975645577204</v>
      </c>
      <c r="L88" s="3194">
        <v>15.070495770935294</v>
      </c>
      <c r="M88" s="3460">
        <v>-2.1654831368207876</v>
      </c>
    </row>
    <row r="89" spans="2:13" ht="18" customHeight="1" x14ac:dyDescent="0.2">
      <c r="B89" s="2634" t="s">
        <v>689</v>
      </c>
      <c r="C89" s="2636" t="s">
        <v>689</v>
      </c>
      <c r="D89" s="3461" t="s">
        <v>199</v>
      </c>
      <c r="E89" s="3461">
        <v>214.35379759851514</v>
      </c>
      <c r="F89" s="3461">
        <v>11.019035023383083</v>
      </c>
      <c r="G89" s="3081" t="str">
        <f t="shared" si="45"/>
        <v>NA</v>
      </c>
      <c r="H89" s="3081">
        <f t="shared" si="46"/>
        <v>4.4286234946721237E-2</v>
      </c>
      <c r="I89" s="3081">
        <f t="shared" si="47"/>
        <v>0.91914395764551782</v>
      </c>
      <c r="J89" s="3194">
        <v>1.3612855334748684E-2</v>
      </c>
      <c r="K89" s="3194">
        <v>9.4929226421697717</v>
      </c>
      <c r="L89" s="3194">
        <v>10.128079460826898</v>
      </c>
      <c r="M89" s="3460">
        <v>-1.2118889136205098</v>
      </c>
    </row>
    <row r="90" spans="2:13" ht="18" customHeight="1" x14ac:dyDescent="0.2">
      <c r="B90" s="88" t="s">
        <v>657</v>
      </c>
      <c r="C90" s="2524" t="s">
        <v>895</v>
      </c>
      <c r="D90" s="150"/>
      <c r="E90" s="150"/>
      <c r="F90" s="150"/>
      <c r="G90" s="2135"/>
      <c r="H90" s="2135"/>
      <c r="I90" s="2135"/>
      <c r="J90" s="3081">
        <f>IF(SUM(J91,J104)=0,"NO",SUM(J91,J104))</f>
        <v>37.925527385040937</v>
      </c>
      <c r="K90" s="3081">
        <f t="shared" ref="K90:M90" si="48">IF(SUM(K91,K104)=0,"NO",SUM(K91,K104))</f>
        <v>5.2206104261157229</v>
      </c>
      <c r="L90" s="3081">
        <f t="shared" si="48"/>
        <v>4.5400792985589415</v>
      </c>
      <c r="M90" s="3193" t="str">
        <f t="shared" si="48"/>
        <v>NO</v>
      </c>
    </row>
    <row r="91" spans="2:13" ht="18" customHeight="1" x14ac:dyDescent="0.2">
      <c r="B91" s="104" t="s">
        <v>896</v>
      </c>
      <c r="C91" s="2524"/>
      <c r="D91" s="150"/>
      <c r="E91" s="150"/>
      <c r="F91" s="150"/>
      <c r="G91" s="2135"/>
      <c r="H91" s="2135"/>
      <c r="I91" s="2135"/>
      <c r="J91" s="3081">
        <f>IF(SUM(J92:J103)=0,"NO",SUM(J92:J103))</f>
        <v>37.925527385040937</v>
      </c>
      <c r="K91" s="3081">
        <f>IF(SUM(K92:K103)=0,"NO",SUM(K92:K103))</f>
        <v>5.2206104261157229</v>
      </c>
      <c r="L91" s="3081">
        <f>IF(SUM(L92:L103)=0,"NO",SUM(L92:L103))</f>
        <v>4.5400792985589415</v>
      </c>
      <c r="M91" s="3193" t="str">
        <f>IF(SUM(M92:M103)=0,"NO",SUM(M92:M103))</f>
        <v>NO</v>
      </c>
    </row>
    <row r="92" spans="2:13" ht="18" customHeight="1" x14ac:dyDescent="0.2">
      <c r="B92" s="2634" t="s">
        <v>671</v>
      </c>
      <c r="C92" s="2636" t="s">
        <v>671</v>
      </c>
      <c r="D92" s="3461">
        <v>0.66546450942978119</v>
      </c>
      <c r="E92" s="3461">
        <v>2.3034452424731078</v>
      </c>
      <c r="F92" s="3461">
        <v>4.7797805618062801E-2</v>
      </c>
      <c r="G92" s="3081">
        <f>IF(SUM(D92)=0,"NA",J92/D92)</f>
        <v>0.6</v>
      </c>
      <c r="H92" s="3081">
        <f>IF(SUM(E92)=0,"NA",K92/E92)</f>
        <v>2.3860960072225622E-2</v>
      </c>
      <c r="I92" s="3081">
        <f>IF(SUM(F92)=0,"NA",L92/F92)</f>
        <v>0.99999999999999867</v>
      </c>
      <c r="J92" s="3194">
        <v>0.39927870565786872</v>
      </c>
      <c r="K92" s="3194">
        <v>5.4962414959208894E-2</v>
      </c>
      <c r="L92" s="3194">
        <v>4.7797805618062739E-2</v>
      </c>
      <c r="M92" s="3460" t="s">
        <v>199</v>
      </c>
    </row>
    <row r="93" spans="2:13" ht="18" customHeight="1" x14ac:dyDescent="0.2">
      <c r="B93" s="2634" t="s">
        <v>672</v>
      </c>
      <c r="C93" s="2636" t="s">
        <v>672</v>
      </c>
      <c r="D93" s="3461">
        <v>5.1335833584583135</v>
      </c>
      <c r="E93" s="3461">
        <v>17.769434727649692</v>
      </c>
      <c r="F93" s="3461">
        <v>0.36872592905362739</v>
      </c>
      <c r="G93" s="3081">
        <f t="shared" ref="G93:G103" si="49">IF(SUM(D93)=0,"NA",J93/D93)</f>
        <v>0.6</v>
      </c>
      <c r="H93" s="3081">
        <f t="shared" ref="H93:H103" si="50">IF(SUM(E93)=0,"NA",K93/E93)</f>
        <v>2.3860960072225622E-2</v>
      </c>
      <c r="I93" s="3081">
        <f t="shared" ref="I93:I103" si="51">IF(SUM(F93)=0,"NA",L93/F93)</f>
        <v>0.99999999999999745</v>
      </c>
      <c r="J93" s="3194">
        <v>3.0801500150749881</v>
      </c>
      <c r="K93" s="3194">
        <v>0.42399577254246867</v>
      </c>
      <c r="L93" s="3194">
        <v>0.36872592905362644</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11.71692868388865</v>
      </c>
      <c r="E95" s="3461">
        <v>40.55708944783008</v>
      </c>
      <c r="F95" s="3461">
        <v>0.84158279177517736</v>
      </c>
      <c r="G95" s="3081">
        <f t="shared" si="49"/>
        <v>0.6</v>
      </c>
      <c r="H95" s="3081">
        <f t="shared" si="50"/>
        <v>2.3860960072225622E-2</v>
      </c>
      <c r="I95" s="3081">
        <f t="shared" si="51"/>
        <v>0.99999999999999623</v>
      </c>
      <c r="J95" s="3194">
        <v>7.03015721033319</v>
      </c>
      <c r="K95" s="3194">
        <v>0.96773109196035667</v>
      </c>
      <c r="L95" s="3194">
        <v>0.84158279177517414</v>
      </c>
      <c r="M95" s="3460" t="s">
        <v>199</v>
      </c>
    </row>
    <row r="96" spans="2:13" ht="18" customHeight="1" x14ac:dyDescent="0.2">
      <c r="B96" s="2634" t="s">
        <v>676</v>
      </c>
      <c r="C96" s="2636" t="s">
        <v>676</v>
      </c>
      <c r="D96" s="3461">
        <v>6.1383681439800171E-2</v>
      </c>
      <c r="E96" s="3461">
        <v>0.21247406431809446</v>
      </c>
      <c r="F96" s="3461">
        <v>4.4089583020659202E-3</v>
      </c>
      <c r="G96" s="3081">
        <f t="shared" si="49"/>
        <v>0.60000000000000009</v>
      </c>
      <c r="H96" s="3081">
        <f t="shared" si="50"/>
        <v>2.3860960072225625E-2</v>
      </c>
      <c r="I96" s="3081">
        <f t="shared" si="51"/>
        <v>0.99999999999999645</v>
      </c>
      <c r="J96" s="3194">
        <v>3.683020886388011E-2</v>
      </c>
      <c r="K96" s="3194">
        <v>5.0698351650775514E-3</v>
      </c>
      <c r="L96" s="3194">
        <v>4.4089583020659046E-3</v>
      </c>
      <c r="M96" s="3460" t="s">
        <v>199</v>
      </c>
    </row>
    <row r="97" spans="2:13" ht="18" customHeight="1" x14ac:dyDescent="0.2">
      <c r="B97" s="2634" t="s">
        <v>677</v>
      </c>
      <c r="C97" s="2636" t="s">
        <v>677</v>
      </c>
      <c r="D97" s="3461">
        <v>33.65349090544894</v>
      </c>
      <c r="E97" s="3461">
        <v>116.48851654792577</v>
      </c>
      <c r="F97" s="3461">
        <v>2.4172033126848906</v>
      </c>
      <c r="G97" s="3081">
        <f t="shared" si="49"/>
        <v>0.60000000000000009</v>
      </c>
      <c r="H97" s="3081">
        <f t="shared" si="50"/>
        <v>2.3860960072225622E-2</v>
      </c>
      <c r="I97" s="3081">
        <f t="shared" si="51"/>
        <v>0.99999999999999689</v>
      </c>
      <c r="J97" s="3194">
        <v>20.192094543269366</v>
      </c>
      <c r="K97" s="3194">
        <v>2.7795278422228504</v>
      </c>
      <c r="L97" s="3194">
        <v>2.4172033126848831</v>
      </c>
      <c r="M97" s="3460" t="s">
        <v>199</v>
      </c>
    </row>
    <row r="98" spans="2:13" ht="18" customHeight="1" x14ac:dyDescent="0.2">
      <c r="B98" s="2634" t="s">
        <v>679</v>
      </c>
      <c r="C98" s="2636" t="s">
        <v>679</v>
      </c>
      <c r="D98" s="3461">
        <v>7.8429745754224207</v>
      </c>
      <c r="E98" s="3461">
        <v>27.147747500575914</v>
      </c>
      <c r="F98" s="3461">
        <v>0.56333128049859738</v>
      </c>
      <c r="G98" s="3081">
        <f t="shared" si="49"/>
        <v>0.60000000000000009</v>
      </c>
      <c r="H98" s="3081">
        <f t="shared" si="50"/>
        <v>2.3860960072225622E-2</v>
      </c>
      <c r="I98" s="3081">
        <f t="shared" si="51"/>
        <v>0.999999999999997</v>
      </c>
      <c r="J98" s="3194">
        <v>4.7057847452534531</v>
      </c>
      <c r="K98" s="3194">
        <v>0.64777131916210484</v>
      </c>
      <c r="L98" s="3194">
        <v>0.56333128049859571</v>
      </c>
      <c r="M98" s="3460" t="s">
        <v>199</v>
      </c>
    </row>
    <row r="99" spans="2:13" ht="18" customHeight="1" x14ac:dyDescent="0.2">
      <c r="B99" s="2634" t="s">
        <v>681</v>
      </c>
      <c r="C99" s="2636" t="s">
        <v>681</v>
      </c>
      <c r="D99" s="3461">
        <v>1.4259953773495313</v>
      </c>
      <c r="E99" s="3461">
        <v>4.9359540910138033</v>
      </c>
      <c r="F99" s="3461">
        <v>0.10242386918156317</v>
      </c>
      <c r="G99" s="3081">
        <f t="shared" si="49"/>
        <v>0.6</v>
      </c>
      <c r="H99" s="3081">
        <f t="shared" si="50"/>
        <v>2.3860960072225622E-2</v>
      </c>
      <c r="I99" s="3081">
        <f t="shared" si="51"/>
        <v>0.99999999999999822</v>
      </c>
      <c r="J99" s="3194">
        <v>0.8555972264097188</v>
      </c>
      <c r="K99" s="3194">
        <v>0.11777660348401907</v>
      </c>
      <c r="L99" s="3194">
        <v>0.10242386918156299</v>
      </c>
      <c r="M99" s="3460" t="s">
        <v>199</v>
      </c>
    </row>
    <row r="100" spans="2:13" ht="18" customHeight="1" x14ac:dyDescent="0.2">
      <c r="B100" s="2634" t="s">
        <v>683</v>
      </c>
      <c r="C100" s="2636" t="s">
        <v>683</v>
      </c>
      <c r="D100" s="3461">
        <v>0.4277986132048594</v>
      </c>
      <c r="E100" s="3461">
        <v>1.480786227304141</v>
      </c>
      <c r="F100" s="3461">
        <v>3.0727160754468949E-2</v>
      </c>
      <c r="G100" s="3081">
        <f t="shared" si="49"/>
        <v>0.60000000000000009</v>
      </c>
      <c r="H100" s="3081">
        <f t="shared" si="50"/>
        <v>2.3860960072225622E-2</v>
      </c>
      <c r="I100" s="3081">
        <f t="shared" si="51"/>
        <v>0.999999999999995</v>
      </c>
      <c r="J100" s="3194">
        <v>0.25667916792291567</v>
      </c>
      <c r="K100" s="3194">
        <v>3.5332981045205721E-2</v>
      </c>
      <c r="L100" s="3194">
        <v>3.0727160754468796E-2</v>
      </c>
      <c r="M100" s="3460" t="s">
        <v>199</v>
      </c>
    </row>
    <row r="101" spans="2:13" ht="18" customHeight="1" x14ac:dyDescent="0.2">
      <c r="B101" s="2634" t="s">
        <v>686</v>
      </c>
      <c r="C101" s="2636" t="s">
        <v>686</v>
      </c>
      <c r="D101" s="3461">
        <v>7.1299768867476562E-2</v>
      </c>
      <c r="E101" s="3461">
        <v>0.24679770455069014</v>
      </c>
      <c r="F101" s="3461">
        <v>5.1211934590781579E-3</v>
      </c>
      <c r="G101" s="3081">
        <f t="shared" si="49"/>
        <v>0.6</v>
      </c>
      <c r="H101" s="3081">
        <f t="shared" si="50"/>
        <v>2.3860960072225622E-2</v>
      </c>
      <c r="I101" s="3081">
        <f t="shared" si="51"/>
        <v>0.99999999999999911</v>
      </c>
      <c r="J101" s="3194">
        <v>4.2779861320485939E-2</v>
      </c>
      <c r="K101" s="3194">
        <v>5.8888301742009534E-3</v>
      </c>
      <c r="L101" s="3194">
        <v>5.1211934590781535E-3</v>
      </c>
      <c r="M101" s="3460" t="s">
        <v>199</v>
      </c>
    </row>
    <row r="102" spans="2:13" ht="18" customHeight="1" x14ac:dyDescent="0.2">
      <c r="B102" s="2634" t="s">
        <v>688</v>
      </c>
      <c r="C102" s="2636" t="s">
        <v>688</v>
      </c>
      <c r="D102" s="3461">
        <v>1.3071624292370705</v>
      </c>
      <c r="E102" s="3461">
        <v>4.5246245834293202</v>
      </c>
      <c r="F102" s="3461">
        <v>9.3888546749766238E-2</v>
      </c>
      <c r="G102" s="3081">
        <f t="shared" si="49"/>
        <v>0.6</v>
      </c>
      <c r="H102" s="3081">
        <f t="shared" si="50"/>
        <v>2.3860960072225622E-2</v>
      </c>
      <c r="I102" s="3081">
        <f t="shared" si="51"/>
        <v>0.99999999999999734</v>
      </c>
      <c r="J102" s="3194">
        <v>0.78429745754224223</v>
      </c>
      <c r="K102" s="3194">
        <v>0.10796188652701749</v>
      </c>
      <c r="L102" s="3194">
        <v>9.3888546749765989E-2</v>
      </c>
      <c r="M102" s="3460" t="s">
        <v>199</v>
      </c>
    </row>
    <row r="103" spans="2:13" ht="18" customHeight="1" x14ac:dyDescent="0.2">
      <c r="B103" s="2634" t="s">
        <v>689</v>
      </c>
      <c r="C103" s="2636" t="s">
        <v>689</v>
      </c>
      <c r="D103" s="3461">
        <v>0.90313040565470326</v>
      </c>
      <c r="E103" s="3461">
        <v>3.126104257642075</v>
      </c>
      <c r="F103" s="3461">
        <v>6.4868450481656667E-2</v>
      </c>
      <c r="G103" s="3081">
        <f t="shared" si="49"/>
        <v>0.59999999999999987</v>
      </c>
      <c r="H103" s="3081">
        <f t="shared" si="50"/>
        <v>2.3860960072225622E-2</v>
      </c>
      <c r="I103" s="3081">
        <f t="shared" si="51"/>
        <v>0.99999999999999856</v>
      </c>
      <c r="J103" s="3194">
        <v>0.54187824339282187</v>
      </c>
      <c r="K103" s="3194">
        <v>7.4591848873212074E-2</v>
      </c>
      <c r="L103" s="3194">
        <v>6.486845048165657E-2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0.21556691007223733</v>
      </c>
      <c r="K117" s="3081">
        <f>IF(SUM(K118:K129)=0,"NO",SUM(K118:K129))</f>
        <v>24.230691087617686</v>
      </c>
      <c r="L117" s="3081">
        <f>IF(SUM(L118:L129)=0,"NO",SUM(L118:L129))</f>
        <v>27.972516377216387</v>
      </c>
      <c r="M117" s="3193">
        <f>IF(SUM(M118:M129)=0,"NO",SUM(M118:M129))</f>
        <v>-15.463828641180704</v>
      </c>
    </row>
    <row r="118" spans="2:13" ht="18" customHeight="1" x14ac:dyDescent="0.2">
      <c r="B118" s="2634" t="s">
        <v>671</v>
      </c>
      <c r="C118" s="2636" t="s">
        <v>671</v>
      </c>
      <c r="D118" s="3461">
        <v>0.6481748173316374</v>
      </c>
      <c r="E118" s="3461">
        <v>5.0572711753649449</v>
      </c>
      <c r="F118" s="3461">
        <v>0.45729641255548986</v>
      </c>
      <c r="G118" s="4443">
        <f>IF(SUM(D118)=0,"NA",J118/D118)</f>
        <v>3.5013414323516183E-3</v>
      </c>
      <c r="H118" s="3081">
        <f>IF(SUM(E118)=0,"NA",K118/E118)</f>
        <v>5.0442206960320556E-2</v>
      </c>
      <c r="I118" s="3081">
        <f>IF(SUM(F118)=0,"NA",L118/F118)</f>
        <v>0.64398872339210078</v>
      </c>
      <c r="J118" s="3194">
        <v>2.269481343330204E-3</v>
      </c>
      <c r="K118" s="3194">
        <v>0.25509991928222214</v>
      </c>
      <c r="L118" s="3194">
        <v>0.29449373293339737</v>
      </c>
      <c r="M118" s="3460">
        <v>-0.16280267962209244</v>
      </c>
    </row>
    <row r="119" spans="2:13" ht="18" customHeight="1" x14ac:dyDescent="0.2">
      <c r="B119" s="2634" t="s">
        <v>672</v>
      </c>
      <c r="C119" s="2636" t="s">
        <v>672</v>
      </c>
      <c r="D119" s="3461">
        <v>5.000205733701204</v>
      </c>
      <c r="E119" s="3461">
        <v>39.013234781386728</v>
      </c>
      <c r="F119" s="3461">
        <v>3.5277151825709221</v>
      </c>
      <c r="G119" s="4443">
        <f t="shared" ref="G119:G129" si="77">IF(SUM(D119)=0,"NA",J119/D119)</f>
        <v>3.5013414323516183E-3</v>
      </c>
      <c r="H119" s="3081">
        <f t="shared" ref="H119:H129" si="78">IF(SUM(E119)=0,"NA",K119/E119)</f>
        <v>5.0442206960320556E-2</v>
      </c>
      <c r="I119" s="3081">
        <f t="shared" ref="I119:I129" si="79">IF(SUM(F119)=0,"NA",L119/F119)</f>
        <v>0.64398872339210078</v>
      </c>
      <c r="J119" s="3194">
        <v>1.7507427505690148E-2</v>
      </c>
      <c r="K119" s="3194">
        <v>1.9679136630342857</v>
      </c>
      <c r="L119" s="3194">
        <v>2.27180879691478</v>
      </c>
      <c r="M119" s="3460">
        <v>-1.2559063856561419</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11.412506605160615</v>
      </c>
      <c r="E121" s="3461">
        <v>89.044096051961347</v>
      </c>
      <c r="F121" s="3461">
        <v>8.0516832639234472</v>
      </c>
      <c r="G121" s="4443">
        <f t="shared" si="77"/>
        <v>3.5013414323516183E-3</v>
      </c>
      <c r="H121" s="3081">
        <f t="shared" si="78"/>
        <v>5.0442206960320569E-2</v>
      </c>
      <c r="I121" s="3081">
        <f t="shared" si="79"/>
        <v>0.64398872339210089</v>
      </c>
      <c r="J121" s="3194">
        <v>3.9959082223635374E-2</v>
      </c>
      <c r="K121" s="3194">
        <v>4.4915807216476979</v>
      </c>
      <c r="L121" s="3194">
        <v>5.185193226291605</v>
      </c>
      <c r="M121" s="3460">
        <v>-2.8664900376318423</v>
      </c>
    </row>
    <row r="122" spans="2:13" ht="18" customHeight="1" x14ac:dyDescent="0.2">
      <c r="B122" s="2634" t="s">
        <v>676</v>
      </c>
      <c r="C122" s="2636" t="s">
        <v>676</v>
      </c>
      <c r="D122" s="3461">
        <v>5.9788848151314071E-2</v>
      </c>
      <c r="E122" s="3461">
        <v>0.46649207941876286</v>
      </c>
      <c r="F122" s="3461">
        <v>4.2181869827922935E-2</v>
      </c>
      <c r="G122" s="4443">
        <f t="shared" si="77"/>
        <v>3.5013414323516179E-3</v>
      </c>
      <c r="H122" s="3081">
        <f t="shared" si="78"/>
        <v>5.0442206960320563E-2</v>
      </c>
      <c r="I122" s="3081">
        <f t="shared" si="79"/>
        <v>0.64398872339210067</v>
      </c>
      <c r="J122" s="3194">
        <v>2.0934117122477539E-4</v>
      </c>
      <c r="K122" s="3194">
        <v>2.3530890015391534E-2</v>
      </c>
      <c r="L122" s="3194">
        <v>2.7164648500775861E-2</v>
      </c>
      <c r="M122" s="3460">
        <v>-1.5017221327147064E-2</v>
      </c>
    </row>
    <row r="123" spans="2:13" ht="18" customHeight="1" x14ac:dyDescent="0.2">
      <c r="B123" s="2634" t="s">
        <v>677</v>
      </c>
      <c r="C123" s="2636" t="s">
        <v>677</v>
      </c>
      <c r="D123" s="3461">
        <v>32.779126476485672</v>
      </c>
      <c r="E123" s="3461">
        <v>255.75342801131296</v>
      </c>
      <c r="F123" s="3461">
        <v>23.126132863520493</v>
      </c>
      <c r="G123" s="4443">
        <f t="shared" si="77"/>
        <v>3.5013414323516174E-3</v>
      </c>
      <c r="H123" s="3081">
        <f t="shared" si="78"/>
        <v>5.0442206960320563E-2</v>
      </c>
      <c r="I123" s="3081">
        <f t="shared" si="79"/>
        <v>0.64398872339210078</v>
      </c>
      <c r="J123" s="3194">
        <v>0.11477091364841317</v>
      </c>
      <c r="K123" s="3194">
        <v>12.900767346558094</v>
      </c>
      <c r="L123" s="3194">
        <v>14.892968779774671</v>
      </c>
      <c r="M123" s="3460">
        <v>-8.2331640837458178</v>
      </c>
    </row>
    <row r="124" spans="2:13" ht="18" customHeight="1" x14ac:dyDescent="0.2">
      <c r="B124" s="2634" t="s">
        <v>679</v>
      </c>
      <c r="C124" s="2636" t="s">
        <v>679</v>
      </c>
      <c r="D124" s="3461">
        <v>7.6392032042657263</v>
      </c>
      <c r="E124" s="3461">
        <v>59.603553138229707</v>
      </c>
      <c r="F124" s="3461">
        <v>5.3895648622611301</v>
      </c>
      <c r="G124" s="4443">
        <f t="shared" si="77"/>
        <v>3.5013414323516183E-3</v>
      </c>
      <c r="H124" s="3081">
        <f t="shared" si="78"/>
        <v>5.0442206960320563E-2</v>
      </c>
      <c r="I124" s="3081">
        <f t="shared" si="79"/>
        <v>0.643988723392101</v>
      </c>
      <c r="J124" s="3194">
        <v>2.674745868924883E-2</v>
      </c>
      <c r="K124" s="3194">
        <v>3.0065347629690469</v>
      </c>
      <c r="L124" s="3194">
        <v>3.4708189952864696</v>
      </c>
      <c r="M124" s="3460">
        <v>-1.9187458669746609</v>
      </c>
    </row>
    <row r="125" spans="2:13" ht="18" customHeight="1" x14ac:dyDescent="0.2">
      <c r="B125" s="2634" t="s">
        <v>681</v>
      </c>
      <c r="C125" s="2636" t="s">
        <v>681</v>
      </c>
      <c r="D125" s="3461">
        <v>1.388946037139223</v>
      </c>
      <c r="E125" s="3461">
        <v>10.837009661496312</v>
      </c>
      <c r="F125" s="3461">
        <v>0.97992088404747835</v>
      </c>
      <c r="G125" s="4443">
        <f t="shared" si="77"/>
        <v>3.5013414323516183E-3</v>
      </c>
      <c r="H125" s="3081">
        <f t="shared" si="78"/>
        <v>5.0442206960320563E-2</v>
      </c>
      <c r="I125" s="3081">
        <f t="shared" si="79"/>
        <v>0.64398872339210089</v>
      </c>
      <c r="J125" s="3194">
        <v>4.8631743071361512E-3</v>
      </c>
      <c r="K125" s="3194">
        <v>0.54664268417619044</v>
      </c>
      <c r="L125" s="3194">
        <v>0.63105799914299454</v>
      </c>
      <c r="M125" s="3460">
        <v>-0.34886288490448386</v>
      </c>
    </row>
    <row r="126" spans="2:13" ht="18" customHeight="1" x14ac:dyDescent="0.2">
      <c r="B126" s="2634" t="s">
        <v>683</v>
      </c>
      <c r="C126" s="2636" t="s">
        <v>683</v>
      </c>
      <c r="D126" s="3461">
        <v>0.41668381114176695</v>
      </c>
      <c r="E126" s="3461">
        <v>3.2511028984488934</v>
      </c>
      <c r="F126" s="3461">
        <v>0.29397626521424353</v>
      </c>
      <c r="G126" s="4443">
        <f t="shared" si="77"/>
        <v>3.5013414323516187E-3</v>
      </c>
      <c r="H126" s="3081">
        <f t="shared" si="78"/>
        <v>5.0442206960320569E-2</v>
      </c>
      <c r="I126" s="3081">
        <f t="shared" si="79"/>
        <v>0.64398872339210089</v>
      </c>
      <c r="J126" s="3194">
        <v>1.4589522921408457E-3</v>
      </c>
      <c r="K126" s="3194">
        <v>0.16399280525285714</v>
      </c>
      <c r="L126" s="3194">
        <v>0.18931739974289835</v>
      </c>
      <c r="M126" s="3460">
        <v>-0.10465886547134515</v>
      </c>
    </row>
    <row r="127" spans="2:13" ht="18" customHeight="1" x14ac:dyDescent="0.2">
      <c r="B127" s="2634" t="s">
        <v>686</v>
      </c>
      <c r="C127" s="2636" t="s">
        <v>686</v>
      </c>
      <c r="D127" s="3461">
        <v>6.9447301856961158E-2</v>
      </c>
      <c r="E127" s="3461">
        <v>0.54185048307481554</v>
      </c>
      <c r="F127" s="3461">
        <v>4.8996044202373912E-2</v>
      </c>
      <c r="G127" s="4443">
        <f t="shared" si="77"/>
        <v>3.5013414323516183E-3</v>
      </c>
      <c r="H127" s="3081">
        <f t="shared" si="78"/>
        <v>5.0442206960320563E-2</v>
      </c>
      <c r="I127" s="3081">
        <f t="shared" si="79"/>
        <v>0.64398872339210078</v>
      </c>
      <c r="J127" s="3194">
        <v>2.4315871535680758E-4</v>
      </c>
      <c r="K127" s="3194">
        <v>2.7332134208809519E-2</v>
      </c>
      <c r="L127" s="3194">
        <v>3.1552899957149716E-2</v>
      </c>
      <c r="M127" s="3460">
        <v>-1.7443144245224189E-2</v>
      </c>
    </row>
    <row r="128" spans="2:13" ht="18" customHeight="1" x14ac:dyDescent="0.2">
      <c r="B128" s="2634" t="s">
        <v>688</v>
      </c>
      <c r="C128" s="2636" t="s">
        <v>688</v>
      </c>
      <c r="D128" s="3461">
        <v>1.273200534044288</v>
      </c>
      <c r="E128" s="3461">
        <v>9.9339255230382868</v>
      </c>
      <c r="F128" s="3461">
        <v>0.89826081037685512</v>
      </c>
      <c r="G128" s="4443">
        <f t="shared" si="77"/>
        <v>3.5013414323516183E-3</v>
      </c>
      <c r="H128" s="3081">
        <f t="shared" si="78"/>
        <v>5.0442206960320556E-2</v>
      </c>
      <c r="I128" s="3081">
        <f t="shared" si="79"/>
        <v>0.64398872339210089</v>
      </c>
      <c r="J128" s="3194">
        <v>4.4579097815414725E-3</v>
      </c>
      <c r="K128" s="3194">
        <v>0.50108912716150789</v>
      </c>
      <c r="L128" s="3194">
        <v>0.57846983254774498</v>
      </c>
      <c r="M128" s="3460">
        <v>-0.31979097782911015</v>
      </c>
    </row>
    <row r="129" spans="2:13" ht="18" customHeight="1" x14ac:dyDescent="0.2">
      <c r="B129" s="2634" t="s">
        <v>689</v>
      </c>
      <c r="C129" s="2636" t="s">
        <v>689</v>
      </c>
      <c r="D129" s="3461">
        <v>0.87966582352150802</v>
      </c>
      <c r="E129" s="3461">
        <v>6.8634394522809963</v>
      </c>
      <c r="F129" s="3461">
        <v>0.62061655989673625</v>
      </c>
      <c r="G129" s="4443">
        <f t="shared" si="77"/>
        <v>3.5013414323516183E-3</v>
      </c>
      <c r="H129" s="3081">
        <f t="shared" si="78"/>
        <v>5.0442206960320569E-2</v>
      </c>
      <c r="I129" s="3081">
        <f t="shared" si="79"/>
        <v>0.643988723392101</v>
      </c>
      <c r="J129" s="3194">
        <v>3.0800103945195626E-3</v>
      </c>
      <c r="K129" s="3194">
        <v>0.34620703331158725</v>
      </c>
      <c r="L129" s="3194">
        <v>0.39967006612389655</v>
      </c>
      <c r="M129" s="3460">
        <v>-0.22094649377283973</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57.493566696849733</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57.493566696849733</v>
      </c>
      <c r="L131" s="3196"/>
      <c r="M131" s="3193" t="str">
        <f>IF(SUM(M132:M143)=0,"NO",SUM(M132:M143))</f>
        <v>NO</v>
      </c>
    </row>
    <row r="132" spans="2:13" ht="18" customHeight="1" x14ac:dyDescent="0.2">
      <c r="B132" s="2634" t="s">
        <v>671</v>
      </c>
      <c r="C132" s="2636" t="s">
        <v>671</v>
      </c>
      <c r="D132" s="3461" t="s">
        <v>199</v>
      </c>
      <c r="E132" s="3461">
        <v>0.80318750052421284</v>
      </c>
      <c r="F132" s="346"/>
      <c r="G132" s="3668" t="str">
        <f>IF(SUM(D132)=0,"NA",J132/D132)</f>
        <v>NA</v>
      </c>
      <c r="H132" s="3081">
        <f>IF(SUM(E132)=0,"NA",K132/E132)</f>
        <v>0.75361030882026236</v>
      </c>
      <c r="I132" s="4253"/>
      <c r="J132" s="3194" t="s">
        <v>199</v>
      </c>
      <c r="K132" s="3194">
        <v>0.60529038031062665</v>
      </c>
      <c r="L132" s="3196"/>
      <c r="M132" s="3460" t="s">
        <v>199</v>
      </c>
    </row>
    <row r="133" spans="2:13" ht="18" customHeight="1" x14ac:dyDescent="0.2">
      <c r="B133" s="2634" t="s">
        <v>672</v>
      </c>
      <c r="C133" s="2636" t="s">
        <v>672</v>
      </c>
      <c r="D133" s="3461" t="s">
        <v>199</v>
      </c>
      <c r="E133" s="3461">
        <v>6.1960178611867871</v>
      </c>
      <c r="F133" s="346"/>
      <c r="G133" s="3668" t="str">
        <f t="shared" ref="G133:G143" si="80">IF(SUM(D133)=0,"NA",J133/D133)</f>
        <v>NA</v>
      </c>
      <c r="H133" s="3081">
        <f t="shared" ref="H133:H143" si="81">IF(SUM(E133)=0,"NA",K133/E133)</f>
        <v>0.75361030882026214</v>
      </c>
      <c r="I133" s="4253"/>
      <c r="J133" s="3194" t="s">
        <v>199</v>
      </c>
      <c r="K133" s="3194">
        <v>4.6693829338248349</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14.141837062801324</v>
      </c>
      <c r="F135" s="346"/>
      <c r="G135" s="3668" t="str">
        <f t="shared" si="80"/>
        <v>NA</v>
      </c>
      <c r="H135" s="3081">
        <f t="shared" si="81"/>
        <v>0.75361030882026225</v>
      </c>
      <c r="I135" s="4253"/>
      <c r="J135" s="3194" t="s">
        <v>199</v>
      </c>
      <c r="K135" s="3194">
        <v>10.657434196183535</v>
      </c>
      <c r="L135" s="3196"/>
      <c r="M135" s="3460" t="s">
        <v>199</v>
      </c>
    </row>
    <row r="136" spans="2:13" ht="18" customHeight="1" x14ac:dyDescent="0.2">
      <c r="B136" s="2634" t="s">
        <v>676</v>
      </c>
      <c r="C136" s="2636" t="s">
        <v>676</v>
      </c>
      <c r="D136" s="3461" t="s">
        <v>199</v>
      </c>
      <c r="E136" s="3461">
        <v>7.4087505749711138E-2</v>
      </c>
      <c r="F136" s="346"/>
      <c r="G136" s="3668" t="str">
        <f t="shared" si="80"/>
        <v>NA</v>
      </c>
      <c r="H136" s="3081">
        <f t="shared" si="81"/>
        <v>0.75361030882026225</v>
      </c>
      <c r="I136" s="4253"/>
      <c r="J136" s="3194" t="s">
        <v>199</v>
      </c>
      <c r="K136" s="3194">
        <v>5.5833108087762769E-2</v>
      </c>
      <c r="L136" s="3196"/>
      <c r="M136" s="3460" t="s">
        <v>199</v>
      </c>
    </row>
    <row r="137" spans="2:13" ht="18" customHeight="1" x14ac:dyDescent="0.2">
      <c r="B137" s="2634" t="s">
        <v>677</v>
      </c>
      <c r="C137" s="2636" t="s">
        <v>677</v>
      </c>
      <c r="D137" s="3461" t="s">
        <v>199</v>
      </c>
      <c r="E137" s="3461">
        <v>40.618339312224492</v>
      </c>
      <c r="F137" s="346"/>
      <c r="G137" s="3668" t="str">
        <f t="shared" si="80"/>
        <v>NA</v>
      </c>
      <c r="H137" s="3081">
        <f t="shared" si="81"/>
        <v>0.75361030882026225</v>
      </c>
      <c r="I137" s="4253"/>
      <c r="J137" s="3194" t="s">
        <v>199</v>
      </c>
      <c r="K137" s="3194">
        <v>30.610399232851698</v>
      </c>
      <c r="L137" s="3196"/>
      <c r="M137" s="3460" t="s">
        <v>199</v>
      </c>
    </row>
    <row r="138" spans="2:13" ht="18" customHeight="1" x14ac:dyDescent="0.2">
      <c r="B138" s="2634" t="s">
        <v>679</v>
      </c>
      <c r="C138" s="2636" t="s">
        <v>679</v>
      </c>
      <c r="D138" s="3461" t="s">
        <v>199</v>
      </c>
      <c r="E138" s="3461">
        <v>9.4661383990353656</v>
      </c>
      <c r="F138" s="346"/>
      <c r="G138" s="3668" t="str">
        <f t="shared" si="80"/>
        <v>NA</v>
      </c>
      <c r="H138" s="3081">
        <f t="shared" si="81"/>
        <v>0.75361030882026225</v>
      </c>
      <c r="I138" s="4253"/>
      <c r="J138" s="3194" t="s">
        <v>199</v>
      </c>
      <c r="K138" s="3194">
        <v>7.1337794822323852</v>
      </c>
      <c r="L138" s="3196"/>
      <c r="M138" s="3460" t="s">
        <v>199</v>
      </c>
    </row>
    <row r="139" spans="2:13" ht="18" customHeight="1" x14ac:dyDescent="0.2">
      <c r="B139" s="2634" t="s">
        <v>681</v>
      </c>
      <c r="C139" s="2636" t="s">
        <v>681</v>
      </c>
      <c r="D139" s="3461" t="s">
        <v>199</v>
      </c>
      <c r="E139" s="3461">
        <v>1.7211160725518853</v>
      </c>
      <c r="F139" s="346"/>
      <c r="G139" s="3668" t="str">
        <f t="shared" si="80"/>
        <v>NA</v>
      </c>
      <c r="H139" s="3081">
        <f t="shared" si="81"/>
        <v>0.75361030882026214</v>
      </c>
      <c r="I139" s="4253"/>
      <c r="J139" s="3194" t="s">
        <v>199</v>
      </c>
      <c r="K139" s="3194">
        <v>1.2970508149513429</v>
      </c>
      <c r="L139" s="3196"/>
      <c r="M139" s="3460" t="s">
        <v>199</v>
      </c>
    </row>
    <row r="140" spans="2:13" ht="18" customHeight="1" x14ac:dyDescent="0.2">
      <c r="B140" s="2634" t="s">
        <v>683</v>
      </c>
      <c r="C140" s="2636" t="s">
        <v>683</v>
      </c>
      <c r="D140" s="3461" t="s">
        <v>199</v>
      </c>
      <c r="E140" s="3461">
        <v>0.51633482176556555</v>
      </c>
      <c r="F140" s="346"/>
      <c r="G140" s="3668" t="str">
        <f t="shared" si="80"/>
        <v>NA</v>
      </c>
      <c r="H140" s="3081">
        <f t="shared" si="81"/>
        <v>0.75361030882026225</v>
      </c>
      <c r="I140" s="4253"/>
      <c r="J140" s="3194" t="s">
        <v>199</v>
      </c>
      <c r="K140" s="3194">
        <v>0.38911524448540291</v>
      </c>
      <c r="L140" s="3196"/>
      <c r="M140" s="3460" t="s">
        <v>199</v>
      </c>
    </row>
    <row r="141" spans="2:13" ht="18" customHeight="1" x14ac:dyDescent="0.2">
      <c r="B141" s="2634" t="s">
        <v>686</v>
      </c>
      <c r="C141" s="2636" t="s">
        <v>686</v>
      </c>
      <c r="D141" s="3461" t="s">
        <v>199</v>
      </c>
      <c r="E141" s="3461">
        <v>8.6055803627594241E-2</v>
      </c>
      <c r="F141" s="346"/>
      <c r="G141" s="3668" t="str">
        <f t="shared" si="80"/>
        <v>NA</v>
      </c>
      <c r="H141" s="3081">
        <f t="shared" si="81"/>
        <v>0.75361030882026236</v>
      </c>
      <c r="I141" s="4253"/>
      <c r="J141" s="3194" t="s">
        <v>199</v>
      </c>
      <c r="K141" s="3194">
        <v>6.4852540747567147E-2</v>
      </c>
      <c r="L141" s="3196"/>
      <c r="M141" s="3460" t="s">
        <v>199</v>
      </c>
    </row>
    <row r="142" spans="2:13" ht="18" customHeight="1" x14ac:dyDescent="0.2">
      <c r="B142" s="2634" t="s">
        <v>688</v>
      </c>
      <c r="C142" s="2636" t="s">
        <v>688</v>
      </c>
      <c r="D142" s="3461" t="s">
        <v>199</v>
      </c>
      <c r="E142" s="3461">
        <v>1.5776897331725614</v>
      </c>
      <c r="F142" s="346"/>
      <c r="G142" s="3668" t="str">
        <f t="shared" si="80"/>
        <v>NA</v>
      </c>
      <c r="H142" s="3081">
        <f t="shared" si="81"/>
        <v>0.75361030882026225</v>
      </c>
      <c r="I142" s="4253"/>
      <c r="J142" s="3194" t="s">
        <v>199</v>
      </c>
      <c r="K142" s="3194">
        <v>1.1889632470387312</v>
      </c>
      <c r="L142" s="3196"/>
      <c r="M142" s="3460" t="s">
        <v>199</v>
      </c>
    </row>
    <row r="143" spans="2:13" ht="18" customHeight="1" x14ac:dyDescent="0.2">
      <c r="B143" s="2634" t="s">
        <v>689</v>
      </c>
      <c r="C143" s="2636" t="s">
        <v>689</v>
      </c>
      <c r="D143" s="3461" t="s">
        <v>199</v>
      </c>
      <c r="E143" s="3461">
        <v>1.0900401792828605</v>
      </c>
      <c r="F143" s="346"/>
      <c r="G143" s="3668" t="str">
        <f t="shared" si="80"/>
        <v>NA</v>
      </c>
      <c r="H143" s="3081">
        <f t="shared" si="81"/>
        <v>0.75361030882026225</v>
      </c>
      <c r="I143" s="4253"/>
      <c r="J143" s="3194" t="s">
        <v>199</v>
      </c>
      <c r="K143" s="3194">
        <v>0.8214655161358505</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100.97109861200373</v>
      </c>
      <c r="L146" s="3081">
        <f>IF(SUM(L147:L158)=0,"NO",SUM(L147:L158))</f>
        <v>34.543169683379411</v>
      </c>
      <c r="M146" s="3193" t="str">
        <f>IF(SUM(M147:M158)=0,"NO",SUM(M147:M158))</f>
        <v>NO</v>
      </c>
    </row>
    <row r="147" spans="2:13" ht="18" customHeight="1" x14ac:dyDescent="0.2">
      <c r="B147" s="2634" t="s">
        <v>671</v>
      </c>
      <c r="C147" s="2636" t="s">
        <v>671</v>
      </c>
      <c r="D147" s="3461">
        <v>0.76924156964177082</v>
      </c>
      <c r="E147" s="3461">
        <v>1.9662180529111324</v>
      </c>
      <c r="F147" s="3461">
        <v>0.36366935495641983</v>
      </c>
      <c r="G147" s="3668" t="str">
        <f>IFERROR(J147/D147,"NA")</f>
        <v>NA</v>
      </c>
      <c r="H147" s="3081">
        <f>IF(SUM(E147)=0,"NA",K147/E147)</f>
        <v>0.54064217627716116</v>
      </c>
      <c r="I147" s="3081">
        <f>IF(SUM(F147)=0,"NA",L147/F147)</f>
        <v>0.99999999999999878</v>
      </c>
      <c r="J147" s="3194" t="s">
        <v>199</v>
      </c>
      <c r="K147" s="3194">
        <v>1.063020407161317</v>
      </c>
      <c r="L147" s="3194">
        <v>0.36366935495641939</v>
      </c>
      <c r="M147" s="3460" t="s">
        <v>199</v>
      </c>
    </row>
    <row r="148" spans="2:13" ht="18" customHeight="1" x14ac:dyDescent="0.2">
      <c r="B148" s="2634" t="s">
        <v>672</v>
      </c>
      <c r="C148" s="2636" t="s">
        <v>672</v>
      </c>
      <c r="D148" s="3461">
        <v>5.9341492515222329</v>
      </c>
      <c r="E148" s="3461">
        <v>15.167967836743024</v>
      </c>
      <c r="F148" s="3461">
        <v>2.8054493096638105</v>
      </c>
      <c r="G148" s="3668" t="str">
        <f t="shared" ref="G148:G158" si="82">IFERROR(J148/D148,"NA")</f>
        <v>NA</v>
      </c>
      <c r="H148" s="3081">
        <f t="shared" ref="H148:H158" si="83">IF(SUM(E148)=0,"NA",K148/E148)</f>
        <v>0.54064217627716116</v>
      </c>
      <c r="I148" s="3081">
        <f t="shared" ref="I148:I158" si="84">IF(SUM(F148)=0,"NA",L148/F148)</f>
        <v>0.99999999999999933</v>
      </c>
      <c r="J148" s="3194" t="s">
        <v>199</v>
      </c>
      <c r="K148" s="3194">
        <v>8.2004431409587326</v>
      </c>
      <c r="L148" s="3194">
        <v>2.8054493096638087</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13.544146208335464</v>
      </c>
      <c r="E150" s="3461">
        <v>34.619482145899582</v>
      </c>
      <c r="F150" s="3461">
        <v>6.403178285482678</v>
      </c>
      <c r="G150" s="3668" t="str">
        <f t="shared" si="82"/>
        <v>NA</v>
      </c>
      <c r="H150" s="3081">
        <f t="shared" si="83"/>
        <v>0.54064217627716105</v>
      </c>
      <c r="I150" s="3081">
        <f t="shared" si="84"/>
        <v>0.99999999999999944</v>
      </c>
      <c r="J150" s="3194" t="s">
        <v>199</v>
      </c>
      <c r="K150" s="3194">
        <v>18.716752168947473</v>
      </c>
      <c r="L150" s="3194">
        <v>6.4031782854826744</v>
      </c>
      <c r="M150" s="3460" t="s">
        <v>199</v>
      </c>
    </row>
    <row r="151" spans="2:13" ht="18" customHeight="1" x14ac:dyDescent="0.2">
      <c r="B151" s="2634" t="s">
        <v>676</v>
      </c>
      <c r="C151" s="2636" t="s">
        <v>676</v>
      </c>
      <c r="D151" s="3461">
        <v>7.0956270082085854E-2</v>
      </c>
      <c r="E151" s="3461">
        <v>0.18136760246538217</v>
      </c>
      <c r="F151" s="3461">
        <v>3.3545536264872763E-2</v>
      </c>
      <c r="G151" s="3668" t="str">
        <f t="shared" si="82"/>
        <v>NA</v>
      </c>
      <c r="H151" s="3081">
        <f t="shared" si="83"/>
        <v>0.54064217627716105</v>
      </c>
      <c r="I151" s="3081">
        <f t="shared" si="84"/>
        <v>0.99999999999999922</v>
      </c>
      <c r="J151" s="3194" t="s">
        <v>199</v>
      </c>
      <c r="K151" s="3194">
        <v>9.8054975303055222E-2</v>
      </c>
      <c r="L151" s="3194">
        <v>3.3545536264872736E-2</v>
      </c>
      <c r="M151" s="3460" t="s">
        <v>199</v>
      </c>
    </row>
    <row r="152" spans="2:13" ht="18" customHeight="1" x14ac:dyDescent="0.2">
      <c r="B152" s="2634" t="s">
        <v>677</v>
      </c>
      <c r="C152" s="2636" t="s">
        <v>677</v>
      </c>
      <c r="D152" s="3461">
        <v>38.901645093312418</v>
      </c>
      <c r="E152" s="3461">
        <v>99.434455818648715</v>
      </c>
      <c r="F152" s="3461">
        <v>18.391278807796091</v>
      </c>
      <c r="G152" s="3668" t="str">
        <f t="shared" si="82"/>
        <v>NA</v>
      </c>
      <c r="H152" s="3081">
        <f t="shared" si="83"/>
        <v>0.54064217627716105</v>
      </c>
      <c r="I152" s="3081">
        <f t="shared" si="84"/>
        <v>0.99999999999999922</v>
      </c>
      <c r="J152" s="3194" t="s">
        <v>199</v>
      </c>
      <c r="K152" s="3194">
        <v>53.758460590729463</v>
      </c>
      <c r="L152" s="3194">
        <v>18.391278807796077</v>
      </c>
      <c r="M152" s="3460" t="s">
        <v>199</v>
      </c>
    </row>
    <row r="153" spans="2:13" ht="18" customHeight="1" x14ac:dyDescent="0.2">
      <c r="B153" s="2634" t="s">
        <v>679</v>
      </c>
      <c r="C153" s="2636" t="s">
        <v>679</v>
      </c>
      <c r="D153" s="3461">
        <v>9.0660613564922983</v>
      </c>
      <c r="E153" s="3461">
        <v>23.17328419502406</v>
      </c>
      <c r="F153" s="3461">
        <v>4.2861031119863764</v>
      </c>
      <c r="G153" s="3668" t="str">
        <f t="shared" si="82"/>
        <v>NA</v>
      </c>
      <c r="H153" s="3081">
        <f t="shared" si="83"/>
        <v>0.54064217627716116</v>
      </c>
      <c r="I153" s="3081">
        <f t="shared" si="84"/>
        <v>0.99999999999999922</v>
      </c>
      <c r="J153" s="3194" t="s">
        <v>199</v>
      </c>
      <c r="K153" s="3194">
        <v>12.528454798686949</v>
      </c>
      <c r="L153" s="3194">
        <v>4.2861031119863728</v>
      </c>
      <c r="M153" s="3460" t="s">
        <v>199</v>
      </c>
    </row>
    <row r="154" spans="2:13" ht="18" customHeight="1" x14ac:dyDescent="0.2">
      <c r="B154" s="2634" t="s">
        <v>681</v>
      </c>
      <c r="C154" s="2636" t="s">
        <v>681</v>
      </c>
      <c r="D154" s="3461">
        <v>1.6483747920895089</v>
      </c>
      <c r="E154" s="3461">
        <v>4.213324399095284</v>
      </c>
      <c r="F154" s="3461">
        <v>0.77929147490661399</v>
      </c>
      <c r="G154" s="3668" t="str">
        <f t="shared" si="82"/>
        <v>NA</v>
      </c>
      <c r="H154" s="3081">
        <f t="shared" si="83"/>
        <v>0.54064217627716105</v>
      </c>
      <c r="I154" s="3081">
        <f t="shared" si="84"/>
        <v>0.99999999999999911</v>
      </c>
      <c r="J154" s="3194" t="s">
        <v>199</v>
      </c>
      <c r="K154" s="3194">
        <v>2.2779008724885363</v>
      </c>
      <c r="L154" s="3194">
        <v>0.77929147490661332</v>
      </c>
      <c r="M154" s="3460" t="s">
        <v>199</v>
      </c>
    </row>
    <row r="155" spans="2:13" ht="18" customHeight="1" x14ac:dyDescent="0.2">
      <c r="B155" s="2634" t="s">
        <v>683</v>
      </c>
      <c r="C155" s="2636" t="s">
        <v>683</v>
      </c>
      <c r="D155" s="3461">
        <v>0.49451243762685271</v>
      </c>
      <c r="E155" s="3461">
        <v>1.2639973197285852</v>
      </c>
      <c r="F155" s="3461">
        <v>0.23378744247198421</v>
      </c>
      <c r="G155" s="3668" t="str">
        <f t="shared" si="82"/>
        <v>NA</v>
      </c>
      <c r="H155" s="3081">
        <f t="shared" si="83"/>
        <v>0.54064217627716116</v>
      </c>
      <c r="I155" s="3081">
        <f t="shared" si="84"/>
        <v>0.99999999999999867</v>
      </c>
      <c r="J155" s="3194" t="s">
        <v>199</v>
      </c>
      <c r="K155" s="3194">
        <v>0.68337026174656101</v>
      </c>
      <c r="L155" s="3194">
        <v>0.23378744247198391</v>
      </c>
      <c r="M155" s="3460" t="s">
        <v>199</v>
      </c>
    </row>
    <row r="156" spans="2:13" ht="18" customHeight="1" x14ac:dyDescent="0.2">
      <c r="B156" s="2634" t="s">
        <v>686</v>
      </c>
      <c r="C156" s="2636" t="s">
        <v>686</v>
      </c>
      <c r="D156" s="3461">
        <v>8.2418739604475447E-2</v>
      </c>
      <c r="E156" s="3461">
        <v>0.21066621995476417</v>
      </c>
      <c r="F156" s="3461">
        <v>3.8964573745330695E-2</v>
      </c>
      <c r="G156" s="3668" t="str">
        <f t="shared" si="82"/>
        <v>NA</v>
      </c>
      <c r="H156" s="3081">
        <f t="shared" si="83"/>
        <v>0.54064217627716116</v>
      </c>
      <c r="I156" s="3081">
        <f t="shared" si="84"/>
        <v>0.99999999999999911</v>
      </c>
      <c r="J156" s="3194" t="s">
        <v>199</v>
      </c>
      <c r="K156" s="3194">
        <v>0.11389504362442682</v>
      </c>
      <c r="L156" s="3194">
        <v>3.8964573745330661E-2</v>
      </c>
      <c r="M156" s="3460" t="s">
        <v>199</v>
      </c>
    </row>
    <row r="157" spans="2:13" ht="18" customHeight="1" x14ac:dyDescent="0.2">
      <c r="B157" s="2634" t="s">
        <v>688</v>
      </c>
      <c r="C157" s="2636" t="s">
        <v>688</v>
      </c>
      <c r="D157" s="3461">
        <v>1.5110102260820499</v>
      </c>
      <c r="E157" s="3461">
        <v>3.8622140325040104</v>
      </c>
      <c r="F157" s="3461">
        <v>0.71435051866439625</v>
      </c>
      <c r="G157" s="3668" t="str">
        <f t="shared" si="82"/>
        <v>NA</v>
      </c>
      <c r="H157" s="3081">
        <f t="shared" si="83"/>
        <v>0.54064217627716116</v>
      </c>
      <c r="I157" s="3081">
        <f t="shared" si="84"/>
        <v>0.99999999999999956</v>
      </c>
      <c r="J157" s="3194" t="s">
        <v>199</v>
      </c>
      <c r="K157" s="3194">
        <v>2.0880757997811585</v>
      </c>
      <c r="L157" s="3194">
        <v>0.71435051866439592</v>
      </c>
      <c r="M157" s="3460" t="s">
        <v>199</v>
      </c>
    </row>
    <row r="158" spans="2:13" ht="18" customHeight="1" x14ac:dyDescent="0.2">
      <c r="B158" s="2634" t="s">
        <v>689</v>
      </c>
      <c r="C158" s="2636" t="s">
        <v>689</v>
      </c>
      <c r="D158" s="3461">
        <v>1.0439707016566888</v>
      </c>
      <c r="E158" s="3461">
        <v>2.66843878609368</v>
      </c>
      <c r="F158" s="3461">
        <v>0.49355126744085553</v>
      </c>
      <c r="G158" s="3668" t="str">
        <f t="shared" si="82"/>
        <v>NA</v>
      </c>
      <c r="H158" s="3081">
        <f t="shared" si="83"/>
        <v>0.54064217627716105</v>
      </c>
      <c r="I158" s="3081">
        <f t="shared" si="84"/>
        <v>0.99999999999999911</v>
      </c>
      <c r="J158" s="3194" t="s">
        <v>199</v>
      </c>
      <c r="K158" s="3194">
        <v>1.442670552576073</v>
      </c>
      <c r="L158" s="3194">
        <v>0.49355126744085509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1.9465281580779099</v>
      </c>
      <c r="K162" s="3200">
        <f t="shared" ref="K162:M162" si="90">IF(SUM(K163,K165,K175)=0,"NO",SUM(K163,K165,K175))</f>
        <v>3.5409136316424332</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1.9465281580779099</v>
      </c>
      <c r="K163" s="3197">
        <f t="shared" ref="K163:M163" si="91">K164</f>
        <v>2.6771269348884665</v>
      </c>
      <c r="L163" s="3197">
        <f t="shared" si="91"/>
        <v>0</v>
      </c>
      <c r="M163" s="3193" t="str">
        <f t="shared" si="91"/>
        <v>NO</v>
      </c>
    </row>
    <row r="164" spans="2:13" ht="18" customHeight="1" x14ac:dyDescent="0.2">
      <c r="B164" s="2634" t="s">
        <v>905</v>
      </c>
      <c r="C164" s="2636" t="s">
        <v>905</v>
      </c>
      <c r="D164" s="4136">
        <v>22.900331271504822</v>
      </c>
      <c r="E164" s="4136">
        <v>785.29191610831799</v>
      </c>
      <c r="F164" s="2635">
        <v>0</v>
      </c>
      <c r="G164" s="3668">
        <f t="shared" ref="G164" si="92">IF(SUM(D164)=0,"NA",J164/D164)</f>
        <v>8.5000000000000006E-2</v>
      </c>
      <c r="H164" s="3081">
        <f t="shared" ref="H164" si="93">IF(SUM(E164)=0,"NA",K164/E164)</f>
        <v>3.4090850548360941E-3</v>
      </c>
      <c r="I164" s="3081" t="str">
        <f t="shared" ref="I164" si="94">IF(SUM(F164)=0,"NA",L164/F164)</f>
        <v>NA</v>
      </c>
      <c r="J164" s="3120">
        <v>1.9465281580779099</v>
      </c>
      <c r="K164" s="3120">
        <v>2.6771269348884665</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0.86378669675396669</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0.86378669675396669</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0.86378669675396669</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0.86378669675396669</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2665.3844979798414</v>
      </c>
      <c r="D10" s="2517">
        <f t="shared" ref="D10:I10" si="0">IF(SUM(D11,D21,D32:D33,D43:D48)=0,"NO",SUM(D11,D21,D32:D33,D43:D48))</f>
        <v>2164.8090834433206</v>
      </c>
      <c r="E10" s="2517">
        <f t="shared" si="0"/>
        <v>39.497358895608237</v>
      </c>
      <c r="F10" s="2517">
        <f t="shared" si="0"/>
        <v>13.120419457069287</v>
      </c>
      <c r="G10" s="2517">
        <f t="shared" si="0"/>
        <v>212.86515801270244</v>
      </c>
      <c r="H10" s="2925">
        <f t="shared" si="0"/>
        <v>12.417134217407639</v>
      </c>
      <c r="I10" s="2934" t="str">
        <f t="shared" si="0"/>
        <v>NO</v>
      </c>
      <c r="J10" s="2935">
        <f>IF(SUM(C10:E10)=0,"NO",SUM(C10)+28*SUM(D10)+265*SUM(E10))</f>
        <v>73746.838941729002</v>
      </c>
    </row>
    <row r="11" spans="1:10" ht="18" customHeight="1" x14ac:dyDescent="0.2">
      <c r="B11" s="234" t="s">
        <v>923</v>
      </c>
      <c r="C11" s="2936"/>
      <c r="D11" s="2163">
        <f>SUM(D17:D20)</f>
        <v>1928.3744257651504</v>
      </c>
      <c r="E11" s="1955"/>
      <c r="F11" s="1955"/>
      <c r="G11" s="1955"/>
      <c r="H11" s="2937"/>
      <c r="I11" s="2937"/>
      <c r="J11" s="1887">
        <f>IF(SUM(C11:E11)=0,"NO",SUM(C11)+28*SUM(D11)+265*SUM(E11))</f>
        <v>53994.483921424209</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1450.3247924689406</v>
      </c>
      <c r="E17" s="615"/>
      <c r="F17" s="615"/>
      <c r="G17" s="615"/>
      <c r="H17" s="2939"/>
      <c r="I17" s="2940"/>
      <c r="J17" s="2943">
        <f>IF(SUM(C17:E17)=0,"NO",SUM(C17)+28*SUM(D17)+265*SUM(E17))</f>
        <v>40609.094189130337</v>
      </c>
    </row>
    <row r="18" spans="2:10" ht="18" customHeight="1" x14ac:dyDescent="0.2">
      <c r="B18" s="228" t="s">
        <v>930</v>
      </c>
      <c r="C18" s="2945"/>
      <c r="D18" s="2930">
        <f>Table3.A!G24</f>
        <v>465.80674658512385</v>
      </c>
      <c r="E18" s="615"/>
      <c r="F18" s="615"/>
      <c r="G18" s="615"/>
      <c r="H18" s="2939"/>
      <c r="I18" s="2940"/>
      <c r="J18" s="2943">
        <f t="shared" ref="J18:J22" si="1">IF(SUM(C18:E18)=0,"NO",SUM(C18)+28*SUM(D18)+265*SUM(E18))</f>
        <v>13042.588904383469</v>
      </c>
    </row>
    <row r="19" spans="2:10" ht="18" customHeight="1" x14ac:dyDescent="0.2">
      <c r="B19" s="228" t="s">
        <v>931</v>
      </c>
      <c r="C19" s="2945"/>
      <c r="D19" s="2930">
        <f>Table3.A!G27</f>
        <v>3.6951323782749759</v>
      </c>
      <c r="E19" s="615"/>
      <c r="F19" s="615"/>
      <c r="G19" s="615"/>
      <c r="H19" s="2939"/>
      <c r="I19" s="2940"/>
      <c r="J19" s="2943">
        <f t="shared" si="1"/>
        <v>103.46370659169932</v>
      </c>
    </row>
    <row r="20" spans="2:10" ht="18" customHeight="1" thickBot="1" x14ac:dyDescent="0.25">
      <c r="B20" s="1296" t="s">
        <v>932</v>
      </c>
      <c r="C20" s="2946"/>
      <c r="D20" s="2517">
        <f>Table3.A!G30</f>
        <v>8.5477543328109125</v>
      </c>
      <c r="E20" s="1948"/>
      <c r="F20" s="1948"/>
      <c r="G20" s="1948"/>
      <c r="H20" s="2947"/>
      <c r="I20" s="2948"/>
      <c r="J20" s="2943">
        <f t="shared" si="1"/>
        <v>239.33712131870556</v>
      </c>
    </row>
    <row r="21" spans="2:10" ht="18" customHeight="1" x14ac:dyDescent="0.2">
      <c r="B21" s="1455" t="s">
        <v>933</v>
      </c>
      <c r="C21" s="2949"/>
      <c r="D21" s="2930">
        <f>IF(SUM(D27:D31)=0,"NO",SUM(D27:D31))</f>
        <v>229.71581398064342</v>
      </c>
      <c r="E21" s="2930">
        <f>IF(SUM(E27:E31)=0,"NO",SUM(E27:E31))</f>
        <v>2.3463281826165221</v>
      </c>
      <c r="F21" s="2160"/>
      <c r="G21" s="2160"/>
      <c r="H21" s="2930" t="str">
        <f>IF(SUM(H27:H31)=0,"NE",SUM(H27:H31))</f>
        <v>NE</v>
      </c>
      <c r="I21" s="2940"/>
      <c r="J21" s="2950">
        <f t="shared" si="1"/>
        <v>7053.8197598513943</v>
      </c>
    </row>
    <row r="22" spans="2:10" ht="18" customHeight="1" x14ac:dyDescent="0.2">
      <c r="B22" s="228" t="s">
        <v>934</v>
      </c>
      <c r="C22" s="2945"/>
      <c r="D22" s="2930">
        <f>D27</f>
        <v>146.46571438533337</v>
      </c>
      <c r="E22" s="2930">
        <f>E27</f>
        <v>1.0533242917283003</v>
      </c>
      <c r="F22" s="2951"/>
      <c r="G22" s="2951"/>
      <c r="H22" s="2930" t="str">
        <f>H27</f>
        <v>NE</v>
      </c>
      <c r="I22" s="2940"/>
      <c r="J22" s="2943">
        <f t="shared" si="1"/>
        <v>4380.1709400973341</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146.46571438533337</v>
      </c>
      <c r="E27" s="2930">
        <f>'Table3.B(b)'!X15</f>
        <v>1.0533242917283003</v>
      </c>
      <c r="F27" s="615"/>
      <c r="G27" s="615"/>
      <c r="H27" s="2953" t="s">
        <v>221</v>
      </c>
      <c r="I27" s="2940"/>
      <c r="J27" s="2943">
        <f t="shared" ref="J27:J49" si="2">IF(SUM(C27:E27)=0,"NO",SUM(C27)+28*SUM(D27)+265*SUM(E27))</f>
        <v>4380.1709400973341</v>
      </c>
    </row>
    <row r="28" spans="2:10" ht="18" customHeight="1" x14ac:dyDescent="0.2">
      <c r="B28" s="228" t="s">
        <v>938</v>
      </c>
      <c r="C28" s="2945"/>
      <c r="D28" s="2930">
        <f>'Table3.B(a)'!K24</f>
        <v>23.642156321109937</v>
      </c>
      <c r="E28" s="2930" t="str">
        <f>'Table3.B(b)'!X24</f>
        <v>NA</v>
      </c>
      <c r="F28" s="2951"/>
      <c r="G28" s="2951"/>
      <c r="H28" s="2953" t="s">
        <v>221</v>
      </c>
      <c r="I28" s="2940"/>
      <c r="J28" s="2943">
        <f t="shared" si="2"/>
        <v>661.98037699107817</v>
      </c>
    </row>
    <row r="29" spans="2:10" ht="18" customHeight="1" x14ac:dyDescent="0.2">
      <c r="B29" s="228" t="s">
        <v>939</v>
      </c>
      <c r="C29" s="2945"/>
      <c r="D29" s="2930">
        <f>'Table3.B(a)'!K27</f>
        <v>54.915486438269802</v>
      </c>
      <c r="E29" s="2930">
        <f>'Table3.B(b)'!X27</f>
        <v>0.18665085500127665</v>
      </c>
      <c r="F29" s="2951"/>
      <c r="G29" s="2951"/>
      <c r="H29" s="2953" t="s">
        <v>221</v>
      </c>
      <c r="I29" s="2940"/>
      <c r="J29" s="2943">
        <f t="shared" si="2"/>
        <v>1587.0960968468928</v>
      </c>
    </row>
    <row r="30" spans="2:10" ht="18" customHeight="1" x14ac:dyDescent="0.2">
      <c r="B30" s="228" t="s">
        <v>940</v>
      </c>
      <c r="C30" s="2945"/>
      <c r="D30" s="2930">
        <f>'Table3.B(a)'!K30</f>
        <v>4.6924568359303391</v>
      </c>
      <c r="E30" s="2930">
        <f>'Table3.B(b)'!X30</f>
        <v>0.45537026751369114</v>
      </c>
      <c r="F30" s="2951"/>
      <c r="G30" s="2951"/>
      <c r="H30" s="2953" t="s">
        <v>221</v>
      </c>
      <c r="I30" s="2940"/>
      <c r="J30" s="2943">
        <f t="shared" si="2"/>
        <v>252.06191229717766</v>
      </c>
    </row>
    <row r="31" spans="2:10" ht="18" customHeight="1" thickBot="1" x14ac:dyDescent="0.25">
      <c r="B31" s="1296" t="s">
        <v>941</v>
      </c>
      <c r="C31" s="2954"/>
      <c r="D31" s="2955"/>
      <c r="E31" s="2956">
        <f>SUM('Table3.B(b)'!Y47:Z47)</f>
        <v>0.65098276837325397</v>
      </c>
      <c r="F31" s="2957"/>
      <c r="G31" s="2957"/>
      <c r="H31" s="2958"/>
      <c r="I31" s="2959"/>
      <c r="J31" s="2943">
        <f t="shared" si="2"/>
        <v>172.51043361891232</v>
      </c>
    </row>
    <row r="32" spans="2:10" ht="18" customHeight="1" thickBot="1" x14ac:dyDescent="0.25">
      <c r="B32" s="2658" t="s">
        <v>942</v>
      </c>
      <c r="C32" s="2960"/>
      <c r="D32" s="2961">
        <f>Table3.C!G11</f>
        <v>1.2607627228417353</v>
      </c>
      <c r="E32" s="2962"/>
      <c r="F32" s="2962"/>
      <c r="G32" s="2962"/>
      <c r="H32" s="2963" t="s">
        <v>221</v>
      </c>
      <c r="I32" s="2964"/>
      <c r="J32" s="2965">
        <f t="shared" si="2"/>
        <v>35.301356239568591</v>
      </c>
    </row>
    <row r="33" spans="2:10" ht="18" customHeight="1" x14ac:dyDescent="0.2">
      <c r="B33" s="2657" t="s">
        <v>943</v>
      </c>
      <c r="C33" s="2966"/>
      <c r="D33" s="2967" t="s">
        <v>221</v>
      </c>
      <c r="E33" s="2967">
        <f>IF(SUM(E34,E42)=0,"NO",SUM(E34,E42))</f>
        <v>36.923936082223392</v>
      </c>
      <c r="F33" s="2967" t="str">
        <f>IF(SUM(F34,F42)=0,"NO",SUM(F34,F42))</f>
        <v>NO</v>
      </c>
      <c r="G33" s="2967" t="str">
        <f>IF(SUM(G34,G42)=0,"NO",SUM(G34,G42))</f>
        <v>NO</v>
      </c>
      <c r="H33" s="2967" t="str">
        <f>IF(SUM(H34,H42)=0,"NO",SUM(H34,H42))</f>
        <v>NO</v>
      </c>
      <c r="I33" s="2968"/>
      <c r="J33" s="2969">
        <f t="shared" si="2"/>
        <v>9784.8430617891991</v>
      </c>
    </row>
    <row r="34" spans="2:10" ht="18" customHeight="1" x14ac:dyDescent="0.2">
      <c r="B34" s="228" t="s">
        <v>944</v>
      </c>
      <c r="C34" s="2970"/>
      <c r="D34" s="615"/>
      <c r="E34" s="2971">
        <f>IF(SUM(E35:E41)=0,"NO",SUM(E35:E41))</f>
        <v>26.434417182358828</v>
      </c>
      <c r="F34" s="615"/>
      <c r="G34" s="615"/>
      <c r="H34" s="615"/>
      <c r="I34" s="2940"/>
      <c r="J34" s="2972">
        <f t="shared" si="2"/>
        <v>7005.1205533250895</v>
      </c>
    </row>
    <row r="35" spans="2:10" ht="18" customHeight="1" x14ac:dyDescent="0.2">
      <c r="B35" s="232" t="s">
        <v>945</v>
      </c>
      <c r="C35" s="2970"/>
      <c r="D35" s="615"/>
      <c r="E35" s="4248">
        <f>Table3.D!F11</f>
        <v>8.899323172639436</v>
      </c>
      <c r="F35" s="615"/>
      <c r="G35" s="615"/>
      <c r="H35" s="615"/>
      <c r="I35" s="2940"/>
      <c r="J35" s="2972">
        <f t="shared" si="2"/>
        <v>2358.3206407494504</v>
      </c>
    </row>
    <row r="36" spans="2:10" ht="18" customHeight="1" x14ac:dyDescent="0.2">
      <c r="B36" s="232" t="s">
        <v>946</v>
      </c>
      <c r="C36" s="2970"/>
      <c r="D36" s="615"/>
      <c r="E36" s="4248">
        <f>Table3.D!F12</f>
        <v>1.4838916332798711</v>
      </c>
      <c r="F36" s="615"/>
      <c r="G36" s="615"/>
      <c r="H36" s="615"/>
      <c r="I36" s="2940"/>
      <c r="J36" s="2972">
        <f t="shared" si="2"/>
        <v>393.23128281916581</v>
      </c>
    </row>
    <row r="37" spans="2:10" ht="18" customHeight="1" x14ac:dyDescent="0.2">
      <c r="B37" s="232" t="s">
        <v>947</v>
      </c>
      <c r="C37" s="2970"/>
      <c r="D37" s="615"/>
      <c r="E37" s="4248">
        <f>Table3.D!F16</f>
        <v>9.7129194236873584</v>
      </c>
      <c r="F37" s="615"/>
      <c r="G37" s="615"/>
      <c r="H37" s="615"/>
      <c r="I37" s="2940"/>
      <c r="J37" s="2972">
        <f t="shared" si="2"/>
        <v>2573.9236472771499</v>
      </c>
    </row>
    <row r="38" spans="2:10" ht="18" customHeight="1" x14ac:dyDescent="0.2">
      <c r="B38" s="232" t="s">
        <v>948</v>
      </c>
      <c r="C38" s="2970"/>
      <c r="D38" s="615"/>
      <c r="E38" s="4248">
        <f>Table3.D!F17</f>
        <v>6.1165823167562534</v>
      </c>
      <c r="F38" s="615"/>
      <c r="G38" s="615"/>
      <c r="H38" s="615"/>
      <c r="I38" s="2940"/>
      <c r="J38" s="2972">
        <f t="shared" si="2"/>
        <v>1620.8943139404071</v>
      </c>
    </row>
    <row r="39" spans="2:10" ht="26.25" customHeight="1" x14ac:dyDescent="0.2">
      <c r="B39" s="1708" t="s">
        <v>949</v>
      </c>
      <c r="C39" s="2970"/>
      <c r="D39" s="2951"/>
      <c r="E39" s="4248">
        <f>Table3.D!F18</f>
        <v>0.13370063599590773</v>
      </c>
      <c r="F39" s="2951"/>
      <c r="G39" s="2951"/>
      <c r="H39" s="2951"/>
      <c r="I39" s="2940"/>
      <c r="J39" s="2972">
        <f t="shared" si="2"/>
        <v>35.430668538915548</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10.489518899864565</v>
      </c>
      <c r="F42" s="2957"/>
      <c r="G42" s="2957"/>
      <c r="H42" s="2957"/>
      <c r="I42" s="2976"/>
      <c r="J42" s="2977">
        <f t="shared" si="2"/>
        <v>2779.72250846411</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5.4580809746846759</v>
      </c>
      <c r="E44" s="2984">
        <f>SUM(Table3.F!J10,Table3.F!J20,Table3.F!J23,Table3.F!J26:J27)</f>
        <v>0.22709463076832143</v>
      </c>
      <c r="F44" s="2919">
        <v>13.120419457069287</v>
      </c>
      <c r="G44" s="2919">
        <v>212.86515801270244</v>
      </c>
      <c r="H44" s="2920">
        <v>12.417134217407639</v>
      </c>
      <c r="I44" s="2985" t="s">
        <v>199</v>
      </c>
      <c r="J44" s="2986">
        <f t="shared" si="2"/>
        <v>213.00634444477609</v>
      </c>
    </row>
    <row r="45" spans="2:10" ht="18" customHeight="1" thickBot="1" x14ac:dyDescent="0.25">
      <c r="B45" s="2660" t="s">
        <v>955</v>
      </c>
      <c r="C45" s="2987">
        <f>'Table3.G-J'!E10</f>
        <v>1318.3866247265748</v>
      </c>
      <c r="D45" s="2988"/>
      <c r="E45" s="2988"/>
      <c r="F45" s="2988"/>
      <c r="G45" s="2988"/>
      <c r="H45" s="2989"/>
      <c r="I45" s="2990"/>
      <c r="J45" s="2986">
        <f t="shared" si="2"/>
        <v>1318.3866247265748</v>
      </c>
    </row>
    <row r="46" spans="2:10" ht="18" customHeight="1" thickBot="1" x14ac:dyDescent="0.25">
      <c r="B46" s="2660" t="s">
        <v>956</v>
      </c>
      <c r="C46" s="2987">
        <f>'Table3.G-J'!E13</f>
        <v>1346.9978732532668</v>
      </c>
      <c r="D46" s="2988"/>
      <c r="E46" s="2988"/>
      <c r="F46" s="2988"/>
      <c r="G46" s="2988"/>
      <c r="H46" s="2989"/>
      <c r="I46" s="2990"/>
      <c r="J46" s="2986">
        <f t="shared" si="2"/>
        <v>1346.9978732532668</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26105.865000000002</v>
      </c>
      <c r="D10" s="3208"/>
      <c r="E10" s="3208"/>
      <c r="F10" s="3109">
        <f>IF(SUM(C10)=0,"NA",G10*1000/C10)</f>
        <v>55.555515684653258</v>
      </c>
      <c r="G10" s="3209">
        <f>G15</f>
        <v>1450.3247924689406</v>
      </c>
      <c r="I10" s="275" t="s">
        <v>977</v>
      </c>
      <c r="J10" s="276" t="s">
        <v>978</v>
      </c>
      <c r="K10" s="699">
        <v>453.64460661523583</v>
      </c>
      <c r="L10" s="699">
        <v>359.56906632985158</v>
      </c>
      <c r="M10" s="3125">
        <v>526.49111238532134</v>
      </c>
      <c r="N10" s="3125">
        <v>44.216785615511327</v>
      </c>
      <c r="O10" s="2921">
        <v>58.329344624596722</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16.123236657597801</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26105.865000000002</v>
      </c>
      <c r="D15" s="3215"/>
      <c r="E15" s="3215"/>
      <c r="F15" s="3109">
        <f>IF(SUM(C15)=0,"NA",G15*1000/C15)</f>
        <v>55.555515684653258</v>
      </c>
      <c r="G15" s="3216">
        <f>G20</f>
        <v>1450.3247924689406</v>
      </c>
      <c r="I15" s="1780" t="s">
        <v>989</v>
      </c>
      <c r="J15" s="1853" t="s">
        <v>428</v>
      </c>
      <c r="K15" s="3408">
        <v>75</v>
      </c>
      <c r="L15" s="3408">
        <v>57.854601902684145</v>
      </c>
      <c r="M15" s="1563">
        <v>80.512292523085421</v>
      </c>
      <c r="N15" s="1563">
        <v>66.713591951195156</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1450.3247924689406</v>
      </c>
      <c r="I20" s="72"/>
      <c r="J20" s="287"/>
      <c r="K20" s="287"/>
      <c r="L20" s="287"/>
      <c r="M20" s="287"/>
      <c r="N20" s="287"/>
      <c r="O20" s="287"/>
    </row>
    <row r="21" spans="2:15" ht="18" customHeight="1" x14ac:dyDescent="0.2">
      <c r="B21" s="2652" t="s">
        <v>994</v>
      </c>
      <c r="C21" s="3239">
        <v>2410.2179999999998</v>
      </c>
      <c r="D21" s="3224">
        <v>228.54018912867733</v>
      </c>
      <c r="E21" s="3224">
        <v>6.1444608229268978</v>
      </c>
      <c r="F21" s="3109">
        <f t="shared" ref="F21:F30" si="0">IF(SUM(C21)=0,"NA",G21*1000/C21)</f>
        <v>92.820259035211876</v>
      </c>
      <c r="G21" s="3206">
        <v>223.71705909133027</v>
      </c>
      <c r="I21" s="72"/>
      <c r="J21" s="287"/>
      <c r="K21" s="287"/>
      <c r="L21" s="287"/>
      <c r="M21" s="287"/>
      <c r="N21" s="287"/>
      <c r="O21" s="287"/>
    </row>
    <row r="22" spans="2:15" ht="18" customHeight="1" x14ac:dyDescent="0.2">
      <c r="B22" s="2652" t="s">
        <v>965</v>
      </c>
      <c r="C22" s="3239">
        <v>22583.83</v>
      </c>
      <c r="D22" s="3224">
        <v>124.29145203472154</v>
      </c>
      <c r="E22" s="3224">
        <v>6.21225</v>
      </c>
      <c r="F22" s="3109">
        <f t="shared" si="0"/>
        <v>51.037177042645276</v>
      </c>
      <c r="G22" s="3206">
        <v>1152.6149300110037</v>
      </c>
      <c r="I22" s="72"/>
      <c r="J22" s="287"/>
      <c r="K22" s="287"/>
      <c r="L22" s="287"/>
      <c r="M22" s="287"/>
      <c r="N22" s="287"/>
      <c r="O22" s="287"/>
    </row>
    <row r="23" spans="2:15" ht="18" customHeight="1" x14ac:dyDescent="0.2">
      <c r="B23" s="2652" t="s">
        <v>966</v>
      </c>
      <c r="C23" s="3239">
        <v>1111.817</v>
      </c>
      <c r="D23" s="3224">
        <v>200.30764936396486</v>
      </c>
      <c r="E23" s="3224">
        <v>5.0264598033053653</v>
      </c>
      <c r="F23" s="3109">
        <f t="shared" si="0"/>
        <v>66.551243025252035</v>
      </c>
      <c r="G23" s="3206">
        <v>73.992803366606651</v>
      </c>
      <c r="I23" s="72"/>
      <c r="J23" s="287"/>
      <c r="K23" s="287"/>
      <c r="L23" s="287"/>
      <c r="M23" s="287"/>
      <c r="N23" s="287"/>
      <c r="O23" s="287"/>
    </row>
    <row r="24" spans="2:15" ht="18" customHeight="1" x14ac:dyDescent="0.2">
      <c r="B24" s="286" t="s">
        <v>995</v>
      </c>
      <c r="C24" s="2654">
        <f>C25</f>
        <v>69003.229000000007</v>
      </c>
      <c r="D24" s="3225"/>
      <c r="E24" s="3225"/>
      <c r="F24" s="3109">
        <f t="shared" si="0"/>
        <v>6.750506510139167</v>
      </c>
      <c r="G24" s="3106">
        <f>G25</f>
        <v>465.80674658512385</v>
      </c>
      <c r="I24" s="72"/>
    </row>
    <row r="25" spans="2:15" ht="18" customHeight="1" x14ac:dyDescent="0.2">
      <c r="B25" s="282" t="s">
        <v>996</v>
      </c>
      <c r="C25" s="2654">
        <f>C26</f>
        <v>69003.229000000007</v>
      </c>
      <c r="D25" s="3225"/>
      <c r="E25" s="3225"/>
      <c r="F25" s="3109">
        <f t="shared" si="0"/>
        <v>6.750506510139167</v>
      </c>
      <c r="G25" s="3106">
        <f>G26</f>
        <v>465.80674658512385</v>
      </c>
    </row>
    <row r="26" spans="2:15" ht="18" customHeight="1" x14ac:dyDescent="0.2">
      <c r="B26" s="2653" t="s">
        <v>967</v>
      </c>
      <c r="C26" s="288">
        <v>69003.229000000007</v>
      </c>
      <c r="D26" s="3226">
        <v>16.554654667368734</v>
      </c>
      <c r="E26" s="3226">
        <v>6.1690710832037601</v>
      </c>
      <c r="F26" s="3109">
        <f t="shared" si="0"/>
        <v>6.750506510139167</v>
      </c>
      <c r="G26" s="3207">
        <v>465.80674658512385</v>
      </c>
    </row>
    <row r="27" spans="2:15" ht="18" customHeight="1" x14ac:dyDescent="0.2">
      <c r="B27" s="286" t="s">
        <v>997</v>
      </c>
      <c r="C27" s="2654">
        <f>C28</f>
        <v>2345.826</v>
      </c>
      <c r="D27" s="3225"/>
      <c r="E27" s="3225"/>
      <c r="F27" s="3109">
        <f t="shared" si="0"/>
        <v>1.5751945703879895</v>
      </c>
      <c r="G27" s="3106">
        <f>G28</f>
        <v>3.6951323782749759</v>
      </c>
    </row>
    <row r="28" spans="2:15" ht="18" customHeight="1" x14ac:dyDescent="0.2">
      <c r="B28" s="282" t="s">
        <v>998</v>
      </c>
      <c r="C28" s="2654">
        <f>C29</f>
        <v>2345.826</v>
      </c>
      <c r="D28" s="3225"/>
      <c r="E28" s="3225"/>
      <c r="F28" s="3109">
        <f t="shared" si="0"/>
        <v>1.5751945703879895</v>
      </c>
      <c r="G28" s="3106">
        <f>G29</f>
        <v>3.6951323782749759</v>
      </c>
    </row>
    <row r="29" spans="2:15" ht="18" customHeight="1" x14ac:dyDescent="0.2">
      <c r="B29" s="2653" t="s">
        <v>968</v>
      </c>
      <c r="C29" s="288">
        <v>2345.826</v>
      </c>
      <c r="D29" s="3226">
        <v>34.043926115534667</v>
      </c>
      <c r="E29" s="3226">
        <v>0.70000000000000007</v>
      </c>
      <c r="F29" s="3109">
        <f t="shared" si="0"/>
        <v>1.5751945703879895</v>
      </c>
      <c r="G29" s="3207">
        <v>3.6951323782749759</v>
      </c>
    </row>
    <row r="30" spans="2:15" ht="18" customHeight="1" x14ac:dyDescent="0.2">
      <c r="B30" s="286" t="s">
        <v>999</v>
      </c>
      <c r="C30" s="2654">
        <f>SUM(C32:C39)</f>
        <v>101846.54</v>
      </c>
      <c r="D30" s="3225"/>
      <c r="E30" s="3225"/>
      <c r="F30" s="3109">
        <f t="shared" si="0"/>
        <v>8.3927783239478859E-2</v>
      </c>
      <c r="G30" s="3106">
        <f>SUM(G32:G39)</f>
        <v>8.5477543328109125</v>
      </c>
    </row>
    <row r="31" spans="2:15" ht="18" customHeight="1" x14ac:dyDescent="0.2">
      <c r="B31" s="1304" t="s">
        <v>498</v>
      </c>
      <c r="C31" s="3240"/>
      <c r="D31" s="3228"/>
      <c r="E31" s="3228"/>
      <c r="F31" s="3228"/>
      <c r="G31" s="3229"/>
    </row>
    <row r="32" spans="2:15" ht="18" customHeight="1" x14ac:dyDescent="0.2">
      <c r="B32" s="285" t="s">
        <v>1000</v>
      </c>
      <c r="C32" s="3234">
        <v>5.1520000000000001</v>
      </c>
      <c r="D32" s="3230" t="s">
        <v>205</v>
      </c>
      <c r="E32" s="3230" t="s">
        <v>205</v>
      </c>
      <c r="F32" s="3109">
        <f t="shared" ref="F32:F41" si="1">IF(SUM(C32)=0,"NA",G32*1000/C32)</f>
        <v>76.006174462646882</v>
      </c>
      <c r="G32" s="3206">
        <v>0.39158381083155674</v>
      </c>
    </row>
    <row r="33" spans="2:7" ht="18" customHeight="1" x14ac:dyDescent="0.2">
      <c r="B33" s="285" t="s">
        <v>1001</v>
      </c>
      <c r="C33" s="3234">
        <v>2.7589999999999999</v>
      </c>
      <c r="D33" s="3230" t="s">
        <v>205</v>
      </c>
      <c r="E33" s="3230" t="s">
        <v>205</v>
      </c>
      <c r="F33" s="3109">
        <f t="shared" si="1"/>
        <v>45.996686405068701</v>
      </c>
      <c r="G33" s="3206">
        <v>0.12690485779158453</v>
      </c>
    </row>
    <row r="34" spans="2:7" ht="18" customHeight="1" x14ac:dyDescent="0.2">
      <c r="B34" s="285" t="s">
        <v>1002</v>
      </c>
      <c r="C34" s="3234">
        <v>30.123000000000001</v>
      </c>
      <c r="D34" s="3230" t="s">
        <v>205</v>
      </c>
      <c r="E34" s="3230" t="s">
        <v>205</v>
      </c>
      <c r="F34" s="3109">
        <f t="shared" si="1"/>
        <v>19.999704881094388</v>
      </c>
      <c r="G34" s="3206">
        <v>0.60245111013320629</v>
      </c>
    </row>
    <row r="35" spans="2:7" ht="18" customHeight="1" x14ac:dyDescent="0.2">
      <c r="B35" s="285" t="s">
        <v>1003</v>
      </c>
      <c r="C35" s="3234">
        <v>460.32400000000001</v>
      </c>
      <c r="D35" s="3230" t="s">
        <v>205</v>
      </c>
      <c r="E35" s="3230" t="s">
        <v>205</v>
      </c>
      <c r="F35" s="3109">
        <f t="shared" si="1"/>
        <v>4.999996687116032</v>
      </c>
      <c r="G35" s="3206">
        <v>2.3016184750000002</v>
      </c>
    </row>
    <row r="36" spans="2:7" ht="18" customHeight="1" x14ac:dyDescent="0.2">
      <c r="B36" s="285" t="s">
        <v>1004</v>
      </c>
      <c r="C36" s="3234">
        <v>222.53</v>
      </c>
      <c r="D36" s="3230" t="s">
        <v>205</v>
      </c>
      <c r="E36" s="3230" t="s">
        <v>205</v>
      </c>
      <c r="F36" s="3109">
        <f t="shared" si="1"/>
        <v>17.999997951186046</v>
      </c>
      <c r="G36" s="3206">
        <v>4.0055395440774308</v>
      </c>
    </row>
    <row r="37" spans="2:7" ht="18" customHeight="1" x14ac:dyDescent="0.2">
      <c r="B37" s="285" t="s">
        <v>1005</v>
      </c>
      <c r="C37" s="3234">
        <v>0.64600000000000002</v>
      </c>
      <c r="D37" s="3230" t="s">
        <v>205</v>
      </c>
      <c r="E37" s="3230" t="s">
        <v>205</v>
      </c>
      <c r="F37" s="3109">
        <f t="shared" si="1"/>
        <v>10.006287556295343</v>
      </c>
      <c r="G37" s="3206">
        <v>6.4640617613667918E-3</v>
      </c>
    </row>
    <row r="38" spans="2:7" ht="18" customHeight="1" x14ac:dyDescent="0.2">
      <c r="B38" s="285" t="s">
        <v>1006</v>
      </c>
      <c r="C38" s="3241">
        <v>100982.178</v>
      </c>
      <c r="D38" s="3230" t="s">
        <v>205</v>
      </c>
      <c r="E38" s="3230" t="s">
        <v>205</v>
      </c>
      <c r="F38" s="3109" t="s">
        <v>205</v>
      </c>
      <c r="G38" s="3231" t="s">
        <v>221</v>
      </c>
    </row>
    <row r="39" spans="2:7" ht="18" customHeight="1" x14ac:dyDescent="0.2">
      <c r="B39" s="285" t="s">
        <v>1007</v>
      </c>
      <c r="C39" s="2654">
        <f>SUM(C41:C45)</f>
        <v>142.828</v>
      </c>
      <c r="D39" s="3225"/>
      <c r="E39" s="3225"/>
      <c r="F39" s="3109">
        <f t="shared" si="1"/>
        <v>7.7939372757146161</v>
      </c>
      <c r="G39" s="3106">
        <f>SUM(G41:G45)</f>
        <v>1.1131924732157672</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9.8109999999999999</v>
      </c>
      <c r="D43" s="2974" t="s">
        <v>205</v>
      </c>
      <c r="E43" s="2974" t="s">
        <v>205</v>
      </c>
      <c r="F43" s="3109">
        <f t="shared" si="2"/>
        <v>4.9999415727966809</v>
      </c>
      <c r="G43" s="3170">
        <v>4.9054426770708238E-2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133.017</v>
      </c>
      <c r="D45" s="3225"/>
      <c r="E45" s="3225"/>
      <c r="F45" s="3109">
        <f>IF(SUM(C45)=0,"NA",G45*1000/C45)</f>
        <v>8.0000153848384716</v>
      </c>
      <c r="G45" s="3106">
        <f>G46</f>
        <v>1.0641380464450589</v>
      </c>
    </row>
    <row r="46" spans="2:7" ht="18" customHeight="1" thickBot="1" x14ac:dyDescent="0.25">
      <c r="B46" s="2655" t="s">
        <v>1013</v>
      </c>
      <c r="C46" s="3243">
        <v>133.017</v>
      </c>
      <c r="D46" s="3115" t="s">
        <v>205</v>
      </c>
      <c r="E46" s="3115" t="s">
        <v>205</v>
      </c>
      <c r="F46" s="3232">
        <f>IF(SUM(C46)=0,"NA",G46*1000/C46)</f>
        <v>8.0000153848384716</v>
      </c>
      <c r="G46" s="3172">
        <v>1.0641380464450589</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0" t="s">
        <v>1014</v>
      </c>
      <c r="C67" s="4501"/>
      <c r="D67" s="4501"/>
      <c r="E67" s="4501"/>
      <c r="F67" s="4501"/>
      <c r="G67" s="4502"/>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26105.865000000002</v>
      </c>
      <c r="D10" s="2951"/>
      <c r="E10" s="2951"/>
      <c r="F10" s="2951"/>
      <c r="G10" s="2951"/>
      <c r="H10" s="2951"/>
      <c r="I10" s="3246"/>
      <c r="J10" s="3247">
        <f>IF(SUM(C10)=0,"NA",K10*1000/C10)</f>
        <v>5.6104524552369126</v>
      </c>
      <c r="K10" s="3248">
        <f>K15</f>
        <v>146.46571438533337</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26105.865000000002</v>
      </c>
      <c r="D15" s="3260"/>
      <c r="E15" s="3260"/>
      <c r="F15" s="3260"/>
      <c r="G15" s="3260"/>
      <c r="H15" s="3260"/>
      <c r="I15" s="3255"/>
      <c r="J15" s="3254">
        <f>IF(SUM(C15)=0,"NA",K15*1000/C15)</f>
        <v>5.6104524552369126</v>
      </c>
      <c r="K15" s="3248">
        <f>SUM(K17:K20)</f>
        <v>146.46571438533337</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26105.865000000002</v>
      </c>
      <c r="D20" s="3260"/>
      <c r="E20" s="3260"/>
      <c r="F20" s="3260"/>
      <c r="G20" s="3260"/>
      <c r="H20" s="3260"/>
      <c r="I20" s="3255"/>
      <c r="J20" s="3268">
        <f>IF(SUM(C20)=0,"NA",K20*1000/C20)</f>
        <v>5.6104524552369126</v>
      </c>
      <c r="K20" s="3248">
        <f>SUM(K21:K23)</f>
        <v>146.46571438533337</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2410.2179999999998</v>
      </c>
      <c r="D21" s="3290">
        <v>9.7437707234753486</v>
      </c>
      <c r="E21" s="3290">
        <v>90.25593884633227</v>
      </c>
      <c r="F21" s="3290">
        <v>2.9043019237841078E-4</v>
      </c>
      <c r="G21" s="3265">
        <f>Table3.A!K10</f>
        <v>453.64460661523583</v>
      </c>
      <c r="H21" s="3266">
        <v>3.2792559766062865</v>
      </c>
      <c r="I21" s="3267">
        <v>0.24</v>
      </c>
      <c r="J21" s="3268">
        <f>IF(SUM(C21)=0,"NA",K21*1000/C21)</f>
        <v>13.632235175648912</v>
      </c>
      <c r="K21" s="3244">
        <v>32.856658600582165</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22583.83</v>
      </c>
      <c r="D22" s="3290" t="s">
        <v>199</v>
      </c>
      <c r="E22" s="3290">
        <v>81.984309140279009</v>
      </c>
      <c r="F22" s="3290">
        <v>18.015690859720991</v>
      </c>
      <c r="G22" s="3265">
        <f>Table3.A!L10</f>
        <v>359.56906632985158</v>
      </c>
      <c r="H22" s="3266" t="s">
        <v>205</v>
      </c>
      <c r="I22" s="3267" t="s">
        <v>205</v>
      </c>
      <c r="J22" s="3268">
        <f t="shared" ref="J22:J46" si="0">IF(SUM(C22)=0,"NA",K22*1000/C22)</f>
        <v>4.859438786627396</v>
      </c>
      <c r="K22" s="3244">
        <v>109.74473945259939</v>
      </c>
      <c r="M22" s="1597" t="s">
        <v>1049</v>
      </c>
      <c r="N22" s="4509" t="s">
        <v>994</v>
      </c>
      <c r="O22" s="1693" t="s">
        <v>1051</v>
      </c>
      <c r="P22" s="1694" t="s">
        <v>1039</v>
      </c>
      <c r="Q22" s="4444">
        <v>7.0039041040534071</v>
      </c>
      <c r="R22" s="4445" t="s">
        <v>199</v>
      </c>
      <c r="S22" s="4445">
        <v>2.1001071451093614</v>
      </c>
      <c r="T22" s="4445">
        <v>1.0878723656634206</v>
      </c>
      <c r="U22" s="4445" t="s">
        <v>199</v>
      </c>
      <c r="V22" s="4445" t="s">
        <v>274</v>
      </c>
      <c r="W22" s="4445" t="s">
        <v>199</v>
      </c>
      <c r="X22" s="4445">
        <v>89.808116385173804</v>
      </c>
      <c r="Y22" s="4446" t="s">
        <v>199</v>
      </c>
      <c r="Z22" s="4446" t="s">
        <v>199</v>
      </c>
      <c r="AA22" s="4446" t="s">
        <v>199</v>
      </c>
      <c r="AB22" s="4447" t="s">
        <v>199</v>
      </c>
    </row>
    <row r="23" spans="2:28" s="84" customFormat="1" ht="18" customHeight="1" x14ac:dyDescent="0.2">
      <c r="B23" s="2661" t="s">
        <v>966</v>
      </c>
      <c r="C23" s="3290">
        <f>Table3.A!C23</f>
        <v>1111.817</v>
      </c>
      <c r="D23" s="3290" t="s">
        <v>199</v>
      </c>
      <c r="E23" s="3290">
        <v>100</v>
      </c>
      <c r="F23" s="3290" t="s">
        <v>199</v>
      </c>
      <c r="G23" s="3265">
        <f>Table3.A!M10</f>
        <v>526.49111238532134</v>
      </c>
      <c r="H23" s="3266">
        <v>1.7077973833345776</v>
      </c>
      <c r="I23" s="3267">
        <v>0.19</v>
      </c>
      <c r="J23" s="3268">
        <f t="shared" si="0"/>
        <v>3.4756766015916498</v>
      </c>
      <c r="K23" s="3244">
        <v>3.864316332151823</v>
      </c>
      <c r="M23" s="1667" t="s">
        <v>1061</v>
      </c>
      <c r="N23" s="4510"/>
      <c r="O23" s="1695" t="s">
        <v>1042</v>
      </c>
      <c r="P23" s="1696" t="s">
        <v>1040</v>
      </c>
      <c r="Q23" s="4448">
        <v>8.1264245501470604</v>
      </c>
      <c r="R23" s="4165" t="s">
        <v>199</v>
      </c>
      <c r="S23" s="4165">
        <v>1.8703896600058147</v>
      </c>
      <c r="T23" s="4166">
        <v>3.7353631646846619</v>
      </c>
      <c r="U23" s="4166" t="s">
        <v>199</v>
      </c>
      <c r="V23" s="4166" t="s">
        <v>274</v>
      </c>
      <c r="W23" s="4166" t="s">
        <v>199</v>
      </c>
      <c r="X23" s="4166">
        <v>86.267822625162481</v>
      </c>
      <c r="Y23" s="4166" t="s">
        <v>199</v>
      </c>
      <c r="Z23" s="4166" t="s">
        <v>199</v>
      </c>
      <c r="AA23" s="4166" t="s">
        <v>199</v>
      </c>
      <c r="AB23" s="4140" t="s">
        <v>199</v>
      </c>
    </row>
    <row r="24" spans="2:28" s="84" customFormat="1" ht="18" customHeight="1" thickBot="1" x14ac:dyDescent="0.25">
      <c r="B24" s="1646" t="s">
        <v>1062</v>
      </c>
      <c r="C24" s="4172">
        <f>C25</f>
        <v>69003.229000000007</v>
      </c>
      <c r="D24" s="3270"/>
      <c r="E24" s="3270"/>
      <c r="F24" s="3270"/>
      <c r="G24" s="3270"/>
      <c r="H24" s="3270"/>
      <c r="I24" s="3271"/>
      <c r="J24" s="3268">
        <f t="shared" si="0"/>
        <v>0.34262391287674288</v>
      </c>
      <c r="K24" s="3248">
        <f>K25</f>
        <v>23.642156321109937</v>
      </c>
      <c r="M24" s="1659"/>
      <c r="N24" s="4510"/>
      <c r="O24" s="1697"/>
      <c r="P24" s="1696" t="s">
        <v>1041</v>
      </c>
      <c r="Q24" s="4449">
        <v>6.0930776946104448</v>
      </c>
      <c r="R24" s="4450" t="s">
        <v>199</v>
      </c>
      <c r="S24" s="4450">
        <v>5.2464878476562689</v>
      </c>
      <c r="T24" s="4451">
        <v>6.424858222604513</v>
      </c>
      <c r="U24" s="4451" t="s">
        <v>199</v>
      </c>
      <c r="V24" s="4451" t="s">
        <v>274</v>
      </c>
      <c r="W24" s="4451" t="s">
        <v>199</v>
      </c>
      <c r="X24" s="4451">
        <v>82.235576235128775</v>
      </c>
      <c r="Y24" s="4451" t="s">
        <v>199</v>
      </c>
      <c r="Z24" s="4451" t="s">
        <v>199</v>
      </c>
      <c r="AA24" s="4451" t="s">
        <v>199</v>
      </c>
      <c r="AB24" s="4452" t="s">
        <v>199</v>
      </c>
    </row>
    <row r="25" spans="2:28" s="84" customFormat="1" ht="18" customHeight="1" x14ac:dyDescent="0.2">
      <c r="B25" s="1647" t="s">
        <v>1063</v>
      </c>
      <c r="C25" s="4172">
        <f>C26</f>
        <v>69003.229000000007</v>
      </c>
      <c r="D25" s="3217"/>
      <c r="E25" s="3217"/>
      <c r="F25" s="3217"/>
      <c r="G25" s="3217"/>
      <c r="H25" s="3217"/>
      <c r="I25" s="3227"/>
      <c r="J25" s="3268">
        <f t="shared" si="0"/>
        <v>0.34262391287674288</v>
      </c>
      <c r="K25" s="3248">
        <f>K26</f>
        <v>23.642156321109937</v>
      </c>
      <c r="M25" s="1659"/>
      <c r="N25" s="4510"/>
      <c r="O25" s="1698" t="s">
        <v>1054</v>
      </c>
      <c r="P25" s="1694" t="s">
        <v>1039</v>
      </c>
      <c r="Q25" s="4453">
        <v>0.7</v>
      </c>
      <c r="R25" s="4454" t="s">
        <v>199</v>
      </c>
      <c r="S25" s="4454">
        <v>1.175E-2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69003.229000000007</v>
      </c>
      <c r="D26" s="3290" t="s">
        <v>199</v>
      </c>
      <c r="E26" s="3290">
        <v>100</v>
      </c>
      <c r="F26" s="3290" t="s">
        <v>199</v>
      </c>
      <c r="G26" s="3272">
        <f>Table3.A!N10</f>
        <v>44.216785615511327</v>
      </c>
      <c r="H26" s="3014" t="s">
        <v>205</v>
      </c>
      <c r="I26" s="3104" t="s">
        <v>205</v>
      </c>
      <c r="J26" s="3268">
        <f t="shared" si="0"/>
        <v>0.34262391287674288</v>
      </c>
      <c r="K26" s="3244">
        <v>23.642156321109937</v>
      </c>
      <c r="M26" s="1659"/>
      <c r="N26" s="4510"/>
      <c r="O26" s="1699"/>
      <c r="P26" s="1696" t="s">
        <v>1040</v>
      </c>
      <c r="Q26" s="4448">
        <v>0.73668336935470524</v>
      </c>
      <c r="R26" s="4165" t="s">
        <v>199</v>
      </c>
      <c r="S26" s="4165">
        <v>6.2577305222984533E-2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2345.826</v>
      </c>
      <c r="D27" s="3217"/>
      <c r="E27" s="3217"/>
      <c r="F27" s="3217"/>
      <c r="G27" s="3217"/>
      <c r="H27" s="3217"/>
      <c r="I27" s="3227"/>
      <c r="J27" s="3268">
        <f t="shared" si="0"/>
        <v>23.409872018755781</v>
      </c>
      <c r="K27" s="3248">
        <f>K28</f>
        <v>54.915486438269802</v>
      </c>
      <c r="M27" s="1659"/>
      <c r="N27" s="4511"/>
      <c r="O27" s="1700"/>
      <c r="P27" s="1696" t="s">
        <v>1041</v>
      </c>
      <c r="Q27" s="4449">
        <v>0.8</v>
      </c>
      <c r="R27" s="4450" t="s">
        <v>199</v>
      </c>
      <c r="S27" s="4450">
        <v>0.20771929824561405</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2345.826</v>
      </c>
      <c r="D28" s="3217"/>
      <c r="E28" s="3217"/>
      <c r="F28" s="3217"/>
      <c r="G28" s="3217"/>
      <c r="H28" s="3217"/>
      <c r="I28" s="3227"/>
      <c r="J28" s="3268">
        <f t="shared" si="0"/>
        <v>23.409872018755781</v>
      </c>
      <c r="K28" s="3248">
        <f>K29</f>
        <v>54.915486438269802</v>
      </c>
      <c r="M28" s="1598"/>
      <c r="N28" s="4509"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2345.826</v>
      </c>
      <c r="D29" s="3290">
        <v>0.45042041022814916</v>
      </c>
      <c r="E29" s="3290">
        <v>99.549579589771852</v>
      </c>
      <c r="F29" s="3290" t="s">
        <v>199</v>
      </c>
      <c r="G29" s="3272">
        <f>Table3.A!O10</f>
        <v>58.329344624596722</v>
      </c>
      <c r="H29" s="3014">
        <v>0.39691525118092003</v>
      </c>
      <c r="I29" s="3104">
        <v>0.45</v>
      </c>
      <c r="J29" s="3268">
        <f t="shared" si="0"/>
        <v>23.409872018755781</v>
      </c>
      <c r="K29" s="3244">
        <v>54.915486438269802</v>
      </c>
      <c r="M29" s="1667"/>
      <c r="N29" s="4510"/>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101846.54</v>
      </c>
      <c r="D30" s="3217"/>
      <c r="E30" s="3217"/>
      <c r="F30" s="3217"/>
      <c r="G30" s="3217"/>
      <c r="H30" s="3217"/>
      <c r="I30" s="3227"/>
      <c r="J30" s="3268">
        <f t="shared" si="0"/>
        <v>4.607379726331734E-2</v>
      </c>
      <c r="K30" s="3248">
        <f>SUM(K32:K39)</f>
        <v>4.6924568359303391</v>
      </c>
      <c r="M30" s="1659"/>
      <c r="N30" s="4510"/>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0"/>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5.1520000000000001</v>
      </c>
      <c r="D32" s="3290" t="s">
        <v>199</v>
      </c>
      <c r="E32" s="3290">
        <v>30.906369136234275</v>
      </c>
      <c r="F32" s="3290">
        <v>69.093630863765725</v>
      </c>
      <c r="G32" s="3274" t="s">
        <v>205</v>
      </c>
      <c r="H32" s="3274" t="s">
        <v>205</v>
      </c>
      <c r="I32" s="3274" t="s">
        <v>205</v>
      </c>
      <c r="J32" s="3268">
        <f t="shared" si="0"/>
        <v>8.9219319239120214</v>
      </c>
      <c r="K32" s="3244">
        <v>4.5965793271994737E-2</v>
      </c>
      <c r="M32" s="1659"/>
      <c r="N32" s="4510"/>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2.7589999999999999</v>
      </c>
      <c r="D33" s="3290" t="s">
        <v>199</v>
      </c>
      <c r="E33" s="3290">
        <v>17.493843315595214</v>
      </c>
      <c r="F33" s="3290">
        <v>82.506156684404786</v>
      </c>
      <c r="G33" s="3274" t="s">
        <v>205</v>
      </c>
      <c r="H33" s="3274" t="s">
        <v>205</v>
      </c>
      <c r="I33" s="3274" t="s">
        <v>205</v>
      </c>
      <c r="J33" s="3254">
        <f t="shared" si="0"/>
        <v>10.069984507856596</v>
      </c>
      <c r="K33" s="3244">
        <v>2.7783087257176344E-2</v>
      </c>
      <c r="M33" s="1659"/>
      <c r="N33" s="4511"/>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30.123000000000001</v>
      </c>
      <c r="D34" s="3290" t="s">
        <v>199</v>
      </c>
      <c r="E34" s="3290">
        <v>98.491322971022257</v>
      </c>
      <c r="F34" s="3290">
        <v>1.5086770289777371</v>
      </c>
      <c r="G34" s="3274" t="s">
        <v>205</v>
      </c>
      <c r="H34" s="3274" t="s">
        <v>205</v>
      </c>
      <c r="I34" s="3274" t="s">
        <v>205</v>
      </c>
      <c r="J34" s="3254">
        <f t="shared" si="0"/>
        <v>1.0429605904073735</v>
      </c>
      <c r="K34" s="3244">
        <v>3.1417101864841313E-2</v>
      </c>
      <c r="M34" s="1598"/>
      <c r="N34" s="4509"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460.32400000000001</v>
      </c>
      <c r="D35" s="3290" t="s">
        <v>199</v>
      </c>
      <c r="E35" s="3290">
        <v>99.831102328981785</v>
      </c>
      <c r="F35" s="3290">
        <v>0.16889767101821687</v>
      </c>
      <c r="G35" s="3274" t="s">
        <v>205</v>
      </c>
      <c r="H35" s="3274" t="s">
        <v>205</v>
      </c>
      <c r="I35" s="3274" t="s">
        <v>205</v>
      </c>
      <c r="J35" s="3254">
        <f t="shared" si="0"/>
        <v>0.35904662420392758</v>
      </c>
      <c r="K35" s="3244">
        <v>0.16527777824004877</v>
      </c>
      <c r="M35" s="1667"/>
      <c r="N35" s="4510"/>
      <c r="O35" s="1695" t="s">
        <v>1042</v>
      </c>
      <c r="P35" s="1696" t="s">
        <v>1040</v>
      </c>
      <c r="Q35" s="4448">
        <v>1.8000000000000003</v>
      </c>
      <c r="R35" s="4165" t="s">
        <v>199</v>
      </c>
      <c r="S35" s="4165" t="s">
        <v>199</v>
      </c>
      <c r="T35" s="4166" t="s">
        <v>274</v>
      </c>
      <c r="U35" s="4166" t="s">
        <v>199</v>
      </c>
      <c r="V35" s="4166">
        <v>100</v>
      </c>
      <c r="W35" s="4166" t="s">
        <v>199</v>
      </c>
      <c r="X35" s="4166" t="s">
        <v>199</v>
      </c>
      <c r="Y35" s="4166">
        <v>19.000000000000004</v>
      </c>
      <c r="Z35" s="4166" t="s">
        <v>199</v>
      </c>
      <c r="AA35" s="4166" t="s">
        <v>199</v>
      </c>
      <c r="AB35" s="4140" t="s">
        <v>199</v>
      </c>
    </row>
    <row r="36" spans="2:28" s="84" customFormat="1" ht="18" customHeight="1" thickBot="1" x14ac:dyDescent="0.25">
      <c r="B36" s="1647" t="s">
        <v>1071</v>
      </c>
      <c r="C36" s="3274">
        <f>Table3.A!C36</f>
        <v>222.53</v>
      </c>
      <c r="D36" s="3290" t="s">
        <v>199</v>
      </c>
      <c r="E36" s="3290">
        <v>97.11537488707107</v>
      </c>
      <c r="F36" s="3290">
        <v>2.884625112928926</v>
      </c>
      <c r="G36" s="3274" t="s">
        <v>205</v>
      </c>
      <c r="H36" s="3274" t="s">
        <v>205</v>
      </c>
      <c r="I36" s="3274" t="s">
        <v>205</v>
      </c>
      <c r="J36" s="3254">
        <f t="shared" si="0"/>
        <v>3.2468513850301717</v>
      </c>
      <c r="K36" s="3244">
        <v>0.72252183871076414</v>
      </c>
      <c r="M36" s="1659"/>
      <c r="N36" s="4510"/>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0.64600000000000002</v>
      </c>
      <c r="D37" s="3290" t="s">
        <v>199</v>
      </c>
      <c r="E37" s="3290">
        <v>93.085004642196907</v>
      </c>
      <c r="F37" s="3290">
        <v>6.9149953578030869</v>
      </c>
      <c r="G37" s="3274" t="s">
        <v>205</v>
      </c>
      <c r="H37" s="3274" t="s">
        <v>205</v>
      </c>
      <c r="I37" s="3274" t="s">
        <v>205</v>
      </c>
      <c r="J37" s="3254">
        <f t="shared" si="0"/>
        <v>1.1981759907957066</v>
      </c>
      <c r="K37" s="3244">
        <v>7.7402169005402646E-4</v>
      </c>
      <c r="M37" s="1659"/>
      <c r="N37" s="4510"/>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100982.178</v>
      </c>
      <c r="D38" s="3290">
        <v>1.0033232224010069</v>
      </c>
      <c r="E38" s="3290">
        <v>98.996676777598992</v>
      </c>
      <c r="F38" s="3290" t="s">
        <v>199</v>
      </c>
      <c r="G38" s="3274" t="s">
        <v>205</v>
      </c>
      <c r="H38" s="3274" t="s">
        <v>205</v>
      </c>
      <c r="I38" s="3274" t="s">
        <v>205</v>
      </c>
      <c r="J38" s="3254">
        <f t="shared" si="0"/>
        <v>3.6122032338992326E-2</v>
      </c>
      <c r="K38" s="3244">
        <v>3.6476814993778794</v>
      </c>
      <c r="M38" s="1659"/>
      <c r="N38" s="4510"/>
      <c r="O38" s="1699"/>
      <c r="P38" s="1696" t="s">
        <v>1040</v>
      </c>
      <c r="Q38" s="4448">
        <v>0.7629758710405693</v>
      </c>
      <c r="R38" s="4165" t="s">
        <v>199</v>
      </c>
      <c r="S38" s="4165" t="s">
        <v>199</v>
      </c>
      <c r="T38" s="4166" t="s">
        <v>274</v>
      </c>
      <c r="U38" s="4166" t="s">
        <v>199</v>
      </c>
      <c r="V38" s="4166">
        <v>2.175186146638778E-2</v>
      </c>
      <c r="W38" s="4166" t="s">
        <v>199</v>
      </c>
      <c r="X38" s="4166" t="s">
        <v>199</v>
      </c>
      <c r="Y38" s="4166">
        <v>1.0000000000000002E-2</v>
      </c>
      <c r="Z38" s="4166" t="s">
        <v>199</v>
      </c>
      <c r="AA38" s="4166" t="s">
        <v>199</v>
      </c>
      <c r="AB38" s="4140" t="s">
        <v>199</v>
      </c>
    </row>
    <row r="39" spans="2:28" s="84" customFormat="1" ht="18" customHeight="1" thickBot="1" x14ac:dyDescent="0.25">
      <c r="B39" s="1647" t="s">
        <v>1074</v>
      </c>
      <c r="C39" s="4172">
        <f>SUM(C41:C45)</f>
        <v>142.828</v>
      </c>
      <c r="D39" s="3261"/>
      <c r="E39" s="3261"/>
      <c r="F39" s="3261"/>
      <c r="G39" s="3261"/>
      <c r="H39" s="3261"/>
      <c r="I39" s="3262"/>
      <c r="J39" s="3254">
        <f t="shared" si="0"/>
        <v>0.35732290249517074</v>
      </c>
      <c r="K39" s="3248">
        <f>SUM(K41:K45)</f>
        <v>5.1035715517580252E-2</v>
      </c>
      <c r="M39" s="1663"/>
      <c r="N39" s="4511"/>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2" t="s">
        <v>968</v>
      </c>
      <c r="N40" s="4513"/>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4"/>
      <c r="N41" s="4515"/>
      <c r="O41" s="1695" t="s">
        <v>1042</v>
      </c>
      <c r="P41" s="1696" t="s">
        <v>1040</v>
      </c>
      <c r="Q41" s="4448">
        <v>66.401267806634195</v>
      </c>
      <c r="R41" s="4165" t="s">
        <v>199</v>
      </c>
      <c r="S41" s="4165" t="s">
        <v>199</v>
      </c>
      <c r="T41" s="4166" t="s">
        <v>274</v>
      </c>
      <c r="U41" s="4166" t="s">
        <v>274</v>
      </c>
      <c r="V41" s="4166">
        <v>26.713757256112469</v>
      </c>
      <c r="W41" s="4166" t="s">
        <v>274</v>
      </c>
      <c r="X41" s="4166" t="s">
        <v>199</v>
      </c>
      <c r="Y41" s="4166" t="s">
        <v>199</v>
      </c>
      <c r="Z41" s="4166">
        <v>5.4485611458063952</v>
      </c>
      <c r="AA41" s="4166" t="s">
        <v>199</v>
      </c>
      <c r="AB41" s="4140">
        <v>22.202371332167374</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4"/>
      <c r="N42" s="4515"/>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9.8109999999999999</v>
      </c>
      <c r="D43" s="3290" t="s">
        <v>199</v>
      </c>
      <c r="E43" s="3290">
        <v>100</v>
      </c>
      <c r="F43" s="3290" t="s">
        <v>199</v>
      </c>
      <c r="G43" s="3274" t="s">
        <v>205</v>
      </c>
      <c r="H43" s="3274" t="s">
        <v>205</v>
      </c>
      <c r="I43" s="3274" t="s">
        <v>205</v>
      </c>
      <c r="J43" s="3254">
        <f t="shared" si="0"/>
        <v>0.35731837387468801</v>
      </c>
      <c r="K43" s="3244">
        <v>3.5056505660845637E-3</v>
      </c>
      <c r="M43" s="4514"/>
      <c r="N43" s="4515"/>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4"/>
      <c r="N44" s="4515"/>
      <c r="O44" s="1699"/>
      <c r="P44" s="1696" t="s">
        <v>1040</v>
      </c>
      <c r="Q44" s="4448">
        <v>0.75464341887966979</v>
      </c>
      <c r="R44" s="4165" t="s">
        <v>199</v>
      </c>
      <c r="S44" s="4165" t="s">
        <v>199</v>
      </c>
      <c r="T44" s="4166" t="s">
        <v>274</v>
      </c>
      <c r="U44" s="4166" t="s">
        <v>274</v>
      </c>
      <c r="V44" s="4166">
        <v>1.9203865940443512E-2</v>
      </c>
      <c r="W44" s="4166" t="s">
        <v>274</v>
      </c>
      <c r="X44" s="4166" t="s">
        <v>199</v>
      </c>
      <c r="Y44" s="4166" t="s">
        <v>199</v>
      </c>
      <c r="Z44" s="4166">
        <v>0.1</v>
      </c>
      <c r="AA44" s="4166" t="s">
        <v>199</v>
      </c>
      <c r="AB44" s="4140">
        <v>3.9423069951071671E-2</v>
      </c>
    </row>
    <row r="45" spans="2:28" s="84" customFormat="1" ht="18" customHeight="1" thickBot="1" x14ac:dyDescent="0.25">
      <c r="B45" s="2663" t="s">
        <v>1079</v>
      </c>
      <c r="C45" s="4172">
        <f>C46</f>
        <v>133.017</v>
      </c>
      <c r="D45" s="3261"/>
      <c r="E45" s="3261"/>
      <c r="F45" s="3261"/>
      <c r="G45" s="3261"/>
      <c r="H45" s="3261"/>
      <c r="I45" s="3262"/>
      <c r="J45" s="3254">
        <f t="shared" si="0"/>
        <v>0.35732323651484915</v>
      </c>
      <c r="K45" s="3248">
        <f>K46</f>
        <v>4.7530064951495692E-2</v>
      </c>
      <c r="M45" s="4516"/>
      <c r="N45" s="4517"/>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133.017</v>
      </c>
      <c r="D46" s="3021" t="s">
        <v>199</v>
      </c>
      <c r="E46" s="3021">
        <v>100</v>
      </c>
      <c r="F46" s="3021" t="s">
        <v>199</v>
      </c>
      <c r="G46" s="3021" t="s">
        <v>205</v>
      </c>
      <c r="H46" s="3021" t="s">
        <v>205</v>
      </c>
      <c r="I46" s="3275" t="s">
        <v>205</v>
      </c>
      <c r="J46" s="3276">
        <f t="shared" si="0"/>
        <v>0.35732323651484915</v>
      </c>
      <c r="K46" s="3245">
        <v>4.7530064951495692E-2</v>
      </c>
      <c r="M46" s="4512" t="s">
        <v>1080</v>
      </c>
      <c r="N46" s="4513"/>
      <c r="O46" s="1693" t="s">
        <v>1051</v>
      </c>
      <c r="P46" s="1694" t="s">
        <v>1039</v>
      </c>
      <c r="Q46" s="4444" t="s">
        <v>199</v>
      </c>
      <c r="R46" s="4445" t="s">
        <v>199</v>
      </c>
      <c r="S46" s="4445" t="s">
        <v>199</v>
      </c>
      <c r="T46" s="4446">
        <v>46.673837420797668</v>
      </c>
      <c r="U46" s="4446" t="s">
        <v>199</v>
      </c>
      <c r="V46" s="4446" t="s">
        <v>199</v>
      </c>
      <c r="W46" s="4446" t="s">
        <v>274</v>
      </c>
      <c r="X46" s="4446">
        <v>1.9256725318727403</v>
      </c>
      <c r="Y46" s="4446">
        <v>18.15734937178755</v>
      </c>
      <c r="Z46" s="4446">
        <v>0.37689686110703297</v>
      </c>
      <c r="AA46" s="4446" t="s">
        <v>199</v>
      </c>
      <c r="AB46" s="4447">
        <v>97.507544561606323</v>
      </c>
    </row>
    <row r="47" spans="2:28" s="84" customFormat="1" ht="17.25" customHeight="1" x14ac:dyDescent="0.2">
      <c r="B47" s="504" t="s">
        <v>560</v>
      </c>
      <c r="C47" s="504" t="s">
        <v>560</v>
      </c>
      <c r="D47" s="504"/>
      <c r="E47" s="504"/>
      <c r="F47" s="504"/>
      <c r="G47" s="504"/>
      <c r="H47" s="504"/>
      <c r="I47" s="504"/>
      <c r="J47" s="504"/>
      <c r="K47" s="504"/>
      <c r="M47" s="4514"/>
      <c r="N47" s="4515"/>
      <c r="O47" s="1695" t="s">
        <v>1042</v>
      </c>
      <c r="P47" s="1696" t="s">
        <v>1040</v>
      </c>
      <c r="Q47" s="4448" t="s">
        <v>199</v>
      </c>
      <c r="R47" s="4165" t="s">
        <v>199</v>
      </c>
      <c r="S47" s="4165" t="s">
        <v>199</v>
      </c>
      <c r="T47" s="4166">
        <v>43.254176384269442</v>
      </c>
      <c r="U47" s="4166" t="s">
        <v>199</v>
      </c>
      <c r="V47" s="4166" t="s">
        <v>199</v>
      </c>
      <c r="W47" s="4166" t="s">
        <v>274</v>
      </c>
      <c r="X47" s="4166">
        <v>2.6908849138861628</v>
      </c>
      <c r="Y47" s="4166">
        <v>18.794868071315392</v>
      </c>
      <c r="Z47" s="4166">
        <v>0.22954537293909866</v>
      </c>
      <c r="AA47" s="4166" t="s">
        <v>199</v>
      </c>
      <c r="AB47" s="4140">
        <v>97.309115086113835</v>
      </c>
    </row>
    <row r="48" spans="2:28" s="84" customFormat="1" ht="14.25" thickBot="1" x14ac:dyDescent="0.25">
      <c r="B48" s="311"/>
      <c r="C48" s="1648"/>
      <c r="D48" s="1648"/>
      <c r="E48" s="1648"/>
      <c r="F48" s="1648"/>
      <c r="G48" s="1648"/>
      <c r="H48" s="1648"/>
      <c r="I48" s="1648"/>
      <c r="J48" s="1648"/>
      <c r="K48" s="1648"/>
      <c r="M48" s="4514"/>
      <c r="N48" s="4515"/>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4"/>
      <c r="N49" s="4515"/>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4"/>
      <c r="N50" s="4515"/>
      <c r="O50" s="1699"/>
      <c r="P50" s="1696" t="s">
        <v>1040</v>
      </c>
      <c r="Q50" s="4448" t="s">
        <v>199</v>
      </c>
      <c r="R50" s="4165" t="s">
        <v>199</v>
      </c>
      <c r="S50" s="4165" t="s">
        <v>199</v>
      </c>
      <c r="T50" s="4166">
        <v>0.02</v>
      </c>
      <c r="U50" s="4166" t="s">
        <v>199</v>
      </c>
      <c r="V50" s="4166" t="s">
        <v>199</v>
      </c>
      <c r="W50" s="4166" t="s">
        <v>274</v>
      </c>
      <c r="X50" s="4166">
        <v>1.4222910635989268E-2</v>
      </c>
      <c r="Y50" s="4166">
        <v>0.01</v>
      </c>
      <c r="Z50" s="4166">
        <v>0.1</v>
      </c>
      <c r="AA50" s="4166" t="s">
        <v>199</v>
      </c>
      <c r="AB50" s="4140">
        <v>1.4999999999999998E-2</v>
      </c>
    </row>
    <row r="51" spans="2:28" s="84" customFormat="1" ht="14.25" thickBot="1" x14ac:dyDescent="0.25">
      <c r="B51" s="72"/>
      <c r="C51" s="311"/>
      <c r="D51" s="311"/>
      <c r="E51" s="311"/>
      <c r="F51" s="311"/>
      <c r="G51" s="311"/>
      <c r="H51" s="311"/>
      <c r="I51" s="311"/>
      <c r="J51" s="311"/>
      <c r="K51" s="311"/>
      <c r="M51" s="4516"/>
      <c r="N51" s="4517"/>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2" t="s">
        <v>1081</v>
      </c>
      <c r="N52" s="4513"/>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4"/>
      <c r="N53" s="4515"/>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4"/>
      <c r="N54" s="4515"/>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4"/>
      <c r="N55" s="4515"/>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4"/>
      <c r="N56" s="4515"/>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6"/>
      <c r="N57" s="4517"/>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2" t="s">
        <v>1082</v>
      </c>
      <c r="N58" s="4513"/>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4"/>
      <c r="N59" s="4515"/>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4"/>
      <c r="N60" s="4515"/>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4"/>
      <c r="N61" s="4515"/>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4"/>
      <c r="N62" s="4515"/>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6"/>
      <c r="N63" s="4517"/>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6" t="s">
        <v>1083</v>
      </c>
      <c r="C65" s="4507"/>
      <c r="D65" s="4507"/>
      <c r="E65" s="4507"/>
      <c r="F65" s="4507"/>
      <c r="G65" s="4507"/>
      <c r="H65" s="4507"/>
      <c r="I65" s="4507"/>
      <c r="J65" s="4507"/>
      <c r="K65" s="4508"/>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26105.865000000002</v>
      </c>
      <c r="D10" s="3453"/>
      <c r="E10" s="3454"/>
      <c r="F10" s="3441">
        <f>F15</f>
        <v>24903643.00834189</v>
      </c>
      <c r="G10" s="3441" t="str">
        <f t="shared" ref="G10:R10" si="0">G15</f>
        <v>NO</v>
      </c>
      <c r="H10" s="3441">
        <f t="shared" si="0"/>
        <v>5499585.720535188</v>
      </c>
      <c r="I10" s="3441">
        <f t="shared" si="0"/>
        <v>26208925.466368161</v>
      </c>
      <c r="J10" s="3441" t="str">
        <f t="shared" si="0"/>
        <v>NO</v>
      </c>
      <c r="K10" s="3441">
        <f t="shared" si="0"/>
        <v>78941053.131061584</v>
      </c>
      <c r="L10" s="3441" t="str">
        <f t="shared" si="0"/>
        <v>NO</v>
      </c>
      <c r="M10" s="3441">
        <f t="shared" si="0"/>
        <v>1052939737.7449325</v>
      </c>
      <c r="N10" s="3441">
        <f t="shared" si="0"/>
        <v>11297096.231479963</v>
      </c>
      <c r="O10" s="3441" t="str">
        <f t="shared" si="0"/>
        <v>NO</v>
      </c>
      <c r="P10" s="3441" t="str">
        <f t="shared" si="0"/>
        <v>NO</v>
      </c>
      <c r="Q10" s="3441" t="str">
        <f t="shared" si="0"/>
        <v>NO</v>
      </c>
      <c r="R10" s="3441">
        <f t="shared" si="0"/>
        <v>1199790041.3027194</v>
      </c>
      <c r="S10" s="2670"/>
      <c r="T10" s="2671"/>
      <c r="U10" s="3419">
        <f>IF(SUM(X10)=0,"NA",X10*1000/C10)</f>
        <v>4.0348185809139063E-2</v>
      </c>
      <c r="V10" s="3411"/>
      <c r="W10" s="3412"/>
      <c r="X10" s="3278">
        <f t="shared" ref="X10" si="1">X15</f>
        <v>1.0533242917283003</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26105.865000000002</v>
      </c>
      <c r="D15" s="3456"/>
      <c r="E15" s="3456"/>
      <c r="F15" s="2668">
        <f>F20</f>
        <v>24903643.00834189</v>
      </c>
      <c r="G15" s="2668" t="str">
        <f t="shared" ref="G15:R15" si="2">G20</f>
        <v>NO</v>
      </c>
      <c r="H15" s="2668">
        <f t="shared" si="2"/>
        <v>5499585.720535188</v>
      </c>
      <c r="I15" s="2668">
        <f t="shared" si="2"/>
        <v>26208925.466368161</v>
      </c>
      <c r="J15" s="2668" t="str">
        <f t="shared" si="2"/>
        <v>NO</v>
      </c>
      <c r="K15" s="2668">
        <f t="shared" si="2"/>
        <v>78941053.131061584</v>
      </c>
      <c r="L15" s="2668" t="str">
        <f t="shared" si="2"/>
        <v>NO</v>
      </c>
      <c r="M15" s="2668">
        <f t="shared" si="2"/>
        <v>1052939737.7449325</v>
      </c>
      <c r="N15" s="2668">
        <f t="shared" si="2"/>
        <v>11297096.231479963</v>
      </c>
      <c r="O15" s="2668" t="str">
        <f t="shared" si="2"/>
        <v>NO</v>
      </c>
      <c r="P15" s="2668" t="str">
        <f t="shared" si="2"/>
        <v>NO</v>
      </c>
      <c r="Q15" s="2668" t="str">
        <f t="shared" si="2"/>
        <v>NO</v>
      </c>
      <c r="R15" s="2668">
        <f t="shared" si="2"/>
        <v>1199790041.3027194</v>
      </c>
      <c r="S15" s="2676"/>
      <c r="T15" s="2677"/>
      <c r="U15" s="3419">
        <f>IF(SUM(X15)=0,"NA",X15*1000/C15)</f>
        <v>4.0348185809139063E-2</v>
      </c>
      <c r="V15" s="3417"/>
      <c r="W15" s="3418"/>
      <c r="X15" s="3281">
        <f t="shared" ref="X15" si="3">X20</f>
        <v>1.0533242917283003</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26105.865000000002</v>
      </c>
      <c r="D20" s="3455"/>
      <c r="E20" s="3455"/>
      <c r="F20" s="2668">
        <f>IF(SUM(F21:F23)=0,"NO",SUM(F21:F23))</f>
        <v>24903643.00834189</v>
      </c>
      <c r="G20" s="2668" t="str">
        <f t="shared" ref="G20:Q20" si="6">IF(SUM(G21:G23)=0,"NO",SUM(G21:G23))</f>
        <v>NO</v>
      </c>
      <c r="H20" s="2668">
        <f t="shared" si="6"/>
        <v>5499585.720535188</v>
      </c>
      <c r="I20" s="2668">
        <f t="shared" si="6"/>
        <v>26208925.466368161</v>
      </c>
      <c r="J20" s="2668" t="str">
        <f t="shared" si="6"/>
        <v>NO</v>
      </c>
      <c r="K20" s="2668">
        <f t="shared" si="6"/>
        <v>78941053.131061584</v>
      </c>
      <c r="L20" s="2668" t="str">
        <f t="shared" si="6"/>
        <v>NO</v>
      </c>
      <c r="M20" s="2668">
        <f t="shared" si="6"/>
        <v>1052939737.7449325</v>
      </c>
      <c r="N20" s="2668">
        <f t="shared" si="6"/>
        <v>11297096.231479963</v>
      </c>
      <c r="O20" s="2668" t="str">
        <f t="shared" si="6"/>
        <v>NO</v>
      </c>
      <c r="P20" s="2668" t="str">
        <f t="shared" si="6"/>
        <v>NO</v>
      </c>
      <c r="Q20" s="2668" t="str">
        <f t="shared" si="6"/>
        <v>NO</v>
      </c>
      <c r="R20" s="3445">
        <f>IF(SUM(F20:Q20)=0,"NO",SUM(F20:Q20))</f>
        <v>1199790041.3027194</v>
      </c>
      <c r="S20" s="2676"/>
      <c r="T20" s="2677"/>
      <c r="U20" s="3419">
        <f t="shared" si="4"/>
        <v>4.0348185809139063E-2</v>
      </c>
      <c r="V20" s="3417"/>
      <c r="W20" s="3418"/>
      <c r="X20" s="3281">
        <f t="shared" ref="X20" si="7">IF(SUM(X21:X23)=0,"NO",SUM(X21:X23))</f>
        <v>1.0533242917283003</v>
      </c>
      <c r="Y20" s="3142"/>
      <c r="Z20" s="3420"/>
    </row>
    <row r="21" spans="2:26" ht="18" customHeight="1" x14ac:dyDescent="0.2">
      <c r="B21" s="2666" t="s">
        <v>994</v>
      </c>
      <c r="C21" s="3458">
        <f>Table3.A!C21</f>
        <v>2410.2179999999998</v>
      </c>
      <c r="D21" s="3274">
        <v>124.02758301138233</v>
      </c>
      <c r="E21" s="3457">
        <f>'Table3.B(a)'!G21</f>
        <v>453.64460661523583</v>
      </c>
      <c r="F21" s="3442">
        <v>23482704.051982779</v>
      </c>
      <c r="G21" s="3442" t="s">
        <v>199</v>
      </c>
      <c r="H21" s="3442">
        <v>5499585.720535188</v>
      </c>
      <c r="I21" s="3442">
        <v>10155157.137422945</v>
      </c>
      <c r="J21" s="3442" t="s">
        <v>199</v>
      </c>
      <c r="K21" s="3442" t="s">
        <v>274</v>
      </c>
      <c r="L21" s="3442" t="s">
        <v>199</v>
      </c>
      <c r="M21" s="3442">
        <v>259796033.10114551</v>
      </c>
      <c r="N21" s="3442" t="s">
        <v>199</v>
      </c>
      <c r="O21" s="3442" t="s">
        <v>199</v>
      </c>
      <c r="P21" s="3442" t="s">
        <v>199</v>
      </c>
      <c r="Q21" s="3442" t="s">
        <v>199</v>
      </c>
      <c r="R21" s="3445">
        <f t="shared" ref="R21:R46" si="8">IF(SUM(F21:Q21)=0,"NO",SUM(F21:Q21))</f>
        <v>298933480.0110864</v>
      </c>
      <c r="S21" s="2676"/>
      <c r="T21" s="2677"/>
      <c r="U21" s="3419">
        <f t="shared" si="4"/>
        <v>3.3105105167028873E-2</v>
      </c>
      <c r="V21" s="3417"/>
      <c r="W21" s="3418"/>
      <c r="X21" s="3282">
        <v>7.9790520365465994E-2</v>
      </c>
      <c r="Y21" s="3142"/>
      <c r="Z21" s="3420"/>
    </row>
    <row r="22" spans="2:26" ht="18" customHeight="1" x14ac:dyDescent="0.2">
      <c r="B22" s="2666" t="s">
        <v>965</v>
      </c>
      <c r="C22" s="3458">
        <f>Table3.A!C22</f>
        <v>22583.83</v>
      </c>
      <c r="D22" s="3274">
        <v>35.119982377799495</v>
      </c>
      <c r="E22" s="3457">
        <f>'Table3.B(a)'!G22</f>
        <v>359.56906632985158</v>
      </c>
      <c r="F22" s="3446" t="s">
        <v>199</v>
      </c>
      <c r="G22" s="3442" t="s">
        <v>199</v>
      </c>
      <c r="H22" s="3446" t="s">
        <v>199</v>
      </c>
      <c r="I22" s="3446" t="s">
        <v>199</v>
      </c>
      <c r="J22" s="3446" t="s">
        <v>199</v>
      </c>
      <c r="K22" s="3446" t="s">
        <v>199</v>
      </c>
      <c r="L22" s="3446" t="s">
        <v>199</v>
      </c>
      <c r="M22" s="3446">
        <v>793143704.64378703</v>
      </c>
      <c r="N22" s="3446" t="s">
        <v>199</v>
      </c>
      <c r="O22" s="3446" t="s">
        <v>199</v>
      </c>
      <c r="P22" s="3446" t="s">
        <v>199</v>
      </c>
      <c r="Q22" s="3446" t="s">
        <v>199</v>
      </c>
      <c r="R22" s="3445">
        <f t="shared" si="8"/>
        <v>793143704.64378703</v>
      </c>
      <c r="S22" s="2676"/>
      <c r="T22" s="2677"/>
      <c r="U22" s="3419" t="str">
        <f>IF(SUM(X22)=0,"NA",X22*1000/C22)</f>
        <v>NA</v>
      </c>
      <c r="V22" s="3417"/>
      <c r="W22" s="3418"/>
      <c r="X22" s="3282" t="s">
        <v>205</v>
      </c>
      <c r="Y22" s="3142"/>
      <c r="Z22" s="3420"/>
    </row>
    <row r="23" spans="2:26" ht="18" customHeight="1" x14ac:dyDescent="0.2">
      <c r="B23" s="2666" t="s">
        <v>966</v>
      </c>
      <c r="C23" s="3458">
        <f>Table3.A!C23</f>
        <v>1111.817</v>
      </c>
      <c r="D23" s="3274">
        <v>71.001846718690771</v>
      </c>
      <c r="E23" s="3457">
        <f>'Table3.B(a)'!G23</f>
        <v>526.49111238532134</v>
      </c>
      <c r="F23" s="3446">
        <v>1420938.9563591091</v>
      </c>
      <c r="G23" s="3442" t="s">
        <v>199</v>
      </c>
      <c r="H23" s="3446" t="s">
        <v>199</v>
      </c>
      <c r="I23" s="3446">
        <v>16053768.328945214</v>
      </c>
      <c r="J23" s="3446" t="s">
        <v>274</v>
      </c>
      <c r="K23" s="3446">
        <v>78941053.131061584</v>
      </c>
      <c r="L23" s="3446" t="s">
        <v>199</v>
      </c>
      <c r="M23" s="3446" t="s">
        <v>199</v>
      </c>
      <c r="N23" s="3446">
        <v>11297096.231479963</v>
      </c>
      <c r="O23" s="3446" t="s">
        <v>199</v>
      </c>
      <c r="P23" s="3446" t="s">
        <v>199</v>
      </c>
      <c r="Q23" s="3446" t="s">
        <v>199</v>
      </c>
      <c r="R23" s="3445">
        <f t="shared" si="8"/>
        <v>107712856.64784586</v>
      </c>
      <c r="S23" s="2676"/>
      <c r="T23" s="2677"/>
      <c r="U23" s="3419">
        <f t="shared" ref="U23:U30" si="9">IF(SUM(X23)=0,"NA",X23*1000/C23)</f>
        <v>0.87562411022932229</v>
      </c>
      <c r="V23" s="3417"/>
      <c r="W23" s="3418"/>
      <c r="X23" s="3282">
        <v>0.97353377136283437</v>
      </c>
      <c r="Y23" s="3142"/>
      <c r="Z23" s="3420"/>
    </row>
    <row r="24" spans="2:26" ht="18" customHeight="1" x14ac:dyDescent="0.2">
      <c r="B24" s="349" t="s">
        <v>1062</v>
      </c>
      <c r="C24" s="3281">
        <f>C25</f>
        <v>69003.229000000007</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476757993.83414149</v>
      </c>
      <c r="N24" s="2668" t="str">
        <f t="shared" si="10"/>
        <v>NO</v>
      </c>
      <c r="O24" s="2668" t="str">
        <f t="shared" si="10"/>
        <v>NO</v>
      </c>
      <c r="P24" s="2668" t="str">
        <f t="shared" si="10"/>
        <v>NO</v>
      </c>
      <c r="Q24" s="2668" t="str">
        <f t="shared" si="10"/>
        <v>NO</v>
      </c>
      <c r="R24" s="3445">
        <f t="shared" si="8"/>
        <v>476757993.83414149</v>
      </c>
      <c r="S24" s="2676"/>
      <c r="T24" s="2677"/>
      <c r="U24" s="3419" t="str">
        <f t="shared" si="9"/>
        <v>NA</v>
      </c>
      <c r="V24" s="3417"/>
      <c r="W24" s="3418"/>
      <c r="X24" s="3281" t="str">
        <f t="shared" ref="X24:X25" si="11">X25</f>
        <v>NA</v>
      </c>
      <c r="Y24" s="3142"/>
      <c r="Z24" s="3420"/>
    </row>
    <row r="25" spans="2:26" ht="18" customHeight="1" x14ac:dyDescent="0.2">
      <c r="B25" s="348" t="s">
        <v>1063</v>
      </c>
      <c r="C25" s="3281">
        <f>C26</f>
        <v>69003.229000000007</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476757993.83414149</v>
      </c>
      <c r="N25" s="2668" t="str">
        <f t="shared" si="10"/>
        <v>NO</v>
      </c>
      <c r="O25" s="2668" t="str">
        <f t="shared" si="10"/>
        <v>NO</v>
      </c>
      <c r="P25" s="2668" t="str">
        <f t="shared" si="10"/>
        <v>NO</v>
      </c>
      <c r="Q25" s="2668" t="str">
        <f t="shared" si="10"/>
        <v>NO</v>
      </c>
      <c r="R25" s="3445">
        <f t="shared" si="8"/>
        <v>476757993.83414149</v>
      </c>
      <c r="S25" s="2676"/>
      <c r="T25" s="2677"/>
      <c r="U25" s="3419" t="str">
        <f t="shared" si="9"/>
        <v>NA</v>
      </c>
      <c r="V25" s="3417"/>
      <c r="W25" s="3418"/>
      <c r="X25" s="3281" t="str">
        <f t="shared" si="11"/>
        <v>NA</v>
      </c>
      <c r="Y25" s="3142"/>
      <c r="Z25" s="3420"/>
    </row>
    <row r="26" spans="2:26" ht="18" customHeight="1" x14ac:dyDescent="0.2">
      <c r="B26" s="2661" t="s">
        <v>967</v>
      </c>
      <c r="C26" s="3458">
        <f>Table3.A!C26</f>
        <v>69003.229000000007</v>
      </c>
      <c r="D26" s="3274">
        <v>6.9092128414800964</v>
      </c>
      <c r="E26" s="3457">
        <f>'Table3.B(a)'!G26</f>
        <v>44.216785615511327</v>
      </c>
      <c r="F26" s="3446" t="s">
        <v>199</v>
      </c>
      <c r="G26" s="3442" t="s">
        <v>199</v>
      </c>
      <c r="H26" s="3446" t="s">
        <v>199</v>
      </c>
      <c r="I26" s="3446" t="s">
        <v>199</v>
      </c>
      <c r="J26" s="3446" t="s">
        <v>199</v>
      </c>
      <c r="K26" s="3446" t="s">
        <v>199</v>
      </c>
      <c r="L26" s="3446" t="s">
        <v>199</v>
      </c>
      <c r="M26" s="3442">
        <v>476757993.83414149</v>
      </c>
      <c r="N26" s="3446" t="s">
        <v>199</v>
      </c>
      <c r="O26" s="3446" t="s">
        <v>199</v>
      </c>
      <c r="P26" s="3446" t="s">
        <v>199</v>
      </c>
      <c r="Q26" s="3446" t="s">
        <v>199</v>
      </c>
      <c r="R26" s="3445">
        <f t="shared" si="8"/>
        <v>476757993.83414149</v>
      </c>
      <c r="S26" s="2676"/>
      <c r="T26" s="2677"/>
      <c r="U26" s="3419" t="str">
        <f t="shared" si="9"/>
        <v>NA</v>
      </c>
      <c r="V26" s="3417"/>
      <c r="W26" s="3418"/>
      <c r="X26" s="3282" t="s">
        <v>205</v>
      </c>
      <c r="Y26" s="3142"/>
      <c r="Z26" s="3420"/>
    </row>
    <row r="27" spans="2:26" ht="18" customHeight="1" x14ac:dyDescent="0.2">
      <c r="B27" s="349" t="s">
        <v>1064</v>
      </c>
      <c r="C27" s="3281">
        <f>C28</f>
        <v>2345.826</v>
      </c>
      <c r="D27" s="3455"/>
      <c r="E27" s="3455"/>
      <c r="F27" s="2668">
        <f>F28</f>
        <v>20367183.009030245</v>
      </c>
      <c r="G27" s="2668" t="str">
        <f t="shared" ref="G27:G28" si="12">G28</f>
        <v>NO</v>
      </c>
      <c r="H27" s="2668" t="str">
        <f t="shared" ref="H27:H28" si="13">H28</f>
        <v>NO</v>
      </c>
      <c r="I27" s="2668" t="str">
        <f t="shared" ref="I27:I28" si="14">I28</f>
        <v>IE</v>
      </c>
      <c r="J27" s="2668" t="str">
        <f t="shared" ref="J27:J28" si="15">J28</f>
        <v>IE</v>
      </c>
      <c r="K27" s="2668">
        <f t="shared" ref="K27:K28" si="16">K28</f>
        <v>7200869.0198277766</v>
      </c>
      <c r="L27" s="2668" t="str">
        <f t="shared" ref="L27:L28" si="17">L28</f>
        <v>IE</v>
      </c>
      <c r="M27" s="2668" t="str">
        <f t="shared" ref="M27:M28" si="18">M28</f>
        <v>NO</v>
      </c>
      <c r="N27" s="2668" t="str">
        <f t="shared" ref="N27:N28" si="19">N28</f>
        <v>NO</v>
      </c>
      <c r="O27" s="2668">
        <f t="shared" ref="O27:O28" si="20">O28</f>
        <v>1566184.3005604052</v>
      </c>
      <c r="P27" s="2668" t="str">
        <f t="shared" ref="P27:P28" si="21">P28</f>
        <v>NO</v>
      </c>
      <c r="Q27" s="2668">
        <f t="shared" ref="Q27:Q28" si="22">Q28</f>
        <v>6416137.4305825336</v>
      </c>
      <c r="R27" s="3445">
        <f t="shared" si="8"/>
        <v>35550373.760000959</v>
      </c>
      <c r="S27" s="2676"/>
      <c r="T27" s="2677"/>
      <c r="U27" s="3419">
        <f t="shared" si="9"/>
        <v>7.9567220672495165E-2</v>
      </c>
      <c r="V27" s="3417"/>
      <c r="W27" s="3418"/>
      <c r="X27" s="3281">
        <f t="shared" ref="X27:X28" si="23">X28</f>
        <v>0.18665085500127665</v>
      </c>
      <c r="Y27" s="3142"/>
      <c r="Z27" s="3420"/>
    </row>
    <row r="28" spans="2:26" ht="18" customHeight="1" x14ac:dyDescent="0.2">
      <c r="B28" s="348" t="s">
        <v>1065</v>
      </c>
      <c r="C28" s="3281">
        <f>C29</f>
        <v>2345.826</v>
      </c>
      <c r="D28" s="3455"/>
      <c r="E28" s="3455"/>
      <c r="F28" s="2668">
        <f>F29</f>
        <v>20367183.009030245</v>
      </c>
      <c r="G28" s="2668" t="str">
        <f t="shared" si="12"/>
        <v>NO</v>
      </c>
      <c r="H28" s="2668" t="str">
        <f t="shared" si="13"/>
        <v>NO</v>
      </c>
      <c r="I28" s="2668" t="str">
        <f t="shared" si="14"/>
        <v>IE</v>
      </c>
      <c r="J28" s="2668" t="str">
        <f t="shared" si="15"/>
        <v>IE</v>
      </c>
      <c r="K28" s="2668">
        <f t="shared" si="16"/>
        <v>7200869.0198277766</v>
      </c>
      <c r="L28" s="2668" t="str">
        <f t="shared" si="17"/>
        <v>IE</v>
      </c>
      <c r="M28" s="2668" t="str">
        <f t="shared" si="18"/>
        <v>NO</v>
      </c>
      <c r="N28" s="2668" t="str">
        <f t="shared" si="19"/>
        <v>NO</v>
      </c>
      <c r="O28" s="2668">
        <f t="shared" si="20"/>
        <v>1566184.3005604052</v>
      </c>
      <c r="P28" s="2668" t="str">
        <f t="shared" si="21"/>
        <v>NO</v>
      </c>
      <c r="Q28" s="2668">
        <f t="shared" si="22"/>
        <v>6416137.4305825336</v>
      </c>
      <c r="R28" s="3445">
        <f t="shared" si="8"/>
        <v>35550373.760000959</v>
      </c>
      <c r="S28" s="2676"/>
      <c r="T28" s="2677"/>
      <c r="U28" s="3419">
        <f t="shared" si="9"/>
        <v>7.9567220672495165E-2</v>
      </c>
      <c r="V28" s="3417"/>
      <c r="W28" s="3418"/>
      <c r="X28" s="3281">
        <f t="shared" si="23"/>
        <v>0.18665085500127665</v>
      </c>
      <c r="Y28" s="3142"/>
      <c r="Z28" s="3420"/>
    </row>
    <row r="29" spans="2:26" ht="18" customHeight="1" x14ac:dyDescent="0.2">
      <c r="B29" s="2661" t="s">
        <v>968</v>
      </c>
      <c r="C29" s="3458">
        <f>Table3.A!C29</f>
        <v>2345.826</v>
      </c>
      <c r="D29" s="3274">
        <v>12.260585398648873</v>
      </c>
      <c r="E29" s="3457">
        <f>'Table3.B(a)'!G29</f>
        <v>58.329344624596722</v>
      </c>
      <c r="F29" s="3442">
        <v>20367183.009030245</v>
      </c>
      <c r="G29" s="3442" t="s">
        <v>199</v>
      </c>
      <c r="H29" s="3442" t="s">
        <v>199</v>
      </c>
      <c r="I29" s="3442" t="s">
        <v>274</v>
      </c>
      <c r="J29" s="3442" t="s">
        <v>274</v>
      </c>
      <c r="K29" s="3442">
        <v>7200869.0198277766</v>
      </c>
      <c r="L29" s="3442" t="s">
        <v>274</v>
      </c>
      <c r="M29" s="3442" t="s">
        <v>199</v>
      </c>
      <c r="N29" s="3442" t="s">
        <v>199</v>
      </c>
      <c r="O29" s="3442">
        <v>1566184.3005604052</v>
      </c>
      <c r="P29" s="3442" t="s">
        <v>199</v>
      </c>
      <c r="Q29" s="3442">
        <v>6416137.4305825336</v>
      </c>
      <c r="R29" s="3445">
        <f t="shared" si="8"/>
        <v>35550373.760000959</v>
      </c>
      <c r="S29" s="2676"/>
      <c r="T29" s="2677"/>
      <c r="U29" s="3419">
        <f t="shared" si="9"/>
        <v>7.9567220672495165E-2</v>
      </c>
      <c r="V29" s="3417"/>
      <c r="W29" s="3418"/>
      <c r="X29" s="3282">
        <v>0.18665085500127665</v>
      </c>
      <c r="Y29" s="3142"/>
      <c r="Z29" s="3420"/>
    </row>
    <row r="30" spans="2:26" ht="18" customHeight="1" x14ac:dyDescent="0.2">
      <c r="B30" s="349" t="s">
        <v>1116</v>
      </c>
      <c r="C30" s="3281">
        <f>IF(SUM(C32:C39)=0,"NO",SUM(C32:C39))</f>
        <v>101846.54</v>
      </c>
      <c r="D30" s="3455"/>
      <c r="E30" s="3455"/>
      <c r="F30" s="2668" t="str">
        <f>IF(SUM(F32:F39)=0,"NO",SUM(F32:F39))</f>
        <v>NO</v>
      </c>
      <c r="G30" s="2668" t="str">
        <f t="shared" ref="G30:Q30" si="24">IF(SUM(G32:G39)=0,"NO",SUM(G32:G39))</f>
        <v>NO</v>
      </c>
      <c r="H30" s="2668" t="str">
        <f t="shared" si="24"/>
        <v>NO</v>
      </c>
      <c r="I30" s="2668">
        <f t="shared" si="24"/>
        <v>24068428.413709596</v>
      </c>
      <c r="J30" s="2668" t="str">
        <f t="shared" si="24"/>
        <v>NO</v>
      </c>
      <c r="K30" s="2668" t="str">
        <f t="shared" si="24"/>
        <v>NO</v>
      </c>
      <c r="L30" s="2668" t="str">
        <f t="shared" si="24"/>
        <v>NO</v>
      </c>
      <c r="M30" s="2668">
        <f t="shared" si="24"/>
        <v>15539449.462096859</v>
      </c>
      <c r="N30" s="2668">
        <f t="shared" si="24"/>
        <v>10450021.3029678</v>
      </c>
      <c r="O30" s="2668">
        <f t="shared" si="24"/>
        <v>128229.23543983001</v>
      </c>
      <c r="P30" s="2668" t="str">
        <f t="shared" si="24"/>
        <v>NO</v>
      </c>
      <c r="Q30" s="2668">
        <f t="shared" si="24"/>
        <v>77039531.591579422</v>
      </c>
      <c r="R30" s="3445">
        <f t="shared" si="8"/>
        <v>127225660.00579351</v>
      </c>
      <c r="S30" s="2676"/>
      <c r="T30" s="2677"/>
      <c r="U30" s="3419">
        <f t="shared" si="9"/>
        <v>4.4711412632544136E-3</v>
      </c>
      <c r="V30" s="3417"/>
      <c r="W30" s="3418"/>
      <c r="X30" s="3281">
        <f t="shared" ref="X30" si="25">IF(SUM(X32:X39)=0,"NO",SUM(X32:X39))</f>
        <v>0.45537026751369114</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5.1520000000000001</v>
      </c>
      <c r="D32" s="3274">
        <v>39.5</v>
      </c>
      <c r="E32" s="3457" t="str">
        <f>'Table3.B(a)'!G32</f>
        <v>NA</v>
      </c>
      <c r="F32" s="3442" t="s">
        <v>199</v>
      </c>
      <c r="G32" s="3442" t="s">
        <v>199</v>
      </c>
      <c r="H32" s="3442" t="s">
        <v>199</v>
      </c>
      <c r="I32" s="3442" t="s">
        <v>199</v>
      </c>
      <c r="J32" s="3442" t="s">
        <v>199</v>
      </c>
      <c r="K32" s="3442" t="s">
        <v>199</v>
      </c>
      <c r="L32" s="3442" t="s">
        <v>199</v>
      </c>
      <c r="M32" s="3442">
        <v>203520.53326113807</v>
      </c>
      <c r="N32" s="3442" t="s">
        <v>199</v>
      </c>
      <c r="O32" s="3442" t="s">
        <v>199</v>
      </c>
      <c r="P32" s="3442" t="s">
        <v>199</v>
      </c>
      <c r="Q32" s="3442" t="s">
        <v>199</v>
      </c>
      <c r="R32" s="3445">
        <f t="shared" si="8"/>
        <v>203520.53326113807</v>
      </c>
      <c r="S32" s="2676"/>
      <c r="T32" s="2677"/>
      <c r="U32" s="3419" t="str">
        <f>IF(SUM(X32)=0,"NA",X32*1000/C32)</f>
        <v>NA</v>
      </c>
      <c r="V32" s="3417"/>
      <c r="W32" s="3418"/>
      <c r="X32" s="3282" t="s">
        <v>205</v>
      </c>
      <c r="Y32" s="3142"/>
      <c r="Z32" s="3420"/>
    </row>
    <row r="33" spans="2:26" ht="18" customHeight="1" x14ac:dyDescent="0.2">
      <c r="B33" s="348" t="s">
        <v>1068</v>
      </c>
      <c r="C33" s="3458">
        <f>Table3.A!C33</f>
        <v>2.7589999999999999</v>
      </c>
      <c r="D33" s="3274">
        <v>39.5</v>
      </c>
      <c r="E33" s="3457" t="str">
        <f>'Table3.B(a)'!G33</f>
        <v>NA</v>
      </c>
      <c r="F33" s="3442" t="s">
        <v>199</v>
      </c>
      <c r="G33" s="3442" t="s">
        <v>199</v>
      </c>
      <c r="H33" s="3442" t="s">
        <v>199</v>
      </c>
      <c r="I33" s="3442" t="s">
        <v>199</v>
      </c>
      <c r="J33" s="3442" t="s">
        <v>199</v>
      </c>
      <c r="K33" s="3442" t="s">
        <v>199</v>
      </c>
      <c r="L33" s="3442" t="s">
        <v>199</v>
      </c>
      <c r="M33" s="3442">
        <v>108972.64962538239</v>
      </c>
      <c r="N33" s="3442" t="s">
        <v>199</v>
      </c>
      <c r="O33" s="3442" t="s">
        <v>199</v>
      </c>
      <c r="P33" s="3442" t="s">
        <v>199</v>
      </c>
      <c r="Q33" s="3442" t="s">
        <v>199</v>
      </c>
      <c r="R33" s="3445">
        <f t="shared" si="8"/>
        <v>108972.64962538239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30.123000000000001</v>
      </c>
      <c r="D34" s="3274">
        <v>13.2</v>
      </c>
      <c r="E34" s="3457" t="str">
        <f>'Table3.B(a)'!G34</f>
        <v>NA</v>
      </c>
      <c r="F34" s="3442" t="s">
        <v>199</v>
      </c>
      <c r="G34" s="3442" t="s">
        <v>199</v>
      </c>
      <c r="H34" s="3442" t="s">
        <v>199</v>
      </c>
      <c r="I34" s="3442" t="s">
        <v>199</v>
      </c>
      <c r="J34" s="3442" t="s">
        <v>199</v>
      </c>
      <c r="K34" s="3442" t="s">
        <v>199</v>
      </c>
      <c r="L34" s="3442" t="s">
        <v>199</v>
      </c>
      <c r="M34" s="3442">
        <v>397617.73268791614</v>
      </c>
      <c r="N34" s="3442" t="s">
        <v>199</v>
      </c>
      <c r="O34" s="3442" t="s">
        <v>199</v>
      </c>
      <c r="P34" s="3442" t="s">
        <v>199</v>
      </c>
      <c r="Q34" s="3442" t="s">
        <v>199</v>
      </c>
      <c r="R34" s="3445">
        <f t="shared" si="8"/>
        <v>397617.73268791614</v>
      </c>
      <c r="S34" s="2676"/>
      <c r="T34" s="2677"/>
      <c r="U34" s="3419" t="str">
        <f t="shared" si="26"/>
        <v>NA</v>
      </c>
      <c r="V34" s="3417"/>
      <c r="W34" s="3418"/>
      <c r="X34" s="3282" t="s">
        <v>205</v>
      </c>
      <c r="Y34" s="3142"/>
      <c r="Z34" s="3420"/>
    </row>
    <row r="35" spans="2:26" ht="18" customHeight="1" x14ac:dyDescent="0.2">
      <c r="B35" s="348" t="s">
        <v>1070</v>
      </c>
      <c r="C35" s="3458">
        <f>Table3.A!C35</f>
        <v>460.32400000000001</v>
      </c>
      <c r="D35" s="3274">
        <v>7</v>
      </c>
      <c r="E35" s="3457" t="str">
        <f>'Table3.B(a)'!G35</f>
        <v>NA</v>
      </c>
      <c r="F35" s="3442" t="s">
        <v>199</v>
      </c>
      <c r="G35" s="3442" t="s">
        <v>199</v>
      </c>
      <c r="H35" s="3442" t="s">
        <v>199</v>
      </c>
      <c r="I35" s="3442" t="s">
        <v>199</v>
      </c>
      <c r="J35" s="3442" t="s">
        <v>199</v>
      </c>
      <c r="K35" s="3442" t="s">
        <v>199</v>
      </c>
      <c r="L35" s="3442" t="s">
        <v>199</v>
      </c>
      <c r="M35" s="3442">
        <v>3222265.8649999998</v>
      </c>
      <c r="N35" s="3442" t="s">
        <v>199</v>
      </c>
      <c r="O35" s="3442" t="s">
        <v>199</v>
      </c>
      <c r="P35" s="3442" t="s">
        <v>199</v>
      </c>
      <c r="Q35" s="3442" t="s">
        <v>199</v>
      </c>
      <c r="R35" s="3445">
        <f t="shared" si="8"/>
        <v>3222265.8649999998</v>
      </c>
      <c r="S35" s="2676"/>
      <c r="T35" s="2677"/>
      <c r="U35" s="3419" t="str">
        <f t="shared" si="26"/>
        <v>NA</v>
      </c>
      <c r="V35" s="3417"/>
      <c r="W35" s="3418"/>
      <c r="X35" s="3282" t="s">
        <v>205</v>
      </c>
      <c r="Y35" s="3142"/>
      <c r="Z35" s="3420"/>
    </row>
    <row r="36" spans="2:26" ht="18" customHeight="1" x14ac:dyDescent="0.2">
      <c r="B36" s="348" t="s">
        <v>1071</v>
      </c>
      <c r="C36" s="3458">
        <f>Table3.A!C36</f>
        <v>222.53</v>
      </c>
      <c r="D36" s="3274">
        <v>39.5</v>
      </c>
      <c r="E36" s="3457" t="str">
        <f>'Table3.B(a)'!G36</f>
        <v>NA</v>
      </c>
      <c r="F36" s="3442" t="s">
        <v>199</v>
      </c>
      <c r="G36" s="3442" t="s">
        <v>199</v>
      </c>
      <c r="H36" s="3442" t="s">
        <v>199</v>
      </c>
      <c r="I36" s="3442" t="s">
        <v>199</v>
      </c>
      <c r="J36" s="3442" t="s">
        <v>199</v>
      </c>
      <c r="K36" s="3442" t="s">
        <v>199</v>
      </c>
      <c r="L36" s="3442" t="s">
        <v>199</v>
      </c>
      <c r="M36" s="3442">
        <v>8789933.999503253</v>
      </c>
      <c r="N36" s="3442" t="s">
        <v>199</v>
      </c>
      <c r="O36" s="3442" t="s">
        <v>199</v>
      </c>
      <c r="P36" s="3442" t="s">
        <v>199</v>
      </c>
      <c r="Q36" s="3442" t="s">
        <v>199</v>
      </c>
      <c r="R36" s="3445">
        <f t="shared" si="8"/>
        <v>8789933.999503253</v>
      </c>
      <c r="S36" s="2676"/>
      <c r="T36" s="2677"/>
      <c r="U36" s="3419" t="str">
        <f t="shared" si="26"/>
        <v>NA</v>
      </c>
      <c r="V36" s="3417"/>
      <c r="W36" s="3418"/>
      <c r="X36" s="3282" t="s">
        <v>205</v>
      </c>
      <c r="Y36" s="3142"/>
      <c r="Z36" s="3420"/>
    </row>
    <row r="37" spans="2:26" ht="18" customHeight="1" x14ac:dyDescent="0.2">
      <c r="B37" s="348" t="s">
        <v>1117</v>
      </c>
      <c r="C37" s="3458">
        <f>Table3.A!C37</f>
        <v>0.64600000000000002</v>
      </c>
      <c r="D37" s="3274">
        <v>13.2</v>
      </c>
      <c r="E37" s="3457" t="str">
        <f>'Table3.B(a)'!G37</f>
        <v>NA</v>
      </c>
      <c r="F37" s="3442" t="s">
        <v>199</v>
      </c>
      <c r="G37" s="3442" t="s">
        <v>199</v>
      </c>
      <c r="H37" s="3442" t="s">
        <v>199</v>
      </c>
      <c r="I37" s="3442" t="s">
        <v>199</v>
      </c>
      <c r="J37" s="3442" t="s">
        <v>199</v>
      </c>
      <c r="K37" s="3442" t="s">
        <v>199</v>
      </c>
      <c r="L37" s="3442" t="s">
        <v>199</v>
      </c>
      <c r="M37" s="3442">
        <v>8532.5615250041683</v>
      </c>
      <c r="N37" s="3442" t="s">
        <v>199</v>
      </c>
      <c r="O37" s="3442" t="s">
        <v>199</v>
      </c>
      <c r="P37" s="3442" t="s">
        <v>199</v>
      </c>
      <c r="Q37" s="3442" t="s">
        <v>199</v>
      </c>
      <c r="R37" s="3445">
        <f t="shared" si="8"/>
        <v>8532.5615250041683</v>
      </c>
      <c r="S37" s="2676"/>
      <c r="T37" s="2677"/>
      <c r="U37" s="3419" t="str">
        <f t="shared" si="26"/>
        <v>NA</v>
      </c>
      <c r="V37" s="3417"/>
      <c r="W37" s="3418"/>
      <c r="X37" s="3282" t="s">
        <v>205</v>
      </c>
      <c r="Y37" s="3142"/>
      <c r="Z37" s="3420"/>
    </row>
    <row r="38" spans="2:26" ht="18" customHeight="1" x14ac:dyDescent="0.2">
      <c r="B38" s="348" t="s">
        <v>1073</v>
      </c>
      <c r="C38" s="3458">
        <f>Table3.A!C38</f>
        <v>100982.178</v>
      </c>
      <c r="D38" s="3274">
        <v>0.66098329909844999</v>
      </c>
      <c r="E38" s="3457" t="str">
        <f>'Table3.B(a)'!G38</f>
        <v>NA</v>
      </c>
      <c r="F38" s="3442" t="s">
        <v>199</v>
      </c>
      <c r="G38" s="3442" t="s">
        <v>199</v>
      </c>
      <c r="H38" s="3442" t="s">
        <v>199</v>
      </c>
      <c r="I38" s="3442">
        <v>24068428.413709596</v>
      </c>
      <c r="J38" s="3442" t="s">
        <v>274</v>
      </c>
      <c r="K38" s="3442" t="s">
        <v>274</v>
      </c>
      <c r="L38" s="3442" t="s">
        <v>274</v>
      </c>
      <c r="M38" s="3442">
        <v>1808809.1323757479</v>
      </c>
      <c r="N38" s="3442">
        <v>10450021.3029678</v>
      </c>
      <c r="O38" s="3442">
        <v>128229.23543983001</v>
      </c>
      <c r="P38" s="3442" t="s">
        <v>199</v>
      </c>
      <c r="Q38" s="3442">
        <v>77039531.591579422</v>
      </c>
      <c r="R38" s="3445">
        <f t="shared" si="8"/>
        <v>113495019.67607239</v>
      </c>
      <c r="S38" s="2676"/>
      <c r="T38" s="2677"/>
      <c r="U38" s="3419">
        <f t="shared" si="26"/>
        <v>4.509412220379037E-3</v>
      </c>
      <c r="V38" s="3417"/>
      <c r="W38" s="3418"/>
      <c r="X38" s="3282">
        <v>0.45537026751369114</v>
      </c>
      <c r="Y38" s="3142"/>
      <c r="Z38" s="3420"/>
    </row>
    <row r="39" spans="2:26" ht="18" customHeight="1" x14ac:dyDescent="0.2">
      <c r="B39" s="348" t="s">
        <v>1074</v>
      </c>
      <c r="C39" s="3281">
        <f>IF(SUM(C41:C45)=0,"NO",SUM(C41:C45))</f>
        <v>142.828</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999796.98811841803</v>
      </c>
      <c r="N39" s="2668" t="str">
        <f t="shared" si="27"/>
        <v>NO</v>
      </c>
      <c r="O39" s="2668" t="str">
        <f t="shared" si="27"/>
        <v>NO</v>
      </c>
      <c r="P39" s="2668" t="str">
        <f t="shared" si="27"/>
        <v>NO</v>
      </c>
      <c r="Q39" s="2668" t="str">
        <f t="shared" si="27"/>
        <v>NO</v>
      </c>
      <c r="R39" s="3445">
        <f t="shared" si="8"/>
        <v>999796.98811841803</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9.8109999999999999</v>
      </c>
      <c r="D43" s="3274">
        <v>7</v>
      </c>
      <c r="E43" s="3457" t="str">
        <f>'Table3.B(a)'!G43</f>
        <v>NA</v>
      </c>
      <c r="F43" s="3442" t="s">
        <v>199</v>
      </c>
      <c r="G43" s="3442" t="s">
        <v>199</v>
      </c>
      <c r="H43" s="3442" t="s">
        <v>199</v>
      </c>
      <c r="I43" s="3442" t="s">
        <v>199</v>
      </c>
      <c r="J43" s="3442" t="s">
        <v>199</v>
      </c>
      <c r="K43" s="3442" t="s">
        <v>199</v>
      </c>
      <c r="L43" s="3442" t="s">
        <v>199</v>
      </c>
      <c r="M43" s="3442">
        <v>68676.197478991555</v>
      </c>
      <c r="N43" s="3442" t="s">
        <v>199</v>
      </c>
      <c r="O43" s="3442" t="s">
        <v>199</v>
      </c>
      <c r="P43" s="3442" t="s">
        <v>199</v>
      </c>
      <c r="Q43" s="3442" t="s">
        <v>199</v>
      </c>
      <c r="R43" s="3445">
        <f t="shared" si="8"/>
        <v>68676.197478991555</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133.017</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931120.79063942644</v>
      </c>
      <c r="N45" s="2668" t="str">
        <f t="shared" si="28"/>
        <v>NO</v>
      </c>
      <c r="O45" s="2668" t="str">
        <f t="shared" si="28"/>
        <v>NO</v>
      </c>
      <c r="P45" s="2668" t="str">
        <f t="shared" si="28"/>
        <v>NO</v>
      </c>
      <c r="Q45" s="2668" t="str">
        <f t="shared" si="28"/>
        <v>NO</v>
      </c>
      <c r="R45" s="3445">
        <f t="shared" si="8"/>
        <v>931120.79063942644</v>
      </c>
      <c r="S45" s="2676"/>
      <c r="T45" s="2677"/>
      <c r="U45" s="3419" t="str">
        <f t="shared" si="26"/>
        <v>NA</v>
      </c>
      <c r="V45" s="3417"/>
      <c r="W45" s="3418"/>
      <c r="X45" s="3281" t="str">
        <f>X46</f>
        <v>NA</v>
      </c>
      <c r="Y45" s="3142"/>
      <c r="Z45" s="3420"/>
    </row>
    <row r="46" spans="2:26" ht="18" customHeight="1" x14ac:dyDescent="0.2">
      <c r="B46" s="2665" t="s">
        <v>1013</v>
      </c>
      <c r="C46" s="3458">
        <f>Table3.A!C46</f>
        <v>133.017</v>
      </c>
      <c r="D46" s="3274">
        <v>7</v>
      </c>
      <c r="E46" s="3457" t="str">
        <f>'Table3.B(a)'!G46</f>
        <v>NA</v>
      </c>
      <c r="F46" s="3442" t="s">
        <v>199</v>
      </c>
      <c r="G46" s="3442" t="s">
        <v>199</v>
      </c>
      <c r="H46" s="3442" t="s">
        <v>199</v>
      </c>
      <c r="I46" s="3442" t="s">
        <v>199</v>
      </c>
      <c r="J46" s="3442" t="s">
        <v>199</v>
      </c>
      <c r="K46" s="3442" t="s">
        <v>199</v>
      </c>
      <c r="L46" s="3442" t="s">
        <v>199</v>
      </c>
      <c r="M46" s="3442">
        <v>931120.79063942644</v>
      </c>
      <c r="N46" s="3442" t="s">
        <v>199</v>
      </c>
      <c r="O46" s="3442" t="s">
        <v>199</v>
      </c>
      <c r="P46" s="3442" t="s">
        <v>199</v>
      </c>
      <c r="Q46" s="3442" t="s">
        <v>199</v>
      </c>
      <c r="R46" s="3445">
        <f t="shared" si="8"/>
        <v>931120.79063942644</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106931527.72578509</v>
      </c>
      <c r="T47" s="3410">
        <v>407635.19380229781</v>
      </c>
      <c r="U47" s="3429"/>
      <c r="V47" s="3430">
        <f>IF(SUM(S47)=0,"NA",Y47*1000000/S47)</f>
        <v>6.0219517720881601E-3</v>
      </c>
      <c r="W47" s="3431">
        <f>IF(SUM(T47)=0,"NA",Z47*1000000/T47)</f>
        <v>1.7285714285714283E-2</v>
      </c>
      <c r="X47" s="3283"/>
      <c r="Y47" s="3287">
        <v>0.64393650288038573</v>
      </c>
      <c r="Z47" s="3288">
        <v>7.0462654928682899E-3</v>
      </c>
    </row>
    <row r="48" spans="2:26" ht="18" customHeight="1" x14ac:dyDescent="0.2">
      <c r="B48" s="356" t="s">
        <v>1119</v>
      </c>
      <c r="C48" s="357"/>
      <c r="D48" s="357"/>
      <c r="E48" s="357"/>
      <c r="F48" s="3448">
        <f>IF(SUM(F30,F27,F24,F10)=0,"NO",SUM(F30,F27,F24,F10))</f>
        <v>45270826.017372131</v>
      </c>
      <c r="G48" s="3448" t="str">
        <f t="shared" ref="G48:Q48" si="29">IF(SUM(G30,G27,G24,G10)=0,"NO",SUM(G30,G27,G24,G10))</f>
        <v>NO</v>
      </c>
      <c r="H48" s="3448">
        <f t="shared" si="29"/>
        <v>5499585.720535188</v>
      </c>
      <c r="I48" s="3448">
        <f t="shared" si="29"/>
        <v>50277353.880077757</v>
      </c>
      <c r="J48" s="3448" t="str">
        <f t="shared" si="29"/>
        <v>NO</v>
      </c>
      <c r="K48" s="3448">
        <f t="shared" si="29"/>
        <v>86141922.150889367</v>
      </c>
      <c r="L48" s="3448" t="str">
        <f t="shared" si="29"/>
        <v>NO</v>
      </c>
      <c r="M48" s="3374"/>
      <c r="N48" s="3448">
        <f t="shared" si="29"/>
        <v>21747117.534447763</v>
      </c>
      <c r="O48" s="3448">
        <f t="shared" si="29"/>
        <v>1694413.5360002352</v>
      </c>
      <c r="P48" s="3374"/>
      <c r="Q48" s="3448">
        <f t="shared" si="29"/>
        <v>83455669.022161961</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2.2984880663473182E-2</v>
      </c>
      <c r="J49" s="3449" t="str">
        <f t="shared" si="30"/>
        <v>NA</v>
      </c>
      <c r="K49" s="3449" t="str">
        <f t="shared" si="30"/>
        <v>NA</v>
      </c>
      <c r="L49" s="3449" t="str">
        <f t="shared" si="30"/>
        <v>NA</v>
      </c>
      <c r="M49" s="87"/>
      <c r="N49" s="3449">
        <f t="shared" si="30"/>
        <v>1.5714285714285708E-2</v>
      </c>
      <c r="O49" s="3449" t="str">
        <f t="shared" si="30"/>
        <v>NA</v>
      </c>
      <c r="P49" s="87"/>
      <c r="Q49" s="3449">
        <f t="shared" si="30"/>
        <v>2.3723495258713917E-3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1.1556189790087976</v>
      </c>
      <c r="J50" s="3450" t="s">
        <v>274</v>
      </c>
      <c r="K50" s="3450" t="s">
        <v>274</v>
      </c>
      <c r="L50" s="3450" t="s">
        <v>274</v>
      </c>
      <c r="M50" s="3437"/>
      <c r="N50" s="3451">
        <v>0.34174041839846475</v>
      </c>
      <c r="O50" s="3451" t="s">
        <v>205</v>
      </c>
      <c r="P50" s="3437"/>
      <c r="Q50" s="3451">
        <v>0.19798601683600572</v>
      </c>
      <c r="R50" s="1311"/>
      <c r="S50" s="1312"/>
      <c r="T50" s="1313"/>
      <c r="U50" s="3436">
        <f>X50*1000/SUM(C10,C24,C27,C30)</f>
        <v>8.5064375054917703E-3</v>
      </c>
      <c r="V50" s="3437"/>
      <c r="W50" s="3438"/>
      <c r="X50" s="3286">
        <f>SUM(X10,X24,X27,X30)</f>
        <v>1.6953454142432682</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18" t="s">
        <v>1122</v>
      </c>
      <c r="C68" s="4519"/>
      <c r="D68" s="4519"/>
      <c r="E68" s="4519"/>
      <c r="F68" s="4519"/>
      <c r="G68" s="4519"/>
      <c r="H68" s="4519"/>
      <c r="I68" s="4519"/>
      <c r="J68" s="4519"/>
      <c r="K68" s="4519"/>
      <c r="L68" s="4519"/>
      <c r="M68" s="4519"/>
      <c r="N68" s="4519"/>
      <c r="O68" s="4519"/>
      <c r="P68" s="4519"/>
      <c r="Q68" s="4519"/>
      <c r="R68" s="4519"/>
      <c r="S68" s="4519"/>
      <c r="T68" s="4519"/>
      <c r="U68" s="4519"/>
      <c r="V68" s="4519"/>
      <c r="W68" s="4519"/>
      <c r="X68" s="4519"/>
      <c r="Y68" s="4519"/>
      <c r="Z68" s="4520"/>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1.2607627228417353</v>
      </c>
    </row>
    <row r="11" spans="1:9" ht="18" customHeight="1" x14ac:dyDescent="0.2">
      <c r="B11" s="432" t="s">
        <v>1133</v>
      </c>
      <c r="C11" s="4462">
        <v>7.9343154363859997E-2</v>
      </c>
      <c r="D11" s="243" t="s">
        <v>199</v>
      </c>
      <c r="E11" s="283" t="s">
        <v>199</v>
      </c>
      <c r="F11" s="2330">
        <f>IF(SUM(C11)=0,"NA",G11/C11)</f>
        <v>15.889999999999999</v>
      </c>
      <c r="G11" s="3072">
        <v>1.2607627228417353</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7.9343154363859997E-2</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19" sqref="H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26.434417182358828</v>
      </c>
      <c r="H10" s="395" t="s">
        <v>1157</v>
      </c>
      <c r="I10" s="396" t="s">
        <v>1158</v>
      </c>
      <c r="J10" s="397">
        <v>0.21</v>
      </c>
    </row>
    <row r="11" spans="2:10" ht="24" customHeight="1" x14ac:dyDescent="0.2">
      <c r="B11" s="2453" t="s">
        <v>1159</v>
      </c>
      <c r="C11" s="2454" t="s">
        <v>1160</v>
      </c>
      <c r="D11" s="3639">
        <v>1337593.2410583033</v>
      </c>
      <c r="E11" s="3634">
        <f>IF(SUM(D11)=0,"NA",F11*1000/D11/(44/28))</f>
        <v>4.2338772965354382E-3</v>
      </c>
      <c r="F11" s="3390">
        <v>8.899323172639436</v>
      </c>
      <c r="H11" s="395" t="s">
        <v>1161</v>
      </c>
      <c r="I11" s="396" t="s">
        <v>1162</v>
      </c>
      <c r="J11" s="397">
        <v>0.24</v>
      </c>
    </row>
    <row r="12" spans="2:10" ht="24" customHeight="1" x14ac:dyDescent="0.2">
      <c r="B12" s="2453" t="s">
        <v>1163</v>
      </c>
      <c r="C12" s="2455" t="s">
        <v>1164</v>
      </c>
      <c r="D12" s="3640">
        <f>IF(SUM(D13:D15)=0,"NO",SUM(D13:D15))</f>
        <v>112626.93645917634</v>
      </c>
      <c r="E12" s="3635">
        <f t="shared" ref="E12:E23" si="0">IF(SUM(D12)=0,"NA",F12*1000/D12/(44/28))</f>
        <v>8.3842702768163364E-3</v>
      </c>
      <c r="F12" s="3391">
        <f>IF(SUM(F13:F15)=0,"NO",SUM(F13:F15))</f>
        <v>1.4838916332798711</v>
      </c>
      <c r="H12" s="4233" t="s">
        <v>1165</v>
      </c>
      <c r="I12" s="4234"/>
      <c r="J12" s="4235"/>
    </row>
    <row r="13" spans="2:10" ht="24" customHeight="1" thickBot="1" x14ac:dyDescent="0.25">
      <c r="B13" s="2453" t="s">
        <v>1166</v>
      </c>
      <c r="C13" s="2454" t="s">
        <v>1167</v>
      </c>
      <c r="D13" s="3641">
        <v>101135.46148020157</v>
      </c>
      <c r="E13" s="3634">
        <f t="shared" si="0"/>
        <v>8.3143082416981071E-3</v>
      </c>
      <c r="F13" s="3390">
        <v>1.3213693442915135</v>
      </c>
      <c r="H13" s="4236"/>
      <c r="I13" s="4237"/>
      <c r="J13" s="4238"/>
    </row>
    <row r="14" spans="2:10" ht="24" customHeight="1" x14ac:dyDescent="0.2">
      <c r="B14" s="2453" t="s">
        <v>1168</v>
      </c>
      <c r="C14" s="2454" t="s">
        <v>1169</v>
      </c>
      <c r="D14" s="3641">
        <v>11491.474978974778</v>
      </c>
      <c r="E14" s="3634">
        <f t="shared" si="0"/>
        <v>8.9999999999999993E-3</v>
      </c>
      <c r="F14" s="3390">
        <v>0.16252228898835758</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1545237.1810411708</v>
      </c>
      <c r="E16" s="3634">
        <f t="shared" si="0"/>
        <v>4.0000000000000001E-3</v>
      </c>
      <c r="F16" s="3390">
        <v>9.7129194236873584</v>
      </c>
    </row>
    <row r="17" spans="2:11" ht="24" customHeight="1" x14ac:dyDescent="0.2">
      <c r="B17" s="2453" t="s">
        <v>1176</v>
      </c>
      <c r="C17" s="2454" t="s">
        <v>1177</v>
      </c>
      <c r="D17" s="3641">
        <v>773831.12628400093</v>
      </c>
      <c r="E17" s="3634">
        <f t="shared" si="0"/>
        <v>5.0299999999999997E-3</v>
      </c>
      <c r="F17" s="3390">
        <v>6.1165823167562534</v>
      </c>
    </row>
    <row r="18" spans="2:11" ht="24" customHeight="1" x14ac:dyDescent="0.2">
      <c r="B18" s="2453" t="s">
        <v>1178</v>
      </c>
      <c r="C18" s="2454" t="s">
        <v>1179</v>
      </c>
      <c r="D18" s="3641">
        <v>20751.761684508961</v>
      </c>
      <c r="E18" s="3636">
        <f t="shared" si="0"/>
        <v>4.0999999999999995E-3</v>
      </c>
      <c r="F18" s="3392">
        <v>0.13370063599590773</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10.489518899864565</v>
      </c>
    </row>
    <row r="22" spans="2:11" ht="24" customHeight="1" x14ac:dyDescent="0.2">
      <c r="B22" s="2457" t="s">
        <v>1184</v>
      </c>
      <c r="C22" s="2454" t="s">
        <v>1185</v>
      </c>
      <c r="D22" s="3641">
        <v>495286.7211914864</v>
      </c>
      <c r="E22" s="3634">
        <f t="shared" si="0"/>
        <v>3.0935721117000942E-3</v>
      </c>
      <c r="F22" s="3390">
        <v>2.4077510096724262</v>
      </c>
    </row>
    <row r="23" spans="2:11" ht="24" customHeight="1" thickBot="1" x14ac:dyDescent="0.25">
      <c r="B23" s="406" t="s">
        <v>1186</v>
      </c>
      <c r="C23" s="407" t="s">
        <v>1187</v>
      </c>
      <c r="D23" s="3643">
        <v>467540.29116814036</v>
      </c>
      <c r="E23" s="3638">
        <f t="shared" si="0"/>
        <v>1.0999999999999998E-2</v>
      </c>
      <c r="F23" s="3394">
        <v>8.0817678901921397</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1" t="s">
        <v>1188</v>
      </c>
      <c r="C44" s="4522"/>
      <c r="D44" s="4522"/>
      <c r="E44" s="4522"/>
      <c r="F44" s="4523"/>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1" t="s">
        <v>1203</v>
      </c>
      <c r="C27" s="4492"/>
      <c r="D27" s="4492"/>
      <c r="E27" s="4492"/>
      <c r="F27" s="4492"/>
      <c r="G27" s="4492"/>
      <c r="H27" s="4492"/>
      <c r="I27" s="4492"/>
      <c r="J27" s="4492"/>
      <c r="K27" s="4493"/>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17881161.273212485</v>
      </c>
      <c r="N9" s="4167">
        <v>8964407.2242834345</v>
      </c>
      <c r="O9" s="4167">
        <v>337038.68205222173</v>
      </c>
      <c r="P9" s="4168">
        <v>1194709.0908314164</v>
      </c>
      <c r="Q9" s="4168">
        <v>1050895.0800856082</v>
      </c>
      <c r="R9" s="4168">
        <v>22082.661577566822</v>
      </c>
      <c r="S9" s="4168">
        <v>69883.161573642516</v>
      </c>
      <c r="T9" s="4168">
        <v>61599.222280624723</v>
      </c>
      <c r="U9" s="4168">
        <v>2935263.1365802581</v>
      </c>
      <c r="V9" s="4168">
        <v>33234847.239841793</v>
      </c>
      <c r="W9" s="4168">
        <v>6464.3370369701815</v>
      </c>
      <c r="X9" s="4169">
        <v>172418</v>
      </c>
    </row>
    <row r="10" spans="2:24" ht="18" customHeight="1" thickTop="1" x14ac:dyDescent="0.2">
      <c r="B10" s="430" t="s">
        <v>1226</v>
      </c>
      <c r="C10" s="374"/>
      <c r="D10" s="431"/>
      <c r="E10" s="431"/>
      <c r="F10" s="4137">
        <f>IF(SUM(F11:F14)=0,"NO",SUM(F11:F14))</f>
        <v>1968.4682048057141</v>
      </c>
      <c r="G10" s="4138">
        <f>IF(SUM($F10)=0,"NA",I10/$F10*1000)</f>
        <v>1.871037496746192</v>
      </c>
      <c r="H10" s="4139">
        <f>IF(SUM($F10)=0,"NA",J10/$F10*1000)</f>
        <v>7.5676391896441195E-2</v>
      </c>
      <c r="I10" s="3161">
        <f>IF(SUM(I11:I14)=0,"NO",SUM(I11:I14))</f>
        <v>3.6830778223441536</v>
      </c>
      <c r="J10" s="416">
        <f>IF(SUM(J11:J14)=0,"NO",SUM(J11:J14))</f>
        <v>0.1489665713025613</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1215.2971991101897</v>
      </c>
      <c r="G11" s="4141">
        <f>IF(SUM($F11)=0,"NA",I11/$F11*1000)</f>
        <v>1.8666666666666667</v>
      </c>
      <c r="H11" s="4142">
        <f>IF(SUM($F11)=0,"NA",J11/$F11*1000)</f>
        <v>7.1657142857142864E-2</v>
      </c>
      <c r="I11" s="3291">
        <v>2.268554771672354</v>
      </c>
      <c r="J11" s="3292">
        <v>8.7084725010524444E-2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520.95058694902878</v>
      </c>
      <c r="G12" s="4143">
        <f t="shared" ref="G12:G28" si="0">IF(SUM($F12)=0,"NA",I12/$F12*1000)</f>
        <v>1.8666666666666671</v>
      </c>
      <c r="H12" s="4142">
        <f t="shared" ref="H12:H28" si="1">IF(SUM($F12)=0,"NA",J12/$F12*1000)</f>
        <v>8.3600000000000008E-2</v>
      </c>
      <c r="I12" s="3149">
        <v>0.97244109563818726</v>
      </c>
      <c r="J12" s="3292">
        <v>4.3551469068938815E-2</v>
      </c>
      <c r="L12" s="1323" t="s">
        <v>1231</v>
      </c>
      <c r="M12" s="4165">
        <v>0.10726835194363368</v>
      </c>
      <c r="N12" s="4165">
        <v>0.11095052461466784</v>
      </c>
      <c r="O12" s="4165">
        <v>0.15658787819238226</v>
      </c>
      <c r="P12" s="4166">
        <v>8.6535741444978886E-2</v>
      </c>
      <c r="Q12" s="4166">
        <v>0.1131575424174824</v>
      </c>
      <c r="R12" s="4166">
        <v>0.16645577927585936</v>
      </c>
      <c r="S12" s="4166">
        <v>0.81499999999999995</v>
      </c>
      <c r="T12" s="4166">
        <v>0.17660013681847628</v>
      </c>
      <c r="U12" s="4166">
        <v>0.10441511048054551</v>
      </c>
      <c r="V12" s="4166">
        <v>0.3161309655513283</v>
      </c>
      <c r="W12" s="4166">
        <v>5.9354407764500731E-2</v>
      </c>
      <c r="X12" s="4140">
        <v>0.1173063096341067</v>
      </c>
    </row>
    <row r="13" spans="2:24" ht="18" customHeight="1" thickBot="1" x14ac:dyDescent="0.25">
      <c r="B13" s="432" t="s">
        <v>1232</v>
      </c>
      <c r="C13" s="433" t="s">
        <v>205</v>
      </c>
      <c r="D13" s="433" t="s">
        <v>205</v>
      </c>
      <c r="E13" s="433" t="s">
        <v>205</v>
      </c>
      <c r="F13" s="4140">
        <v>34.882938705475134</v>
      </c>
      <c r="G13" s="4143">
        <f t="shared" si="0"/>
        <v>1.96</v>
      </c>
      <c r="H13" s="4142">
        <f t="shared" si="1"/>
        <v>5.9714285714285713E-2</v>
      </c>
      <c r="I13" s="3149">
        <v>6.8370559862731259E-2</v>
      </c>
      <c r="J13" s="3292">
        <v>2.083009768412658E-3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197.3374800410204</v>
      </c>
      <c r="G14" s="4145">
        <f t="shared" si="0"/>
        <v>1.893767950686297</v>
      </c>
      <c r="H14" s="4146">
        <f t="shared" si="1"/>
        <v>8.2332902251047543E-2</v>
      </c>
      <c r="I14" s="3168">
        <f>IF(SUM(I15:I19)=0,"NO",SUM(I15:I19))</f>
        <v>0.37371139517088126</v>
      </c>
      <c r="J14" s="3064">
        <f>IF(SUM(J15:J19)=0,"NO",SUM(J15:J19))</f>
        <v>1.6247367454685378E-2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59.549781304024265</v>
      </c>
      <c r="G15" s="4147">
        <f t="shared" si="0"/>
        <v>1.8666666666666669</v>
      </c>
      <c r="H15" s="4148">
        <f t="shared" si="1"/>
        <v>9.5542857142857138E-2</v>
      </c>
      <c r="I15" s="3293">
        <v>0.11115959176751197</v>
      </c>
      <c r="J15" s="3292">
        <v>5.6895562480187749E-3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71.32719075338305</v>
      </c>
      <c r="G16" s="4149">
        <f t="shared" si="0"/>
        <v>1.8666666666666667</v>
      </c>
      <c r="H16" s="4150">
        <f t="shared" si="1"/>
        <v>7.1657142857142864E-2</v>
      </c>
      <c r="I16" s="3294">
        <v>0.13314408940631503</v>
      </c>
      <c r="J16" s="3292">
        <v>5.1111026974138482E-3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2.2668723248849716</v>
      </c>
      <c r="G17" s="4149">
        <f t="shared" si="0"/>
        <v>1.8666666666666665</v>
      </c>
      <c r="H17" s="4150">
        <f t="shared" si="1"/>
        <v>7.165714285714285E-2</v>
      </c>
      <c r="I17" s="3294">
        <v>4.2314950064519467E-3</v>
      </c>
      <c r="J17" s="3292">
        <v>1.6243759402318592E-4</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57.301061724748351</v>
      </c>
      <c r="G18" s="4149">
        <f t="shared" si="0"/>
        <v>1.96</v>
      </c>
      <c r="H18" s="4150">
        <f t="shared" si="1"/>
        <v>8.3600000000000022E-2</v>
      </c>
      <c r="I18" s="3294">
        <v>0.11231008098050675</v>
      </c>
      <c r="J18" s="3292">
        <v>4.7903687601889636E-3</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6.8925739339797492</v>
      </c>
      <c r="G19" s="4149">
        <f t="shared" si="0"/>
        <v>1.8666666666666671</v>
      </c>
      <c r="H19" s="4150">
        <f t="shared" si="1"/>
        <v>7.1657142857142864E-2</v>
      </c>
      <c r="I19" s="3294">
        <v>1.2866138010095535E-2</v>
      </c>
      <c r="J19" s="3292">
        <v>4.9390215504060606E-4</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175.34421813819199</v>
      </c>
      <c r="G20" s="4153">
        <f t="shared" si="0"/>
        <v>1.8666666666666667</v>
      </c>
      <c r="H20" s="4154">
        <f t="shared" si="1"/>
        <v>0.10748571428571427</v>
      </c>
      <c r="I20" s="3187">
        <f>I21</f>
        <v>0.3273092071912917</v>
      </c>
      <c r="J20" s="442">
        <f>J21</f>
        <v>1.8846998532453661E-2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175.34421813819199</v>
      </c>
      <c r="G21" s="4156">
        <f t="shared" si="0"/>
        <v>1.8666666666666667</v>
      </c>
      <c r="H21" s="4146">
        <f t="shared" si="1"/>
        <v>0.10748571428571427</v>
      </c>
      <c r="I21" s="3168">
        <f>I22</f>
        <v>0.3273092071912917</v>
      </c>
      <c r="J21" s="3064">
        <f>J22</f>
        <v>1.8846998532453661E-2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175.34421813819199</v>
      </c>
      <c r="G22" s="4158">
        <f t="shared" si="0"/>
        <v>1.8666666666666667</v>
      </c>
      <c r="H22" s="4159">
        <f t="shared" si="1"/>
        <v>0.10748571428571427</v>
      </c>
      <c r="I22" s="3295">
        <v>0.3273092071912917</v>
      </c>
      <c r="J22" s="3296">
        <v>1.8846998532453661E-2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504.31508869834011</v>
      </c>
      <c r="G26" s="4163">
        <f t="shared" si="0"/>
        <v>1.8666666666666667</v>
      </c>
      <c r="H26" s="4164">
        <f t="shared" si="1"/>
        <v>5.9714285714285713E-2</v>
      </c>
      <c r="I26" s="3297">
        <v>0.94138816557023486</v>
      </c>
      <c r="J26" s="3298">
        <v>3.0114815296558021E-2</v>
      </c>
      <c r="L26" s="159"/>
    </row>
    <row r="27" spans="2:24" ht="18" customHeight="1" x14ac:dyDescent="0.2">
      <c r="B27" s="439" t="s">
        <v>1242</v>
      </c>
      <c r="C27" s="440"/>
      <c r="D27" s="441"/>
      <c r="E27" s="441"/>
      <c r="F27" s="4152">
        <f>IF(SUM(F28:F29)=0,"NO",SUM(F28:F29))</f>
        <v>271.22735659657678</v>
      </c>
      <c r="G27" s="4153">
        <f t="shared" si="0"/>
        <v>1.866720916106096</v>
      </c>
      <c r="H27" s="4154">
        <f t="shared" si="1"/>
        <v>0.10753430628360357</v>
      </c>
      <c r="I27" s="3187">
        <f>IF(SUM(I28:I29)=0,"NO",SUM(I28:I29))</f>
        <v>0.50630577957899658</v>
      </c>
      <c r="J27" s="442">
        <f>IF(SUM(J28:J29)=0,"NO",SUM(J28:J29))</f>
        <v>2.9166245636748453E-2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0.15764927200084111</v>
      </c>
      <c r="G28" s="4149">
        <f t="shared" si="0"/>
        <v>1.96</v>
      </c>
      <c r="H28" s="4150">
        <f t="shared" si="1"/>
        <v>0.19108571428571428</v>
      </c>
      <c r="I28" s="3294">
        <v>3.0899257312164857E-4</v>
      </c>
      <c r="J28" s="3292">
        <v>3.0124523746903582E-5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271.06970732457592</v>
      </c>
      <c r="G29" s="4149">
        <f t="shared" ref="G29" si="2">IF(SUM($F29)=0,"NA",I29/$F29*1000)</f>
        <v>1.8666666666666663</v>
      </c>
      <c r="H29" s="4150">
        <f t="shared" ref="H29" si="3">IF(SUM($F29)=0,"NA",J29/$F29*1000)</f>
        <v>0.10748571428571425</v>
      </c>
      <c r="I29" s="3294">
        <v>0.50599678700587492</v>
      </c>
      <c r="J29" s="3292">
        <v>2.913612111300155E-2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18" t="s">
        <v>1243</v>
      </c>
      <c r="C41" s="4519"/>
      <c r="D41" s="4519"/>
      <c r="E41" s="4519"/>
      <c r="F41" s="4519"/>
      <c r="G41" s="4519"/>
      <c r="H41" s="4519"/>
      <c r="I41" s="4519"/>
      <c r="J41" s="4520"/>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1318.3866247265748</v>
      </c>
    </row>
    <row r="11" spans="2:5" s="83" customFormat="1" ht="18" customHeight="1" x14ac:dyDescent="0.2">
      <c r="B11" s="1858" t="s">
        <v>1361</v>
      </c>
      <c r="C11" s="4175">
        <v>3194748.5675054425</v>
      </c>
      <c r="D11" s="3534">
        <f>IF(SUM(C11)=0,"NA",E11*1000/(44/12)/C11)</f>
        <v>0.108</v>
      </c>
      <c r="E11" s="3395">
        <v>1265.1204327321552</v>
      </c>
    </row>
    <row r="12" spans="2:5" s="83" customFormat="1" ht="18" customHeight="1" x14ac:dyDescent="0.2">
      <c r="B12" s="1858" t="s">
        <v>1362</v>
      </c>
      <c r="C12" s="4175">
        <v>117628.69045510422</v>
      </c>
      <c r="D12" s="3534">
        <f t="shared" ref="D12:D16" si="0">IF(SUM(C12)=0,"NA",E12*1000/(44/12)/C12)</f>
        <v>0.12350000000000005</v>
      </c>
      <c r="E12" s="3395">
        <v>53.266191994419714</v>
      </c>
    </row>
    <row r="13" spans="2:5" s="83" customFormat="1" ht="18" customHeight="1" x14ac:dyDescent="0.2">
      <c r="B13" s="853" t="s">
        <v>1363</v>
      </c>
      <c r="C13" s="4176">
        <v>1836815.281709</v>
      </c>
      <c r="D13" s="4177">
        <f t="shared" si="0"/>
        <v>0.2</v>
      </c>
      <c r="E13" s="3396">
        <v>1346.9978732532668</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-82612.9080901204</v>
      </c>
      <c r="D10" s="4269">
        <f t="shared" ref="D10:H10" si="0">IF(SUM(D11,D14,D17,D20,D23,D26,D29:D30)=0,"NO",SUM(D11,D14,D17,D20,D23,D26,D29:D30))</f>
        <v>558.77128874861694</v>
      </c>
      <c r="E10" s="4269">
        <f t="shared" si="0"/>
        <v>13.071987665130774</v>
      </c>
      <c r="F10" s="4269">
        <f t="shared" si="0"/>
        <v>725.69758942686053</v>
      </c>
      <c r="G10" s="4269">
        <f t="shared" si="0"/>
        <v>18858.080816655383</v>
      </c>
      <c r="H10" s="4270">
        <f t="shared" si="0"/>
        <v>453.75913082960778</v>
      </c>
      <c r="I10" s="4271">
        <f>IF(SUM(C10:E10)=0,"NO",SUM(C10)+28*SUM(D10)+265*SUM(E10))</f>
        <v>-63503.235273899467</v>
      </c>
      <c r="J10" s="4259"/>
    </row>
    <row r="11" spans="2:10" ht="18" customHeight="1" x14ac:dyDescent="0.2">
      <c r="B11" s="464" t="s">
        <v>1252</v>
      </c>
      <c r="C11" s="4272">
        <f>IF(SUM(C12:C13)=0,"NO",SUM(C12:C13))</f>
        <v>-76411.357434243488</v>
      </c>
      <c r="D11" s="4272">
        <f t="shared" ref="D11:H11" si="1">IF(SUM(D12:D13)=0,"NO",SUM(D12:D13))</f>
        <v>242.24789527937753</v>
      </c>
      <c r="E11" s="4272">
        <f t="shared" si="1"/>
        <v>4.9559777685075073</v>
      </c>
      <c r="F11" s="4272">
        <f t="shared" si="1"/>
        <v>252.92293556624912</v>
      </c>
      <c r="G11" s="4272">
        <f t="shared" si="1"/>
        <v>6764.2519223103154</v>
      </c>
      <c r="H11" s="4273">
        <f t="shared" si="1"/>
        <v>221.22487751522758</v>
      </c>
      <c r="I11" s="4274">
        <f t="shared" ref="I11:I32" si="2">IF(SUM(C11:E11)=0,"NO",SUM(C11)+28*SUM(D11)+265*SUM(E11))</f>
        <v>-68315.082257766437</v>
      </c>
    </row>
    <row r="12" spans="2:10" ht="18" customHeight="1" x14ac:dyDescent="0.2">
      <c r="B12" s="465" t="s">
        <v>1253</v>
      </c>
      <c r="C12" s="4275">
        <f>IF(SUM(Table4.A!U11,'Table4(IV)'!J12)=0,"NO",SUM(Table4.A!U11,'Table4(IV)'!J12))</f>
        <v>-46155.184832505336</v>
      </c>
      <c r="D12" s="4275">
        <f>'Table4(IV)'!K12</f>
        <v>235.7573154529841</v>
      </c>
      <c r="E12" s="4275">
        <f>IF(SUM('Table4(III)'!I12,'Table4(IV)'!L12)=0,"NO",SUM('Table4(III)'!I12,'Table4(IV)'!L12))</f>
        <v>4.0373807911405706</v>
      </c>
      <c r="F12" s="4276">
        <v>249.37822543068239</v>
      </c>
      <c r="G12" s="4276">
        <v>6627.4529535790816</v>
      </c>
      <c r="H12" s="4277">
        <v>205.07443862047</v>
      </c>
      <c r="I12" s="4278">
        <f t="shared" si="2"/>
        <v>-38484.074090169524</v>
      </c>
    </row>
    <row r="13" spans="2:10" ht="18" customHeight="1" thickBot="1" x14ac:dyDescent="0.25">
      <c r="B13" s="466" t="s">
        <v>1254</v>
      </c>
      <c r="C13" s="4279">
        <f>IF(SUM(Table4.A!U16,'Table4(IV)'!J19)=0,"NO",SUM(Table4.A!U16,'Table4(IV)'!J19))</f>
        <v>-30256.172601738148</v>
      </c>
      <c r="D13" s="4279">
        <f>'Table4(IV)'!K19</f>
        <v>6.4905798263934251</v>
      </c>
      <c r="E13" s="4279">
        <f>IF(SUM('Table4(III)'!I13,'Table4(IV)'!L19)=0,"NO",SUM('Table4(III)'!I13,'Table4(IV)'!L19))</f>
        <v>0.9185969773669368</v>
      </c>
      <c r="F13" s="4280">
        <v>3.544710135566727</v>
      </c>
      <c r="G13" s="4280">
        <v>136.79896873123423</v>
      </c>
      <c r="H13" s="4281">
        <v>16.150438894757563</v>
      </c>
      <c r="I13" s="4282">
        <f t="shared" si="2"/>
        <v>-29831.008167596894</v>
      </c>
    </row>
    <row r="14" spans="2:10" ht="18" customHeight="1" x14ac:dyDescent="0.2">
      <c r="B14" s="464" t="s">
        <v>1255</v>
      </c>
      <c r="C14" s="4272">
        <f>IF(SUM(C15:C16)=0,"NO",SUM(C15:C16))</f>
        <v>-6646.2328176163528</v>
      </c>
      <c r="D14" s="4272">
        <f t="shared" ref="D14" si="3">IF(SUM(D15:D16)=0,"NO",SUM(D15:D16))</f>
        <v>0.68685201769537774</v>
      </c>
      <c r="E14" s="4272">
        <f t="shared" ref="E14" si="4">IF(SUM(E15:E16)=0,"NO",SUM(E15:E16))</f>
        <v>8.0246418046379928E-2</v>
      </c>
      <c r="F14" s="4272">
        <f t="shared" ref="F14" si="5">IF(SUM(F15:F16)=0,"NO",SUM(F15:F16))</f>
        <v>0.51718321570515047</v>
      </c>
      <c r="G14" s="4272">
        <f t="shared" ref="G14" si="6">IF(SUM(G15:G16)=0,"NO",SUM(G15:G16))</f>
        <v>20.255774781109057</v>
      </c>
      <c r="H14" s="4273">
        <f t="shared" ref="H14" si="7">IF(SUM(H15:H16)=0,"NO",SUM(H15:H16))</f>
        <v>2.4485002482659293</v>
      </c>
      <c r="I14" s="4283">
        <f t="shared" si="2"/>
        <v>-6605.7356603385915</v>
      </c>
    </row>
    <row r="15" spans="2:10" ht="18" customHeight="1" x14ac:dyDescent="0.2">
      <c r="B15" s="465" t="s">
        <v>1256</v>
      </c>
      <c r="C15" s="4275">
        <f>IF(SUM(Table4.B!S11,'Table4(IV)'!J26)=0,"NO",SUM(Table4.B!S11,'Table4(IV)'!J26))</f>
        <v>-9007.9109377489749</v>
      </c>
      <c r="D15" s="4275" t="str">
        <f>'Table4(IV)'!K26</f>
        <v>IE</v>
      </c>
      <c r="E15" s="4275" t="str">
        <f>'Table4(IV)'!L26</f>
        <v>IE</v>
      </c>
      <c r="F15" s="4276" t="s">
        <v>274</v>
      </c>
      <c r="G15" s="4276" t="s">
        <v>274</v>
      </c>
      <c r="H15" s="4277" t="s">
        <v>274</v>
      </c>
      <c r="I15" s="4278">
        <f t="shared" si="2"/>
        <v>-9007.9109377489749</v>
      </c>
    </row>
    <row r="16" spans="2:10" ht="18" customHeight="1" thickBot="1" x14ac:dyDescent="0.25">
      <c r="B16" s="466" t="s">
        <v>1257</v>
      </c>
      <c r="C16" s="4279">
        <f>IF(SUM(Table4.B!S13,'Table4(IV)'!J31)=0,"IE",SUM(Table4.B!S13,'Table4(IV)'!J31))</f>
        <v>2361.6781201326221</v>
      </c>
      <c r="D16" s="4279">
        <f>'Table4(IV)'!K31</f>
        <v>0.68685201769537774</v>
      </c>
      <c r="E16" s="4279">
        <f>IF(SUM('Table4(III)'!I21,'Table4(IV)'!L31)=0,"IE",SUM('Table4(III)'!I21,'Table4(IV)'!L31))</f>
        <v>8.0246418046379928E-2</v>
      </c>
      <c r="F16" s="4280">
        <v>0.51718321570515047</v>
      </c>
      <c r="G16" s="4280">
        <v>20.255774781109057</v>
      </c>
      <c r="H16" s="4281">
        <v>2.4485002482659293</v>
      </c>
      <c r="I16" s="4282">
        <f t="shared" si="2"/>
        <v>2402.1752774103834</v>
      </c>
    </row>
    <row r="17" spans="2:9" ht="18" customHeight="1" x14ac:dyDescent="0.2">
      <c r="B17" s="464" t="s">
        <v>1258</v>
      </c>
      <c r="C17" s="4272">
        <f>IF(SUM(C18:C19)=0,"NO",SUM(C18:C19))</f>
        <v>2761.1416737145264</v>
      </c>
      <c r="D17" s="4272">
        <f t="shared" ref="D17" si="8">IF(SUM(D18:D19)=0,"NO",SUM(D18:D19))</f>
        <v>241.31513810597667</v>
      </c>
      <c r="E17" s="4272">
        <f t="shared" ref="E17" si="9">IF(SUM(E18:E19)=0,"NO",SUM(E18:E19))</f>
        <v>7.4557664762049276</v>
      </c>
      <c r="F17" s="4272">
        <f t="shared" ref="F17" si="10">IF(SUM(F18:F19)=0,"NO",SUM(F18:F19))</f>
        <v>446.25464441805866</v>
      </c>
      <c r="G17" s="4272">
        <f t="shared" ref="G17" si="11">IF(SUM(G18:G19)=0,"NO",SUM(G18:G19))</f>
        <v>11441.056638932689</v>
      </c>
      <c r="H17" s="4273">
        <f t="shared" ref="H17" si="12">IF(SUM(H18:H19)=0,"NO",SUM(H18:H19))</f>
        <v>226.8901058941297</v>
      </c>
      <c r="I17" s="4283">
        <f t="shared" si="2"/>
        <v>11493.743656876179</v>
      </c>
    </row>
    <row r="18" spans="2:9" ht="18" customHeight="1" x14ac:dyDescent="0.2">
      <c r="B18" s="465" t="s">
        <v>1259</v>
      </c>
      <c r="C18" s="4275">
        <f>IF(SUM(Table4.C!S11,'Table4(IV)'!J37)=0,"IE",SUM(Table4.C!S11,'Table4(IV)'!J37))</f>
        <v>-19588.572209797101</v>
      </c>
      <c r="D18" s="4275">
        <f>'Table4(IV)'!K37</f>
        <v>205.48615174315327</v>
      </c>
      <c r="E18" s="4275">
        <f>IF(SUM('Table4(III)'!I29,'Table4(IV)'!L37)=0,"NO",SUM('Table4(III)'!I29,'Table4(IV)'!L37))</f>
        <v>6.4150207474880592</v>
      </c>
      <c r="F18" s="4276">
        <v>418.35067833840412</v>
      </c>
      <c r="G18" s="4276">
        <v>10374.451738274969</v>
      </c>
      <c r="H18" s="4277">
        <v>102.94712837476349</v>
      </c>
      <c r="I18" s="4278">
        <f t="shared" si="2"/>
        <v>-12134.979462904474</v>
      </c>
    </row>
    <row r="19" spans="2:9" ht="18" customHeight="1" thickBot="1" x14ac:dyDescent="0.25">
      <c r="B19" s="466" t="s">
        <v>1260</v>
      </c>
      <c r="C19" s="4279">
        <f>IF(SUM(Table4.C!S15,'Table4(IV)'!J42)=0,"IE",SUM(Table4.C!S15,'Table4(IV)'!J42))</f>
        <v>22349.713883511628</v>
      </c>
      <c r="D19" s="4279">
        <f>'Table4(IV)'!K42</f>
        <v>35.8289863628234</v>
      </c>
      <c r="E19" s="4279">
        <f>IF(SUM('Table4(III)'!I30,'Table4(IV)'!L42)=0,"NO",SUM('Table4(III)'!I30,'Table4(IV)'!L42))</f>
        <v>1.0407457287168687</v>
      </c>
      <c r="F19" s="4280">
        <v>27.903966079654534</v>
      </c>
      <c r="G19" s="4280">
        <v>1066.6049006577205</v>
      </c>
      <c r="H19" s="4281">
        <v>123.9429775193662</v>
      </c>
      <c r="I19" s="4282">
        <f t="shared" si="2"/>
        <v>23628.72311978065</v>
      </c>
    </row>
    <row r="20" spans="2:9" ht="18" customHeight="1" x14ac:dyDescent="0.2">
      <c r="B20" s="464" t="s">
        <v>1261</v>
      </c>
      <c r="C20" s="4272">
        <f>IF(SUM(C21:C22)=0,"NO",SUM(C21:C22))</f>
        <v>-501.11408142992371</v>
      </c>
      <c r="D20" s="4272">
        <f t="shared" ref="D20" si="13">IF(SUM(D21:D22)=0,"NO",SUM(D21:D22))</f>
        <v>73.734638618043761</v>
      </c>
      <c r="E20" s="4272">
        <f t="shared" ref="E20" si="14">IF(SUM(E21:E22)=0,"NO",SUM(E21:E22))</f>
        <v>0.3528702338577468</v>
      </c>
      <c r="F20" s="4272">
        <f t="shared" ref="F20" si="15">IF(SUM(F21:F22)=0,"NO",SUM(F21:F22))</f>
        <v>25.410411119515736</v>
      </c>
      <c r="G20" s="4272">
        <f t="shared" ref="G20" si="16">IF(SUM(G21:G22)=0,"NO",SUM(G21:G22))</f>
        <v>609.31420602791366</v>
      </c>
      <c r="H20" s="4273">
        <f t="shared" ref="H20" si="17">IF(SUM(H21:H22)=0,"NO",SUM(H21:H22))</f>
        <v>0.39097661553457802</v>
      </c>
      <c r="I20" s="4283">
        <f t="shared" si="2"/>
        <v>1656.9664118476046</v>
      </c>
    </row>
    <row r="21" spans="2:9" ht="18" customHeight="1" x14ac:dyDescent="0.2">
      <c r="B21" s="465" t="s">
        <v>1262</v>
      </c>
      <c r="C21" s="4275">
        <f>IF(SUM(Table4.D!S11,'Table4(IV)'!J49)=0,"IE",SUM(Table4.D!S11,'Table4(IV)'!J49))</f>
        <v>-507.63373537618179</v>
      </c>
      <c r="D21" s="4275">
        <f>IF(SUM('Table4(IV)'!K49,'Table4(II)'!J270)=0,"NO",SUM('Table4(IV)'!K49,'Table4(II)'!J270))</f>
        <v>73.101347543964778</v>
      </c>
      <c r="E21" s="4275">
        <f>IF(SUM('Table4(II)'!I270,'Table4(III)'!I38,'Table4(IV)'!L49)=0,"NO",SUM('Table4(II)'!I270,'Table4(III)'!I38,'Table4(IV)'!L49))</f>
        <v>0.3528702338577468</v>
      </c>
      <c r="F21" s="4276">
        <v>25.410411119515736</v>
      </c>
      <c r="G21" s="4276">
        <v>609.31420602791366</v>
      </c>
      <c r="H21" s="4277">
        <v>0.39097661553457802</v>
      </c>
      <c r="I21" s="4278">
        <f t="shared" si="2"/>
        <v>1632.7146078271351</v>
      </c>
    </row>
    <row r="22" spans="2:9" ht="18" customHeight="1" thickBot="1" x14ac:dyDescent="0.25">
      <c r="B22" s="466" t="s">
        <v>1263</v>
      </c>
      <c r="C22" s="4279">
        <f>IF(SUM(Table4.D!S23,'Table4(II)'!H320,'Table4(IV)'!J54)=0,"NO",SUM(Table4.D!S23,'Table4(II)'!H320,'Table4(IV)'!J54))</f>
        <v>6.5196539462580647</v>
      </c>
      <c r="D22" s="4279">
        <f>IF(SUM('Table4(IV)'!K54,'Table4(II)'!J320)=0,"NO",SUM('Table4(IV)'!K54,'Table4(II)'!J320))</f>
        <v>0.63329107407897856</v>
      </c>
      <c r="E22" s="4279" t="str">
        <f>IF(SUM('Table4(II)'!I320,'Table4(III)'!I39,'Table4(IV)'!L54)=0,"NO",SUM('Table4(II)'!I320,'Table4(III)'!I39,'Table4(IV)'!L54))</f>
        <v>NO</v>
      </c>
      <c r="F22" s="4280" t="s">
        <v>274</v>
      </c>
      <c r="G22" s="4280" t="s">
        <v>274</v>
      </c>
      <c r="H22" s="4281" t="s">
        <v>274</v>
      </c>
      <c r="I22" s="4282">
        <f t="shared" si="2"/>
        <v>24.251804020469464</v>
      </c>
    </row>
    <row r="23" spans="2:9" ht="18" customHeight="1" x14ac:dyDescent="0.2">
      <c r="B23" s="464" t="s">
        <v>1264</v>
      </c>
      <c r="C23" s="4272">
        <f>IF(SUM(C24:C25)=0,"NO",SUM(C24:C25))</f>
        <v>3137.0733845727173</v>
      </c>
      <c r="D23" s="4272">
        <f t="shared" ref="D23" si="18">IF(SUM(D24:D25)=0,"NO",SUM(D24:D25))</f>
        <v>0.78676472752364179</v>
      </c>
      <c r="E23" s="4272">
        <f t="shared" ref="E23" si="19">IF(SUM(E24:E25)=0,"NO",SUM(E24:E25))</f>
        <v>2.9538969942783842E-2</v>
      </c>
      <c r="F23" s="4272">
        <f>IF(SUM(F24:F25)=0,"NO",SUM(F24:F25))</f>
        <v>0.59241510733178981</v>
      </c>
      <c r="G23" s="4272">
        <f t="shared" ref="G23" si="20">IF(SUM(G24:G25)=0,"NO",SUM(G24:G25))</f>
        <v>23.202274603359253</v>
      </c>
      <c r="H23" s="4273">
        <f t="shared" ref="H23" si="21">IF(SUM(H24:H25)=0,"NO",SUM(H24:H25))</f>
        <v>2.8046705564500192</v>
      </c>
      <c r="I23" s="4283">
        <f t="shared" si="2"/>
        <v>3166.9306239782172</v>
      </c>
    </row>
    <row r="24" spans="2:9" ht="18" customHeight="1" thickBot="1" x14ac:dyDescent="0.25">
      <c r="B24" s="465" t="s">
        <v>1265</v>
      </c>
      <c r="C24" s="4275">
        <f>IF(SUM(Table4.E!S11,'Table4(IV)'!J60)=0,"IE",SUM(Table4.E!S11,'Table4(IV)'!J60))</f>
        <v>-75.298209749376412</v>
      </c>
      <c r="D24" s="4275" t="str">
        <f>'Table4(IV)'!K60</f>
        <v>IE</v>
      </c>
      <c r="E24" s="4275">
        <f>IF(SUM('Table4(III)'!I47,'Table4(IV)'!L60)=0,"IE",SUM('Table4(III)'!I47,'Table4(IV)'!L60))</f>
        <v>1.4340486046341707E-4</v>
      </c>
      <c r="F24" s="4280" t="s">
        <v>274</v>
      </c>
      <c r="G24" s="4280" t="s">
        <v>274</v>
      </c>
      <c r="H24" s="4281" t="s">
        <v>274</v>
      </c>
      <c r="I24" s="4278">
        <f t="shared" si="2"/>
        <v>-75.260207461353602</v>
      </c>
    </row>
    <row r="25" spans="2:9" ht="18" customHeight="1" thickBot="1" x14ac:dyDescent="0.25">
      <c r="B25" s="466" t="s">
        <v>1266</v>
      </c>
      <c r="C25" s="4279">
        <f>IF(SUM(Table4.E!S13,'Table4(IV)'!J65)=0,"IE",SUM(Table4.E!S13,'Table4(IV)'!J65))</f>
        <v>3212.3715943220936</v>
      </c>
      <c r="D25" s="4279">
        <f>'Table4(IV)'!K65</f>
        <v>0.78676472752364179</v>
      </c>
      <c r="E25" s="4279">
        <f>IF(SUM('Table4(III)'!I48,'Table4(IV)'!L65)=0,"NO",SUM('Table4(III)'!I48,'Table4(IV)'!L65))</f>
        <v>2.9395565082320427E-2</v>
      </c>
      <c r="F25" s="4280">
        <v>0.59241510733178981</v>
      </c>
      <c r="G25" s="4280">
        <v>23.202274603359253</v>
      </c>
      <c r="H25" s="4281">
        <v>2.8046705564500192</v>
      </c>
      <c r="I25" s="4282">
        <f t="shared" si="2"/>
        <v>3242.1908314395705</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-4952.4188151178632</v>
      </c>
      <c r="D29" s="4288"/>
      <c r="E29" s="4288"/>
      <c r="F29" s="4288"/>
      <c r="G29" s="4288"/>
      <c r="H29" s="4289"/>
      <c r="I29" s="4290">
        <f t="shared" si="2"/>
        <v>-4952.4188151178632</v>
      </c>
    </row>
    <row r="30" spans="2:9" ht="18" customHeight="1" x14ac:dyDescent="0.2">
      <c r="B30" s="1167" t="s">
        <v>1271</v>
      </c>
      <c r="C30" s="4291" t="str">
        <f>IF(SUM(C31:C32)=0,"NO",SUM(C31:C32))</f>
        <v>NO</v>
      </c>
      <c r="D30" s="4291" t="str">
        <f t="shared" ref="D30" si="27">IF(SUM(D31:D32)=0,"NO",SUM(D31:D32))</f>
        <v>NO</v>
      </c>
      <c r="E30" s="4291">
        <f t="shared" ref="E30" si="28">IF(SUM(E31:E32)=0,"NO",SUM(E31:E32))</f>
        <v>0.19758779857142855</v>
      </c>
      <c r="F30" s="4291" t="str">
        <f t="shared" ref="F30" si="29">IF(SUM(F31:F32)=0,"NO",SUM(F31:F32))</f>
        <v>NO</v>
      </c>
      <c r="G30" s="4291" t="str">
        <f t="shared" ref="G30" si="30">IF(SUM(G31:G32)=0,"NO",SUM(G31:G32))</f>
        <v>NO</v>
      </c>
      <c r="H30" s="4292" t="str">
        <f t="shared" ref="H30" si="31">IF(SUM(H31:H32)=0,"NO",SUM(H31:H32))</f>
        <v>NO</v>
      </c>
      <c r="I30" s="4293">
        <f t="shared" si="2"/>
        <v>52.360766621428567</v>
      </c>
    </row>
    <row r="31" spans="2:9" ht="18" customHeight="1" x14ac:dyDescent="0.2">
      <c r="B31" s="2693" t="s">
        <v>1272</v>
      </c>
      <c r="C31" s="4294" t="s">
        <v>199</v>
      </c>
      <c r="D31" s="4294" t="s">
        <v>199</v>
      </c>
      <c r="E31" s="4294">
        <v>0.19758779857142855</v>
      </c>
      <c r="F31" s="4294" t="s">
        <v>199</v>
      </c>
      <c r="G31" s="4294" t="s">
        <v>199</v>
      </c>
      <c r="H31" s="4295" t="s">
        <v>199</v>
      </c>
      <c r="I31" s="4296">
        <f t="shared" si="2"/>
        <v>52.360766621428567</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33918.210139963252</v>
      </c>
      <c r="D35" s="4297">
        <v>192.03448329894692</v>
      </c>
      <c r="E35" s="4297">
        <v>1.7985295899405029</v>
      </c>
      <c r="F35" s="4297">
        <v>74.184755962698077</v>
      </c>
      <c r="G35" s="4297">
        <v>2905.4881584336472</v>
      </c>
      <c r="H35" s="4297">
        <v>351.21285431615519</v>
      </c>
      <c r="I35" s="4302">
        <f t="shared" ref="I35" si="32">IF(SUM(C35:E35)=0,"NO",SUM(C35)+28*SUM(D35)+265*SUM(E35))</f>
        <v>39771.786013668003</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1" t="s">
        <v>1276</v>
      </c>
      <c r="C60" s="4492"/>
      <c r="D60" s="4492"/>
      <c r="E60" s="4492"/>
      <c r="F60" s="4492"/>
      <c r="G60" s="4492"/>
      <c r="H60" s="4492"/>
      <c r="I60" s="4493"/>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393703.19259955682</v>
      </c>
      <c r="D10" s="4489">
        <f t="shared" ref="D10:I10" si="0">IF(SUM(D11,D37,D47)=0,"NO",SUM(D11,D37,D47))</f>
        <v>1368.6661423837359</v>
      </c>
      <c r="E10" s="4489">
        <f t="shared" si="0"/>
        <v>10.026258337755554</v>
      </c>
      <c r="F10" s="4489">
        <f t="shared" si="0"/>
        <v>2710.4931605129618</v>
      </c>
      <c r="G10" s="4489">
        <f t="shared" si="0"/>
        <v>2169.3204007238619</v>
      </c>
      <c r="H10" s="4489">
        <f t="shared" si="0"/>
        <v>760.956983223061</v>
      </c>
      <c r="I10" s="4490">
        <f t="shared" si="0"/>
        <v>630.56569130451521</v>
      </c>
      <c r="J10" s="4427">
        <f t="shared" ref="J10:J40" si="1">IF(SUM(C10:E10)=0,"NO",SUM(C10,IFERROR(28*D10,0),IFERROR(265*E10,0)))</f>
        <v>434682.80304580665</v>
      </c>
    </row>
    <row r="11" spans="2:10" s="83" customFormat="1" ht="18" customHeight="1" thickBot="1" x14ac:dyDescent="0.25">
      <c r="B11" s="18" t="s">
        <v>174</v>
      </c>
      <c r="C11" s="3010">
        <f>IF(SUM(C12,C16,C24,C30,C34)=0,"NO",SUM(C12,C16,C24,C30,C34))</f>
        <v>373491.22235545854</v>
      </c>
      <c r="D11" s="3010">
        <f t="shared" ref="D11:I11" si="2">IF(SUM(D12,D16,D24,D30,D34)=0,"NO",SUM(D12,D16,D24,D30,D34))</f>
        <v>85.615374726864431</v>
      </c>
      <c r="E11" s="3010">
        <f t="shared" si="2"/>
        <v>9.7215363563324484</v>
      </c>
      <c r="F11" s="3010">
        <f t="shared" si="2"/>
        <v>2705.7083695567908</v>
      </c>
      <c r="G11" s="3010">
        <f t="shared" si="2"/>
        <v>2141.7506372530693</v>
      </c>
      <c r="H11" s="3010">
        <f t="shared" si="2"/>
        <v>522.66171377907335</v>
      </c>
      <c r="I11" s="3011">
        <f t="shared" si="2"/>
        <v>630.56569130451521</v>
      </c>
      <c r="J11" s="3012">
        <f t="shared" si="1"/>
        <v>378464.65998223884</v>
      </c>
    </row>
    <row r="12" spans="2:10" s="83" customFormat="1" ht="18" customHeight="1" x14ac:dyDescent="0.2">
      <c r="B12" s="26" t="s">
        <v>175</v>
      </c>
      <c r="C12" s="3010">
        <f>IF(SUM(C13:C15)=0,"NO",SUM(C13:C15))</f>
        <v>211944.24017957889</v>
      </c>
      <c r="D12" s="3010">
        <f t="shared" ref="D12:I12" si="3">IF(SUM(D13:D15)=0,"NO",SUM(D13:D15))</f>
        <v>34.757911031528934</v>
      </c>
      <c r="E12" s="3010">
        <f t="shared" si="3"/>
        <v>3.0053656507787929</v>
      </c>
      <c r="F12" s="3010">
        <f t="shared" si="3"/>
        <v>1218.3187593919799</v>
      </c>
      <c r="G12" s="3010">
        <f t="shared" si="3"/>
        <v>296.25013628483714</v>
      </c>
      <c r="H12" s="3010">
        <f>IF(SUM(H13:H15)=0,"NO",SUM(H13:H15))</f>
        <v>80.80667684250534</v>
      </c>
      <c r="I12" s="3011">
        <f t="shared" si="3"/>
        <v>531.22658146534889</v>
      </c>
      <c r="J12" s="3012">
        <f t="shared" si="1"/>
        <v>213713.88358591808</v>
      </c>
    </row>
    <row r="13" spans="2:10" s="83" customFormat="1" ht="18" customHeight="1" x14ac:dyDescent="0.2">
      <c r="B13" s="20" t="s">
        <v>176</v>
      </c>
      <c r="C13" s="3013">
        <f>'Table1.A(a)s1'!H24</f>
        <v>178180.7699514493</v>
      </c>
      <c r="D13" s="3013">
        <f>'Table1.A(a)s1'!I24</f>
        <v>21.322394884663144</v>
      </c>
      <c r="E13" s="3013">
        <f>'Table1.A(a)s1'!J24</f>
        <v>2.1543880958065267</v>
      </c>
      <c r="F13" s="3014">
        <v>660.14320728849805</v>
      </c>
      <c r="G13" s="3014">
        <v>133.39484634474371</v>
      </c>
      <c r="H13" s="3014">
        <v>12.382828347087951</v>
      </c>
      <c r="I13" s="3015">
        <v>513.89589696526161</v>
      </c>
      <c r="J13" s="3016">
        <f t="shared" si="1"/>
        <v>179348.7098536086</v>
      </c>
    </row>
    <row r="14" spans="2:10" s="83" customFormat="1" ht="18" customHeight="1" x14ac:dyDescent="0.2">
      <c r="B14" s="20" t="s">
        <v>177</v>
      </c>
      <c r="C14" s="3013">
        <f>'Table1.A(a)s1'!H53</f>
        <v>3002.0399990164024</v>
      </c>
      <c r="D14" s="3013">
        <f>'Table1.A(a)s1'!I53</f>
        <v>4.7754982096770843E-2</v>
      </c>
      <c r="E14" s="3013">
        <f>'Table1.A(a)s1'!J53</f>
        <v>6.7640591327021195E-3</v>
      </c>
      <c r="F14" s="3014">
        <v>18.766762737366779</v>
      </c>
      <c r="G14" s="3014">
        <v>2.4295274515506486</v>
      </c>
      <c r="H14" s="3014">
        <v>4.3880474197927767E-2</v>
      </c>
      <c r="I14" s="3015">
        <v>5.6107298982033829</v>
      </c>
      <c r="J14" s="3016">
        <f t="shared" si="1"/>
        <v>3005.1696141852781</v>
      </c>
    </row>
    <row r="15" spans="2:10" s="83" customFormat="1" ht="18" customHeight="1" thickBot="1" x14ac:dyDescent="0.25">
      <c r="B15" s="21" t="s">
        <v>178</v>
      </c>
      <c r="C15" s="3017">
        <f>'Table1.A(a)s1'!H60</f>
        <v>30761.430229113161</v>
      </c>
      <c r="D15" s="3017">
        <f>'Table1.A(a)s1'!I60</f>
        <v>13.387761164769023</v>
      </c>
      <c r="E15" s="3017">
        <f>'Table1.A(a)s1'!J60</f>
        <v>0.84421349583956384</v>
      </c>
      <c r="F15" s="3018">
        <v>539.40878936611512</v>
      </c>
      <c r="G15" s="3018">
        <v>160.42576248854274</v>
      </c>
      <c r="H15" s="3018">
        <v>68.379968021219454</v>
      </c>
      <c r="I15" s="3019">
        <v>11.719954601883847</v>
      </c>
      <c r="J15" s="3020">
        <f t="shared" si="1"/>
        <v>31360.00411812418</v>
      </c>
    </row>
    <row r="16" spans="2:10" s="83" customFormat="1" ht="18" customHeight="1" x14ac:dyDescent="0.2">
      <c r="B16" s="25" t="s">
        <v>179</v>
      </c>
      <c r="C16" s="3010">
        <f>IF(SUM(C17:C23)=0,"NO",SUM(C17:C23))</f>
        <v>41337.502229621896</v>
      </c>
      <c r="D16" s="3010">
        <f t="shared" ref="D16:I16" si="4">IF(SUM(D17:D23)=0,"NO",SUM(D17:D23))</f>
        <v>2.3274254706323974</v>
      </c>
      <c r="E16" s="3010">
        <f t="shared" si="4"/>
        <v>1.4719252359707578</v>
      </c>
      <c r="F16" s="3010">
        <f t="shared" si="4"/>
        <v>806.3016843929845</v>
      </c>
      <c r="G16" s="3010">
        <f t="shared" si="4"/>
        <v>255.37399400296394</v>
      </c>
      <c r="H16" s="3010">
        <f t="shared" si="4"/>
        <v>106.50277110439154</v>
      </c>
      <c r="I16" s="3011">
        <f t="shared" si="4"/>
        <v>61.739283122959691</v>
      </c>
      <c r="J16" s="3012">
        <f t="shared" si="1"/>
        <v>41792.730330331855</v>
      </c>
    </row>
    <row r="17" spans="2:10" s="83" customFormat="1" ht="18" customHeight="1" x14ac:dyDescent="0.2">
      <c r="B17" s="20" t="s">
        <v>180</v>
      </c>
      <c r="C17" s="3013">
        <f>'Table1.A(a)s2'!H17</f>
        <v>1463.1355454344837</v>
      </c>
      <c r="D17" s="3013">
        <f>'Table1.A(a)s2'!I17</f>
        <v>3.2672727925767586E-2</v>
      </c>
      <c r="E17" s="3013">
        <f>'Table1.A(a)s2'!J17</f>
        <v>1.878631691887344E-2</v>
      </c>
      <c r="F17" s="3014">
        <v>16.719984592953274</v>
      </c>
      <c r="G17" s="3014">
        <v>2.6833733739500878</v>
      </c>
      <c r="H17" s="3014">
        <v>0.28401251188547488</v>
      </c>
      <c r="I17" s="3015">
        <v>6.7401869785689552</v>
      </c>
      <c r="J17" s="3016">
        <f t="shared" si="1"/>
        <v>1469.0287557999068</v>
      </c>
    </row>
    <row r="18" spans="2:10" s="83" customFormat="1" ht="18" customHeight="1" x14ac:dyDescent="0.2">
      <c r="B18" s="20" t="s">
        <v>181</v>
      </c>
      <c r="C18" s="3013">
        <f>'Table1.A(a)s2'!H24</f>
        <v>11994.289570064368</v>
      </c>
      <c r="D18" s="3013">
        <f>'Table1.A(a)s2'!I24</f>
        <v>0.20339822273498318</v>
      </c>
      <c r="E18" s="3013">
        <f>'Table1.A(a)s2'!J24</f>
        <v>0.13316350591276485</v>
      </c>
      <c r="F18" s="3014">
        <v>75.45161625558589</v>
      </c>
      <c r="G18" s="3014">
        <v>12.547454580964567</v>
      </c>
      <c r="H18" s="3014">
        <v>1.2205309782534184</v>
      </c>
      <c r="I18" s="3015">
        <v>22.148565240674891</v>
      </c>
      <c r="J18" s="3016">
        <f t="shared" si="1"/>
        <v>12035.27304936783</v>
      </c>
    </row>
    <row r="19" spans="2:10" s="83" customFormat="1" ht="18" customHeight="1" x14ac:dyDescent="0.2">
      <c r="B19" s="20" t="s">
        <v>182</v>
      </c>
      <c r="C19" s="3013">
        <f>'Table1.A(a)s2'!H31</f>
        <v>7390.7252524378655</v>
      </c>
      <c r="D19" s="3013">
        <f>'Table1.A(a)s2'!I31</f>
        <v>0.19892796400754315</v>
      </c>
      <c r="E19" s="3013">
        <f>'Table1.A(a)s2'!J31</f>
        <v>7.9220319678002485E-2</v>
      </c>
      <c r="F19" s="3014">
        <v>51.284101257289173</v>
      </c>
      <c r="G19" s="3014">
        <v>13.87416395864885</v>
      </c>
      <c r="H19" s="3014">
        <v>7.5425228672627513</v>
      </c>
      <c r="I19" s="3015">
        <v>8.6982863269863913</v>
      </c>
      <c r="J19" s="3016">
        <f t="shared" si="1"/>
        <v>7417.2886201447473</v>
      </c>
    </row>
    <row r="20" spans="2:10" s="83" customFormat="1" ht="18" customHeight="1" x14ac:dyDescent="0.2">
      <c r="B20" s="20" t="s">
        <v>183</v>
      </c>
      <c r="C20" s="3013">
        <f>'Table1.A(a)s2'!H38</f>
        <v>974.89642094106864</v>
      </c>
      <c r="D20" s="3013">
        <f>'Table1.A(a)s2'!I38</f>
        <v>0.18513717785638747</v>
      </c>
      <c r="E20" s="3013">
        <f>'Table1.A(a)s2'!J38</f>
        <v>0.12282626151674246</v>
      </c>
      <c r="F20" s="3014">
        <v>7.2496626858794269</v>
      </c>
      <c r="G20" s="3014">
        <v>5.0832643854462791</v>
      </c>
      <c r="H20" s="3014">
        <v>0.47115836108681985</v>
      </c>
      <c r="I20" s="3015">
        <v>1.237862085246817</v>
      </c>
      <c r="J20" s="3016">
        <f t="shared" si="1"/>
        <v>1012.6292212229843</v>
      </c>
    </row>
    <row r="21" spans="2:10" s="83" customFormat="1" ht="18" customHeight="1" x14ac:dyDescent="0.2">
      <c r="B21" s="20" t="s">
        <v>184</v>
      </c>
      <c r="C21" s="3013">
        <f>'Table1.A(a)s2'!H45</f>
        <v>2531.3980138378593</v>
      </c>
      <c r="D21" s="3013">
        <f>'Table1.A(a)s2'!I45</f>
        <v>0.7842920952493615</v>
      </c>
      <c r="E21" s="3013">
        <f>'Table1.A(a)s2'!J45</f>
        <v>0.50239615028738804</v>
      </c>
      <c r="F21" s="3014">
        <v>22.31233235366069</v>
      </c>
      <c r="G21" s="3014">
        <v>22.020408500059162</v>
      </c>
      <c r="H21" s="3014">
        <v>1.631323117032045</v>
      </c>
      <c r="I21" s="3015">
        <v>3.1791040206684529</v>
      </c>
      <c r="J21" s="3016">
        <f t="shared" si="1"/>
        <v>2686.4931723309992</v>
      </c>
    </row>
    <row r="22" spans="2:10" s="83" customFormat="1" ht="18" customHeight="1" x14ac:dyDescent="0.2">
      <c r="B22" s="20" t="s">
        <v>185</v>
      </c>
      <c r="C22" s="3013">
        <f>'Table1.A(a)s2'!H52</f>
        <v>4862.0107288170166</v>
      </c>
      <c r="D22" s="3013">
        <f>'Table1.A(a)s2'!I52</f>
        <v>0.30040688944847138</v>
      </c>
      <c r="E22" s="3013">
        <f>'Table1.A(a)s2'!J52</f>
        <v>5.1854896360160246E-2</v>
      </c>
      <c r="F22" s="3014">
        <v>74.988285352052415</v>
      </c>
      <c r="G22" s="3014">
        <v>23.768727414707595</v>
      </c>
      <c r="H22" s="3014">
        <v>15.649449150966651</v>
      </c>
      <c r="I22" s="3015">
        <v>7.59632240904876</v>
      </c>
      <c r="J22" s="3016">
        <f t="shared" si="1"/>
        <v>4884.1636692570164</v>
      </c>
    </row>
    <row r="23" spans="2:10" s="83" customFormat="1" ht="18" customHeight="1" thickBot="1" x14ac:dyDescent="0.25">
      <c r="B23" s="3039" t="s">
        <v>186</v>
      </c>
      <c r="C23" s="3013">
        <f>'Table1.A(a)s2'!H59</f>
        <v>12121.046698089229</v>
      </c>
      <c r="D23" s="3013">
        <f>'Table1.A(a)s2'!I59</f>
        <v>0.6225903934098832</v>
      </c>
      <c r="E23" s="3013">
        <f>'Table1.A(a)s2'!J59</f>
        <v>0.56367778529682622</v>
      </c>
      <c r="F23" s="3014">
        <v>558.29570189556364</v>
      </c>
      <c r="G23" s="3014">
        <v>175.3966017891874</v>
      </c>
      <c r="H23" s="3014">
        <v>79.703774117904388</v>
      </c>
      <c r="I23" s="3015">
        <v>12.138956061765422</v>
      </c>
      <c r="J23" s="3016">
        <f t="shared" si="1"/>
        <v>12287.853842208364</v>
      </c>
    </row>
    <row r="24" spans="2:10" s="83" customFormat="1" ht="18" customHeight="1" x14ac:dyDescent="0.2">
      <c r="B24" s="25" t="s">
        <v>187</v>
      </c>
      <c r="C24" s="3010">
        <f>IF(SUM(C25:C29)=0,"NO",SUM(C25:C29))</f>
        <v>98631.003512585303</v>
      </c>
      <c r="D24" s="3010">
        <f t="shared" ref="D24:I24" si="5">IF(SUM(D25:D29)=0,"NO",SUM(D25:D29))</f>
        <v>13.003303367485842</v>
      </c>
      <c r="E24" s="3010">
        <f t="shared" si="5"/>
        <v>4.563109897918153</v>
      </c>
      <c r="F24" s="3010">
        <f t="shared" si="5"/>
        <v>305.61359938368622</v>
      </c>
      <c r="G24" s="3010">
        <f t="shared" si="5"/>
        <v>958.36775639184611</v>
      </c>
      <c r="H24" s="3010">
        <f t="shared" si="5"/>
        <v>223.76744491015717</v>
      </c>
      <c r="I24" s="3011">
        <f t="shared" si="5"/>
        <v>29.560236696188021</v>
      </c>
      <c r="J24" s="3012">
        <f t="shared" si="1"/>
        <v>100204.32012982322</v>
      </c>
    </row>
    <row r="25" spans="2:10" s="83" customFormat="1" ht="18" customHeight="1" x14ac:dyDescent="0.2">
      <c r="B25" s="20" t="s">
        <v>188</v>
      </c>
      <c r="C25" s="1884">
        <f>'Table1.A(a)s3'!H16</f>
        <v>8452.5503676997123</v>
      </c>
      <c r="D25" s="1884">
        <f>'Table1.A(a)s3'!I16</f>
        <v>3.7316272708472202E-2</v>
      </c>
      <c r="E25" s="1884">
        <f>'Table1.A(a)s3'!J16</f>
        <v>6.3498532709433717E-2</v>
      </c>
      <c r="F25" s="3014">
        <v>28.585112745946606</v>
      </c>
      <c r="G25" s="3014">
        <v>18.628457271617204</v>
      </c>
      <c r="H25" s="3014">
        <v>1.8564115915339077</v>
      </c>
      <c r="I25" s="3015">
        <v>0.99653952797005452</v>
      </c>
      <c r="J25" s="3016">
        <f t="shared" si="1"/>
        <v>8470.4223345035498</v>
      </c>
    </row>
    <row r="26" spans="2:10" s="83" customFormat="1" ht="18" customHeight="1" x14ac:dyDescent="0.2">
      <c r="B26" s="20" t="s">
        <v>189</v>
      </c>
      <c r="C26" s="1884">
        <f>'Table1.A(a)s3'!H20</f>
        <v>83725.27425789769</v>
      </c>
      <c r="D26" s="1884">
        <f>'Table1.A(a)s3'!I20</f>
        <v>8.1582205435267383</v>
      </c>
      <c r="E26" s="1884">
        <f>'Table1.A(a)s3'!J20</f>
        <v>2.9233871094724164</v>
      </c>
      <c r="F26" s="3014">
        <v>169.06349376840538</v>
      </c>
      <c r="G26" s="3014">
        <v>681.47864864046721</v>
      </c>
      <c r="H26" s="3014">
        <v>178.10513953755199</v>
      </c>
      <c r="I26" s="3015">
        <v>17.630556308189441</v>
      </c>
      <c r="J26" s="3016">
        <f t="shared" si="1"/>
        <v>84728.402017126631</v>
      </c>
    </row>
    <row r="27" spans="2:10" s="83" customFormat="1" ht="18" customHeight="1" x14ac:dyDescent="0.2">
      <c r="B27" s="20" t="s">
        <v>190</v>
      </c>
      <c r="C27" s="1884">
        <f>'Table1.A(a)s3'!H81</f>
        <v>3566.7865178876546</v>
      </c>
      <c r="D27" s="1884">
        <f>'Table1.A(a)s3'!I81</f>
        <v>0.20410069000787723</v>
      </c>
      <c r="E27" s="1884">
        <f>'Table1.A(a)s3'!J81</f>
        <v>1.5307551750590789</v>
      </c>
      <c r="F27" s="3014">
        <v>78.068513928013033</v>
      </c>
      <c r="G27" s="3014">
        <v>10.307084845397799</v>
      </c>
      <c r="H27" s="3014">
        <v>3.6227872476398195</v>
      </c>
      <c r="I27" s="3015">
        <v>2.9115415495387347</v>
      </c>
      <c r="J27" s="3016">
        <f t="shared" si="1"/>
        <v>3978.151458598531</v>
      </c>
    </row>
    <row r="28" spans="2:10" s="83" customFormat="1" ht="18" customHeight="1" x14ac:dyDescent="0.2">
      <c r="B28" s="20" t="s">
        <v>191</v>
      </c>
      <c r="C28" s="1884">
        <f>'Table1.A(a)s3'!H88</f>
        <v>1951.5725236416927</v>
      </c>
      <c r="D28" s="1884">
        <f>'Table1.A(a)s3'!I88</f>
        <v>4.4331666412218098</v>
      </c>
      <c r="E28" s="1884">
        <f>'Table1.A(a)s3'!J88</f>
        <v>4.3595169078389583E-2</v>
      </c>
      <c r="F28" s="3014">
        <v>26.381744300262298</v>
      </c>
      <c r="G28" s="3014">
        <v>242.73590735813374</v>
      </c>
      <c r="H28" s="3014">
        <v>39.456994777332369</v>
      </c>
      <c r="I28" s="3015">
        <v>8.0166397499300235</v>
      </c>
      <c r="J28" s="3016">
        <f t="shared" si="1"/>
        <v>2087.253909401677</v>
      </c>
    </row>
    <row r="29" spans="2:10" s="83" customFormat="1" ht="18" customHeight="1" thickBot="1" x14ac:dyDescent="0.25">
      <c r="B29" s="22" t="s">
        <v>192</v>
      </c>
      <c r="C29" s="1888">
        <f>'Table1.A(a)s3'!H99</f>
        <v>934.81984545855562</v>
      </c>
      <c r="D29" s="1888">
        <f>'Table1.A(a)s3'!I99</f>
        <v>0.17049922002094431</v>
      </c>
      <c r="E29" s="1888">
        <f>'Table1.A(a)s3'!J99</f>
        <v>1.8739115988347925E-3</v>
      </c>
      <c r="F29" s="3021">
        <v>3.5147346410588742</v>
      </c>
      <c r="G29" s="3021">
        <v>5.2176582762301411</v>
      </c>
      <c r="H29" s="3021">
        <v>0.72611175609908496</v>
      </c>
      <c r="I29" s="3022">
        <v>4.9595605597693056E-3</v>
      </c>
      <c r="J29" s="3023">
        <f t="shared" si="1"/>
        <v>940.09041019283336</v>
      </c>
    </row>
    <row r="30" spans="2:10" ht="18" customHeight="1" x14ac:dyDescent="0.2">
      <c r="B30" s="26" t="s">
        <v>193</v>
      </c>
      <c r="C30" s="3010">
        <f>IF(SUM(C31:C33)=0,"NO",SUM(C31:C33))</f>
        <v>20793.450536002136</v>
      </c>
      <c r="D30" s="3010">
        <f t="shared" ref="D30" si="6">IF(SUM(D31:D33)=0,"NO",SUM(D31:D33))</f>
        <v>35.494594631743318</v>
      </c>
      <c r="E30" s="3010">
        <f t="shared" ref="E30" si="7">IF(SUM(E31:E33)=0,"NO",SUM(E31:E33))</f>
        <v>0.65923467600729879</v>
      </c>
      <c r="F30" s="3010">
        <f t="shared" ref="F30" si="8">IF(SUM(F31:F33)=0,"NO",SUM(F31:F33))</f>
        <v>368.55016100658901</v>
      </c>
      <c r="G30" s="3010">
        <f t="shared" ref="G30" si="9">IF(SUM(G31:G33)=0,"NO",SUM(G31:G33))</f>
        <v>628.65583388107166</v>
      </c>
      <c r="H30" s="3010">
        <f t="shared" ref="H30" si="10">IF(SUM(H31:H33)=0,"NO",SUM(H31:H33))</f>
        <v>111.09558853778998</v>
      </c>
      <c r="I30" s="3011">
        <f t="shared" ref="I30" si="11">IF(SUM(I31:I33)=0,"NO",SUM(I31:I33))</f>
        <v>7.7725082251718858</v>
      </c>
      <c r="J30" s="3024">
        <f t="shared" si="1"/>
        <v>21961.996374832885</v>
      </c>
    </row>
    <row r="31" spans="2:10" ht="18" customHeight="1" x14ac:dyDescent="0.2">
      <c r="B31" s="20" t="s">
        <v>194</v>
      </c>
      <c r="C31" s="3013">
        <f>'Table1.A(a)s4'!H17</f>
        <v>5154.5787394899089</v>
      </c>
      <c r="D31" s="3013">
        <f>'Table1.A(a)s4'!I17</f>
        <v>0.10944557057126676</v>
      </c>
      <c r="E31" s="3013">
        <f>'Table1.A(a)s4'!J17</f>
        <v>9.2407694743190313E-2</v>
      </c>
      <c r="F31" s="3014">
        <v>39.237666640683841</v>
      </c>
      <c r="G31" s="3014">
        <v>13.044661818560657</v>
      </c>
      <c r="H31" s="3014">
        <v>5.0598434488381745</v>
      </c>
      <c r="I31" s="3015">
        <v>2.6003226113435796</v>
      </c>
      <c r="J31" s="3016">
        <f t="shared" si="1"/>
        <v>5182.1312545728497</v>
      </c>
    </row>
    <row r="32" spans="2:10" ht="18" customHeight="1" x14ac:dyDescent="0.2">
      <c r="B32" s="20" t="s">
        <v>195</v>
      </c>
      <c r="C32" s="3013">
        <f>'Table1.A(a)s4'!H38</f>
        <v>9338.042351671269</v>
      </c>
      <c r="D32" s="3013">
        <f>'Table1.A(a)s4'!I38</f>
        <v>34.77846063079744</v>
      </c>
      <c r="E32" s="3013">
        <f>'Table1.A(a)s4'!J38</f>
        <v>0.2438242656854506</v>
      </c>
      <c r="F32" s="3014">
        <v>12.697846044842965</v>
      </c>
      <c r="G32" s="3014">
        <v>475.51639207878105</v>
      </c>
      <c r="H32" s="3014">
        <v>56.393541674682808</v>
      </c>
      <c r="I32" s="3015">
        <v>0.48074354695722654</v>
      </c>
      <c r="J32" s="3016">
        <f t="shared" si="1"/>
        <v>10376.452679740241</v>
      </c>
    </row>
    <row r="33" spans="2:10" ht="18" customHeight="1" thickBot="1" x14ac:dyDescent="0.25">
      <c r="B33" s="20" t="s">
        <v>196</v>
      </c>
      <c r="C33" s="3013">
        <f>'Table1.A(a)s4'!H59</f>
        <v>6300.8294448409561</v>
      </c>
      <c r="D33" s="3013">
        <f>'Table1.A(a)s4'!I59</f>
        <v>0.60668843037461384</v>
      </c>
      <c r="E33" s="3013">
        <f>'Table1.A(a)s4'!J59</f>
        <v>0.3230027155786579</v>
      </c>
      <c r="F33" s="3014">
        <v>316.61464832106219</v>
      </c>
      <c r="G33" s="3014">
        <v>140.09477998372989</v>
      </c>
      <c r="H33" s="3014">
        <v>49.642203414268998</v>
      </c>
      <c r="I33" s="3015">
        <v>4.6914420668710797</v>
      </c>
      <c r="J33" s="3016">
        <f t="shared" si="1"/>
        <v>6403.4124405197899</v>
      </c>
    </row>
    <row r="34" spans="2:10" ht="18" customHeight="1" x14ac:dyDescent="0.2">
      <c r="B34" s="25" t="s">
        <v>197</v>
      </c>
      <c r="C34" s="3010">
        <f>IF(SUM(C35:C36)=0,"NO",SUM(C35:C36))</f>
        <v>785.02589767037421</v>
      </c>
      <c r="D34" s="3010">
        <f t="shared" ref="D34:E34" si="12">IF(SUM(D35:D36)=0,"NO",SUM(D35:D36))</f>
        <v>3.2140225473938654E-2</v>
      </c>
      <c r="E34" s="3010">
        <f t="shared" si="12"/>
        <v>2.1900895657446368E-2</v>
      </c>
      <c r="F34" s="3010">
        <f t="shared" ref="F34:I34" si="13">IF(SUM(F35:F36)=0,"NO",SUM(F35:F36))</f>
        <v>6.924165381551175</v>
      </c>
      <c r="G34" s="3010">
        <f t="shared" si="13"/>
        <v>3.1029166923502141</v>
      </c>
      <c r="H34" s="3010">
        <f t="shared" si="13"/>
        <v>0.48923238422931581</v>
      </c>
      <c r="I34" s="3011">
        <f t="shared" si="13"/>
        <v>0.26708179484671674</v>
      </c>
      <c r="J34" s="3012">
        <f t="shared" si="1"/>
        <v>791.72956133286777</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785.02589767037421</v>
      </c>
      <c r="D36" s="3025">
        <f>'Table1.A(a)s4'!I108</f>
        <v>3.2140225473938654E-2</v>
      </c>
      <c r="E36" s="3025">
        <f>'Table1.A(a)s4'!J108</f>
        <v>2.1900895657446368E-2</v>
      </c>
      <c r="F36" s="3021">
        <v>6.924165381551175</v>
      </c>
      <c r="G36" s="3021">
        <v>3.1029166923502141</v>
      </c>
      <c r="H36" s="3021">
        <v>0.48923238422931581</v>
      </c>
      <c r="I36" s="3022">
        <v>0.26708179484671674</v>
      </c>
      <c r="J36" s="3023">
        <f t="shared" si="1"/>
        <v>791.72956133286777</v>
      </c>
    </row>
    <row r="37" spans="2:10" ht="18" customHeight="1" thickBot="1" x14ac:dyDescent="0.25">
      <c r="B37" s="18" t="s">
        <v>201</v>
      </c>
      <c r="C37" s="3010">
        <f>IF(SUM(C38,C42)=0,"NO",SUM(C38,C42))</f>
        <v>20211.970244098262</v>
      </c>
      <c r="D37" s="3010">
        <f t="shared" ref="D37:I37" si="14">IF(SUM(D38,D42)=0,"NO",SUM(D38,D42))</f>
        <v>1283.0507676568714</v>
      </c>
      <c r="E37" s="3010">
        <f t="shared" si="14"/>
        <v>0.30472198142310525</v>
      </c>
      <c r="F37" s="3010">
        <f t="shared" si="14"/>
        <v>4.7847909561711077</v>
      </c>
      <c r="G37" s="3010">
        <f t="shared" si="14"/>
        <v>27.569763470792427</v>
      </c>
      <c r="H37" s="3010">
        <f t="shared" si="14"/>
        <v>238.29526944398768</v>
      </c>
      <c r="I37" s="3011" t="str">
        <f t="shared" si="14"/>
        <v>NO</v>
      </c>
      <c r="J37" s="3012">
        <f t="shared" si="1"/>
        <v>56218.14306356779</v>
      </c>
    </row>
    <row r="38" spans="2:10" ht="18" customHeight="1" x14ac:dyDescent="0.2">
      <c r="B38" s="26" t="s">
        <v>202</v>
      </c>
      <c r="C38" s="3010">
        <f>IF(SUM(C39:C41)=0,"NO",SUM(C39:C41))</f>
        <v>2062.3470403633114</v>
      </c>
      <c r="D38" s="3010">
        <f t="shared" ref="D38" si="15">IF(SUM(D39:D41)=0,"NO",SUM(D39:D41))</f>
        <v>976.07213624065889</v>
      </c>
      <c r="E38" s="3010">
        <f t="shared" ref="E38" si="16">IF(SUM(E39:E41)=0,"NO",SUM(E39:E41))</f>
        <v>1.327348684102706E-3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29392.71860250305</v>
      </c>
    </row>
    <row r="39" spans="2:10" ht="18" customHeight="1" x14ac:dyDescent="0.2">
      <c r="B39" s="20" t="s">
        <v>203</v>
      </c>
      <c r="C39" s="3013">
        <f>'Table1.B.1'!G10</f>
        <v>2062.3470403633114</v>
      </c>
      <c r="D39" s="3013">
        <f>'Table1.B.1'!F10</f>
        <v>976.07213624065889</v>
      </c>
      <c r="E39" s="3014">
        <v>1.327348684102706E-3</v>
      </c>
      <c r="F39" s="3014" t="s">
        <v>199</v>
      </c>
      <c r="G39" s="3014" t="s">
        <v>199</v>
      </c>
      <c r="H39" s="3014" t="s">
        <v>199</v>
      </c>
      <c r="I39" s="2940"/>
      <c r="J39" s="3016">
        <f t="shared" si="1"/>
        <v>29392.71860250305</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18149.623203734951</v>
      </c>
      <c r="D42" s="3010">
        <f t="shared" ref="D42:I42" si="21">IF(SUM(D43:D46)=0,"NO",SUM(D43:D46))</f>
        <v>306.97863141621258</v>
      </c>
      <c r="E42" s="3010">
        <f t="shared" si="21"/>
        <v>0.30339463273900252</v>
      </c>
      <c r="F42" s="3010">
        <f t="shared" si="21"/>
        <v>4.7847909561711077</v>
      </c>
      <c r="G42" s="3010">
        <f t="shared" si="21"/>
        <v>27.569763470792427</v>
      </c>
      <c r="H42" s="3010">
        <f t="shared" si="21"/>
        <v>238.29526944398768</v>
      </c>
      <c r="I42" s="3011" t="str">
        <f t="shared" si="21"/>
        <v>NO</v>
      </c>
      <c r="J42" s="3012">
        <f t="shared" ref="J42:J59" si="22">IF(SUM(C42:E42)=0,"NO",SUM(C42,IFERROR(28*D42,0),IFERROR(265*E42,0)))</f>
        <v>26825.42446106474</v>
      </c>
    </row>
    <row r="43" spans="2:10" ht="18" customHeight="1" x14ac:dyDescent="0.2">
      <c r="B43" s="20" t="s">
        <v>208</v>
      </c>
      <c r="C43" s="3013">
        <f>'Table1.B.2'!I10</f>
        <v>108.70107962499998</v>
      </c>
      <c r="D43" s="3013">
        <f>'Table1.B.2'!J10</f>
        <v>2.5116778177153254</v>
      </c>
      <c r="E43" s="3013">
        <f>'Table1.B.2'!K10</f>
        <v>3.3804990840163745E-3</v>
      </c>
      <c r="F43" s="3014">
        <v>6.2587339518821741E-2</v>
      </c>
      <c r="G43" s="3014">
        <v>0.36287249420916612</v>
      </c>
      <c r="H43" s="3014">
        <v>95.202760450920579</v>
      </c>
      <c r="I43" s="3015" t="s">
        <v>199</v>
      </c>
      <c r="J43" s="3016">
        <f t="shared" si="22"/>
        <v>179.92389077829344</v>
      </c>
    </row>
    <row r="44" spans="2:10" ht="18" customHeight="1" x14ac:dyDescent="0.2">
      <c r="B44" s="20" t="s">
        <v>209</v>
      </c>
      <c r="C44" s="3013">
        <f>SUM('Table1.B.2'!I21)</f>
        <v>37.360066572145534</v>
      </c>
      <c r="D44" s="3013">
        <f>'Table1.B.2'!J21</f>
        <v>203.59395966773877</v>
      </c>
      <c r="E44" s="3013">
        <f>'Table1.B.2'!K21</f>
        <v>2.8390500000000009E-4</v>
      </c>
      <c r="F44" s="3014">
        <v>5.2575000000000009E-3</v>
      </c>
      <c r="G44" s="3014">
        <v>3.04935E-2</v>
      </c>
      <c r="H44" s="3014">
        <v>96.251154826544266</v>
      </c>
      <c r="I44" s="3015" t="s">
        <v>199</v>
      </c>
      <c r="J44" s="3016">
        <f t="shared" si="22"/>
        <v>5738.0661720938306</v>
      </c>
    </row>
    <row r="45" spans="2:10" ht="18" customHeight="1" x14ac:dyDescent="0.2">
      <c r="B45" s="20" t="s">
        <v>210</v>
      </c>
      <c r="C45" s="3013">
        <f>'Table1.B.2'!I31</f>
        <v>18003.562057537805</v>
      </c>
      <c r="D45" s="3013">
        <f>'Table1.B.2'!J31</f>
        <v>100.8729939307585</v>
      </c>
      <c r="E45" s="3013">
        <f>'Table1.B.2'!K31</f>
        <v>0.29973022865498616</v>
      </c>
      <c r="F45" s="3014">
        <v>4.7169461166522861</v>
      </c>
      <c r="G45" s="3014">
        <v>27.176397476583261</v>
      </c>
      <c r="H45" s="3014">
        <v>46.841354166522855</v>
      </c>
      <c r="I45" s="3015" t="s">
        <v>199</v>
      </c>
      <c r="J45" s="3016">
        <f t="shared" si="22"/>
        <v>20907.434398192614</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17720.414028928801</v>
      </c>
      <c r="D52" s="3013">
        <f t="shared" ref="D52:I52" si="23">IF(SUM(D53:D54)=0,"NO",SUM(D53:D54))</f>
        <v>0.26214537886272099</v>
      </c>
      <c r="E52" s="3013">
        <f t="shared" si="23"/>
        <v>0.13952382496329768</v>
      </c>
      <c r="F52" s="3013">
        <f t="shared" si="23"/>
        <v>143.94189207436415</v>
      </c>
      <c r="G52" s="3013">
        <f t="shared" si="23"/>
        <v>25.985172532516827</v>
      </c>
      <c r="H52" s="3013">
        <f t="shared" si="23"/>
        <v>13.90473391333532</v>
      </c>
      <c r="I52" s="3034">
        <f t="shared" si="23"/>
        <v>39.236159767957751</v>
      </c>
      <c r="J52" s="3016">
        <f t="shared" si="22"/>
        <v>17764.72791315223</v>
      </c>
    </row>
    <row r="53" spans="2:10" ht="18" customHeight="1" x14ac:dyDescent="0.2">
      <c r="B53" s="164" t="s">
        <v>218</v>
      </c>
      <c r="C53" s="3013">
        <f>Table1.D!G10</f>
        <v>15338.494217949599</v>
      </c>
      <c r="D53" s="3013">
        <f>Table1.D!H10</f>
        <v>3.437243488372093E-2</v>
      </c>
      <c r="E53" s="3013">
        <f>Table1.D!I10</f>
        <v>7.4445840969297669E-2</v>
      </c>
      <c r="F53" s="3014">
        <v>80.333908080364154</v>
      </c>
      <c r="G53" s="3014">
        <v>24.136956884648828</v>
      </c>
      <c r="H53" s="3014">
        <v>11.914277417524321</v>
      </c>
      <c r="I53" s="3015">
        <v>1.8071214452182003</v>
      </c>
      <c r="J53" s="3016">
        <f t="shared" si="22"/>
        <v>15359.184793983208</v>
      </c>
    </row>
    <row r="54" spans="2:10" ht="18" customHeight="1" x14ac:dyDescent="0.2">
      <c r="B54" s="164" t="s">
        <v>219</v>
      </c>
      <c r="C54" s="3013">
        <f>Table1.D!G14</f>
        <v>2381.9198109792001</v>
      </c>
      <c r="D54" s="3013">
        <f>Table1.D!H14</f>
        <v>0.22777294397900005</v>
      </c>
      <c r="E54" s="3013">
        <f>Table1.D!I14</f>
        <v>6.5077983994000013E-2</v>
      </c>
      <c r="F54" s="3014">
        <v>63.607983994000008</v>
      </c>
      <c r="G54" s="3014">
        <v>1.8482156478680001</v>
      </c>
      <c r="H54" s="3014">
        <v>1.9904564958110003</v>
      </c>
      <c r="I54" s="3015">
        <v>37.429038322739551</v>
      </c>
      <c r="J54" s="3016">
        <f t="shared" si="22"/>
        <v>2405.5431191690218</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15553.661457119631</v>
      </c>
      <c r="D56" s="3035"/>
      <c r="E56" s="3035"/>
      <c r="F56" s="3035"/>
      <c r="G56" s="3035"/>
      <c r="H56" s="3035"/>
      <c r="I56" s="2976"/>
      <c r="J56" s="3020">
        <f t="shared" si="22"/>
        <v>15553.661457119631</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1" t="s">
        <v>227</v>
      </c>
      <c r="C77" s="4492"/>
      <c r="D77" s="4492"/>
      <c r="E77" s="4492"/>
      <c r="F77" s="4492"/>
      <c r="G77" s="4492"/>
      <c r="H77" s="4492"/>
      <c r="I77" s="4492"/>
      <c r="J77" s="4493"/>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136629.902320897</v>
      </c>
      <c r="D10" s="3491" t="s">
        <v>199</v>
      </c>
      <c r="E10" s="3491">
        <v>12.473808720999999</v>
      </c>
      <c r="F10" s="3491">
        <v>372.937272635</v>
      </c>
      <c r="G10" s="3491" t="s">
        <v>199</v>
      </c>
      <c r="H10" s="3491" t="s">
        <v>199</v>
      </c>
      <c r="I10" s="3491" t="s">
        <v>199</v>
      </c>
      <c r="J10" s="3491">
        <v>9.8666848849999997</v>
      </c>
      <c r="K10" s="3491" t="s">
        <v>199</v>
      </c>
      <c r="L10" s="3491" t="s">
        <v>199</v>
      </c>
      <c r="M10" s="3492">
        <f>IF(SUM(C10:L10)=0,"NO",SUM(C10:L10))</f>
        <v>137025.180087138</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11.965493854</v>
      </c>
      <c r="D12" s="3491" t="s">
        <v>199</v>
      </c>
      <c r="E12" s="3491">
        <v>39971.994337153003</v>
      </c>
      <c r="F12" s="3491" t="s">
        <v>274</v>
      </c>
      <c r="G12" s="3491" t="s">
        <v>199</v>
      </c>
      <c r="H12" s="3491" t="s">
        <v>274</v>
      </c>
      <c r="I12" s="3491" t="s">
        <v>199</v>
      </c>
      <c r="J12" s="3491" t="s">
        <v>274</v>
      </c>
      <c r="K12" s="3491" t="s">
        <v>199</v>
      </c>
      <c r="L12" s="3491" t="s">
        <v>199</v>
      </c>
      <c r="M12" s="3492">
        <f t="shared" si="0"/>
        <v>39983.959831007</v>
      </c>
    </row>
    <row r="13" spans="2:13" ht="18" customHeight="1" x14ac:dyDescent="0.2">
      <c r="B13" s="2303" t="s">
        <v>1296</v>
      </c>
      <c r="C13" s="3491">
        <v>424.83629747800001</v>
      </c>
      <c r="D13" s="3491" t="s">
        <v>199</v>
      </c>
      <c r="E13" s="3491" t="s">
        <v>274</v>
      </c>
      <c r="F13" s="3491">
        <v>515954.150705304</v>
      </c>
      <c r="G13" s="3491" t="s">
        <v>199</v>
      </c>
      <c r="H13" s="3491" t="s">
        <v>274</v>
      </c>
      <c r="I13" s="3491" t="s">
        <v>199</v>
      </c>
      <c r="J13" s="3491" t="s">
        <v>274</v>
      </c>
      <c r="K13" s="3491" t="s">
        <v>199</v>
      </c>
      <c r="L13" s="3491" t="s">
        <v>199</v>
      </c>
      <c r="M13" s="3492">
        <f t="shared" si="0"/>
        <v>516378.987002782</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3.5754704859999999</v>
      </c>
      <c r="D15" s="3491" t="s">
        <v>199</v>
      </c>
      <c r="E15" s="3491">
        <v>0.63304705100000003</v>
      </c>
      <c r="F15" s="3491">
        <v>2.443871627</v>
      </c>
      <c r="G15" s="3491" t="s">
        <v>199</v>
      </c>
      <c r="H15" s="3491">
        <v>13191.958825227999</v>
      </c>
      <c r="I15" s="3491" t="s">
        <v>199</v>
      </c>
      <c r="J15" s="3491" t="s">
        <v>199</v>
      </c>
      <c r="K15" s="3491" t="s">
        <v>199</v>
      </c>
      <c r="L15" s="3491" t="s">
        <v>199</v>
      </c>
      <c r="M15" s="3492">
        <f t="shared" si="0"/>
        <v>13198.611214392</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8.0500834189999999</v>
      </c>
      <c r="D17" s="3491" t="s">
        <v>199</v>
      </c>
      <c r="E17" s="3491" t="s">
        <v>199</v>
      </c>
      <c r="F17" s="3491" t="s">
        <v>199</v>
      </c>
      <c r="G17" s="3491" t="s">
        <v>199</v>
      </c>
      <c r="H17" s="3491" t="s">
        <v>199</v>
      </c>
      <c r="I17" s="3491" t="s">
        <v>199</v>
      </c>
      <c r="J17" s="3491">
        <v>1541.582935441</v>
      </c>
      <c r="K17" s="3491" t="s">
        <v>199</v>
      </c>
      <c r="L17" s="3491" t="s">
        <v>199</v>
      </c>
      <c r="M17" s="3492">
        <f t="shared" si="0"/>
        <v>1549.63301886</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137078.32966613397</v>
      </c>
      <c r="D20" s="3493" t="str">
        <f t="shared" ref="D20:L20" si="1">IF(SUM(D10:D19)=0,"NO",SUM(D10:D19))</f>
        <v>NO</v>
      </c>
      <c r="E20" s="3493">
        <f t="shared" si="1"/>
        <v>39985.101192925002</v>
      </c>
      <c r="F20" s="3493">
        <f t="shared" si="1"/>
        <v>516329.53184956597</v>
      </c>
      <c r="G20" s="3493" t="str">
        <f t="shared" si="1"/>
        <v>NO</v>
      </c>
      <c r="H20" s="3493">
        <f t="shared" si="1"/>
        <v>13191.958825227999</v>
      </c>
      <c r="I20" s="3493" t="str">
        <f t="shared" si="1"/>
        <v>NO</v>
      </c>
      <c r="J20" s="3493">
        <f t="shared" si="1"/>
        <v>1551.4496203260001</v>
      </c>
      <c r="K20" s="3493">
        <f t="shared" si="1"/>
        <v>60692.328845821001</v>
      </c>
      <c r="L20" s="3493" t="str">
        <f t="shared" si="1"/>
        <v>NO</v>
      </c>
      <c r="M20" s="3492">
        <f t="shared" si="0"/>
        <v>768828.70000000007</v>
      </c>
    </row>
    <row r="21" spans="2:13" ht="18" customHeight="1" thickBot="1" x14ac:dyDescent="0.25">
      <c r="B21" s="2305" t="s">
        <v>1304</v>
      </c>
      <c r="C21" s="3494">
        <f>IF(SUM(C20)=0,"NO",C20-M10)</f>
        <v>53.14957899597357</v>
      </c>
      <c r="D21" s="3494" t="str">
        <f>IF(SUM(D20)=0,"NO",D20-M11)</f>
        <v>NO</v>
      </c>
      <c r="E21" s="3494">
        <f>IF(SUM(E20)=0,"NO",E20-M12)</f>
        <v>1.141361918002076</v>
      </c>
      <c r="F21" s="3494">
        <f>IF(SUM(F20)=0,"NO",F20-M13)</f>
        <v>-49.455153216025792</v>
      </c>
      <c r="G21" s="3494" t="str">
        <f>IF(SUM(G20)=0,"NO",G20-M14)</f>
        <v>NO</v>
      </c>
      <c r="H21" s="3494">
        <f>IF(SUM(H20)=0,"NO",H20-M15)</f>
        <v>-6.6523891640008515</v>
      </c>
      <c r="I21" s="3494" t="str">
        <f>IF(SUM(I20)=0,"NO",I20-M16)</f>
        <v>NO</v>
      </c>
      <c r="J21" s="3494">
        <f>IF(SUM(J20)=0,"NO",J20-M17)</f>
        <v>1.8166014660000656</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137252.4800814566</v>
      </c>
      <c r="E10" s="3498">
        <f t="shared" ref="E10:U10" si="0">IF(SUM(E11,E16)=0,"IE",SUM(E11,E16))</f>
        <v>137078.32966613412</v>
      </c>
      <c r="F10" s="3499">
        <f t="shared" si="0"/>
        <v>174.15041532246838</v>
      </c>
      <c r="G10" s="3500">
        <f t="shared" ref="G10:K11" si="1">IFERROR(IF(SUM($D10)=0,"NA",N10/$D10),"NA")</f>
        <v>0.13549680730387284</v>
      </c>
      <c r="H10" s="3057">
        <f t="shared" si="1"/>
        <v>-1.1850319314873112E-2</v>
      </c>
      <c r="I10" s="3057">
        <f t="shared" si="1"/>
        <v>0.12364648798899973</v>
      </c>
      <c r="J10" s="3057">
        <f t="shared" si="1"/>
        <v>2.0955617426365931E-2</v>
      </c>
      <c r="K10" s="3057">
        <f t="shared" si="1"/>
        <v>6.5794667497835789E-3</v>
      </c>
      <c r="L10" s="3057">
        <f>IFERROR(IF(SUM(E10)=0,"NA",S10/E10),"NA")</f>
        <v>1.965392116416683E-4</v>
      </c>
      <c r="M10" s="3106">
        <f>IFERROR(IF(SUM(F10)=0,"NA",T10/F10),"NA")</f>
        <v>0.3587366081681766</v>
      </c>
      <c r="N10" s="3501">
        <f t="shared" si="0"/>
        <v>18597.272845575771</v>
      </c>
      <c r="O10" s="3502">
        <f t="shared" si="0"/>
        <v>-1626.4857157235222</v>
      </c>
      <c r="P10" s="3502">
        <f t="shared" si="0"/>
        <v>16970.787129852248</v>
      </c>
      <c r="Q10" s="3502">
        <f t="shared" si="0"/>
        <v>2876.2104634069146</v>
      </c>
      <c r="R10" s="3502">
        <f t="shared" si="0"/>
        <v>903.04812902127662</v>
      </c>
      <c r="S10" s="3502">
        <f t="shared" si="0"/>
        <v>26.94126684573871</v>
      </c>
      <c r="T10" s="3503">
        <f t="shared" si="0"/>
        <v>62.474129303861559</v>
      </c>
      <c r="U10" s="4260">
        <f t="shared" si="0"/>
        <v>-76411.357434243488</v>
      </c>
      <c r="W10" s="2422"/>
    </row>
    <row r="11" spans="2:23" ht="18" customHeight="1" x14ac:dyDescent="0.2">
      <c r="B11" s="492" t="s">
        <v>1253</v>
      </c>
      <c r="C11" s="2282"/>
      <c r="D11" s="3504">
        <f>IF(SUM(D12:D15)=0,"IE",SUM(D12:D15))</f>
        <v>122634.540619408</v>
      </c>
      <c r="E11" s="3505">
        <f t="shared" ref="E11:U11" si="2">IF(SUM(E12:E15)=0,"IE",SUM(E12:E15))</f>
        <v>122634.540619408</v>
      </c>
      <c r="F11" s="3506" t="str">
        <f t="shared" si="2"/>
        <v>IE</v>
      </c>
      <c r="G11" s="3500">
        <f t="shared" si="1"/>
        <v>8.6507429741145628E-2</v>
      </c>
      <c r="H11" s="3057">
        <f t="shared" si="1"/>
        <v>-1.3258002052448785E-2</v>
      </c>
      <c r="I11" s="3057">
        <f t="shared" si="1"/>
        <v>7.3249427688696828E-2</v>
      </c>
      <c r="J11" s="3057">
        <f t="shared" si="1"/>
        <v>1.1346292868038718E-2</v>
      </c>
      <c r="K11" s="3057">
        <f t="shared" si="1"/>
        <v>4.7200652196583651E-3</v>
      </c>
      <c r="L11" s="3057">
        <f t="shared" ref="L11:L28" si="3">IFERROR(IF(SUM(E11)=0,"NA",S11/E11),"NA")</f>
        <v>1.332884939746048E-2</v>
      </c>
      <c r="M11" s="3106" t="str">
        <f t="shared" ref="M11:M28" si="4">IFERROR(IF(SUM(F11)=0,"NA",T11/F11),"NA")</f>
        <v>NA</v>
      </c>
      <c r="N11" s="3087">
        <f t="shared" si="2"/>
        <v>10608.798906471107</v>
      </c>
      <c r="O11" s="3087">
        <f t="shared" si="2"/>
        <v>-1625.8889912332252</v>
      </c>
      <c r="P11" s="3087">
        <f t="shared" si="2"/>
        <v>8982.9099152378803</v>
      </c>
      <c r="Q11" s="3087">
        <f t="shared" si="2"/>
        <v>1391.4474136051936</v>
      </c>
      <c r="R11" s="3507">
        <f t="shared" si="2"/>
        <v>578.84302990644869</v>
      </c>
      <c r="S11" s="3507">
        <f t="shared" si="2"/>
        <v>1634.5773228428391</v>
      </c>
      <c r="T11" s="3507" t="str">
        <f t="shared" si="2"/>
        <v>IE</v>
      </c>
      <c r="U11" s="4261">
        <f t="shared" si="2"/>
        <v>-46155.184832505336</v>
      </c>
      <c r="W11" s="2423"/>
    </row>
    <row r="12" spans="2:23" ht="18" customHeight="1" x14ac:dyDescent="0.2">
      <c r="B12" s="490"/>
      <c r="C12" s="498" t="s">
        <v>1339</v>
      </c>
      <c r="D12" s="3509">
        <f>IF(SUM(E12:F12)=0,E12,SUM(E12:F12))</f>
        <v>17542.940290843933</v>
      </c>
      <c r="E12" s="3510">
        <v>17542.940290843933</v>
      </c>
      <c r="F12" s="3496" t="s">
        <v>274</v>
      </c>
      <c r="G12" s="3500">
        <f>IFERROR(IF(SUM($D12)=0,"NA",N12/$D12),"NA")</f>
        <v>0.46111954552870282</v>
      </c>
      <c r="H12" s="3057" t="str">
        <f>IFERROR(IF(SUM($D12)=0,"NA",O12/$D12),"NA")</f>
        <v>NA</v>
      </c>
      <c r="I12" s="3057">
        <f>IFERROR(IF(SUM($D12)=0,"NA",P12/$D12),"NA")</f>
        <v>0.46111954552870282</v>
      </c>
      <c r="J12" s="3057">
        <f>IFERROR(IF(SUM($D12)=0,"NA",Q12/$D12),"NA")</f>
        <v>3.4211924811505083E-2</v>
      </c>
      <c r="K12" s="3057">
        <f>IFERROR(IF(SUM($D12)=0,"NA",R12/$D12),"NA")</f>
        <v>1.9136558221900836E-2</v>
      </c>
      <c r="L12" s="3057">
        <f t="shared" si="3"/>
        <v>6.9316093308265075E-2</v>
      </c>
      <c r="M12" s="3106" t="str">
        <f t="shared" si="4"/>
        <v>NA</v>
      </c>
      <c r="N12" s="2917">
        <v>8089.3926541511246</v>
      </c>
      <c r="O12" s="2917" t="s">
        <v>274</v>
      </c>
      <c r="P12" s="3087">
        <f>IF(SUM(N12:O12)=0,N12,SUM(N12:O12))</f>
        <v>8089.3926541511246</v>
      </c>
      <c r="Q12" s="2917">
        <v>600.17775420307578</v>
      </c>
      <c r="R12" s="2918">
        <v>335.71149825906491</v>
      </c>
      <c r="S12" s="2918">
        <v>1216.008086101461</v>
      </c>
      <c r="T12" s="2918" t="s">
        <v>274</v>
      </c>
      <c r="U12" s="4262">
        <f>IF(SUM(P12:T12)=0,P12,SUM(P12:T12)*-44/12)</f>
        <v>-37551.396639954</v>
      </c>
      <c r="W12" s="2424"/>
    </row>
    <row r="13" spans="2:23" ht="18" customHeight="1" x14ac:dyDescent="0.2">
      <c r="B13" s="490"/>
      <c r="C13" s="498" t="s">
        <v>1340</v>
      </c>
      <c r="D13" s="3509">
        <f t="shared" ref="D13:D15" si="5">IF(SUM(E13:F13)=0,E13,SUM(E13:F13))</f>
        <v>681.45988290815023</v>
      </c>
      <c r="E13" s="3510">
        <v>681.45988290815023</v>
      </c>
      <c r="F13" s="3496" t="s">
        <v>274</v>
      </c>
      <c r="G13" s="3500" t="str">
        <f t="shared" ref="G13:K28" si="6">IFERROR(IF(SUM($D13)=0,"NA",N13/$D13),"NA")</f>
        <v>NA</v>
      </c>
      <c r="H13" s="3057">
        <f t="shared" si="6"/>
        <v>-2.3858909849464589</v>
      </c>
      <c r="I13" s="3057">
        <f t="shared" si="6"/>
        <v>-2.3858909849464589</v>
      </c>
      <c r="J13" s="3057">
        <f t="shared" si="6"/>
        <v>0.38736063512084362</v>
      </c>
      <c r="K13" s="3057">
        <f t="shared" si="6"/>
        <v>0.11459756821285032</v>
      </c>
      <c r="L13" s="3057">
        <f t="shared" si="3"/>
        <v>0.61422432521650638</v>
      </c>
      <c r="M13" s="3106" t="str">
        <f t="shared" si="4"/>
        <v>NA</v>
      </c>
      <c r="N13" s="2917" t="s">
        <v>274</v>
      </c>
      <c r="O13" s="2917">
        <v>-1625.8889912332252</v>
      </c>
      <c r="P13" s="3087">
        <f t="shared" ref="P13:P15" si="7">IF(SUM(N13:O13)=0,N13,SUM(N13:O13))</f>
        <v>-1625.8889912332252</v>
      </c>
      <c r="Q13" s="2917">
        <v>263.97073305267679</v>
      </c>
      <c r="R13" s="2918">
        <v>78.093645415887735</v>
      </c>
      <c r="S13" s="2918">
        <v>418.56923674137801</v>
      </c>
      <c r="T13" s="2918" t="s">
        <v>274</v>
      </c>
      <c r="U13" s="4262">
        <f t="shared" ref="U13:U15" si="8">IF(SUM(P13:T13)=0,P13,SUM(P13:T13)*-44/12)</f>
        <v>3172.6030454187035</v>
      </c>
      <c r="W13" s="2424"/>
    </row>
    <row r="14" spans="2:23" ht="18" customHeight="1" x14ac:dyDescent="0.2">
      <c r="B14" s="490"/>
      <c r="C14" s="498" t="s">
        <v>1341</v>
      </c>
      <c r="D14" s="3509">
        <f t="shared" si="5"/>
        <v>104410.14044565591</v>
      </c>
      <c r="E14" s="3510">
        <v>104410.14044565591</v>
      </c>
      <c r="F14" s="3496" t="s">
        <v>274</v>
      </c>
      <c r="G14" s="3500">
        <f t="shared" si="6"/>
        <v>4.4991193659074131E-3</v>
      </c>
      <c r="H14" s="3057" t="str">
        <f t="shared" si="6"/>
        <v>NA</v>
      </c>
      <c r="I14" s="3057">
        <f t="shared" si="6"/>
        <v>4.4991193659074131E-3</v>
      </c>
      <c r="J14" s="3057">
        <f t="shared" si="6"/>
        <v>3.9066657079717231E-3</v>
      </c>
      <c r="K14" s="3057">
        <f t="shared" si="6"/>
        <v>1.5806691335445153E-3</v>
      </c>
      <c r="L14" s="3057" t="str">
        <f t="shared" si="3"/>
        <v>NA</v>
      </c>
      <c r="M14" s="3106" t="str">
        <f t="shared" si="4"/>
        <v>NA</v>
      </c>
      <c r="N14" s="2917">
        <v>469.75368487616333</v>
      </c>
      <c r="O14" s="2917" t="s">
        <v>274</v>
      </c>
      <c r="P14" s="3087">
        <f t="shared" si="7"/>
        <v>469.75368487616333</v>
      </c>
      <c r="Q14" s="2917">
        <v>407.89551524355534</v>
      </c>
      <c r="R14" s="2918">
        <v>165.03788623149609</v>
      </c>
      <c r="S14" s="2918" t="s">
        <v>205</v>
      </c>
      <c r="T14" s="2918" t="s">
        <v>205</v>
      </c>
      <c r="U14" s="4262">
        <f t="shared" si="8"/>
        <v>-3823.1859832877872</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v>2049.652567443819</v>
      </c>
      <c r="O15" s="2917" t="s">
        <v>274</v>
      </c>
      <c r="P15" s="3087">
        <f t="shared" si="7"/>
        <v>2049.652567443819</v>
      </c>
      <c r="Q15" s="2917">
        <v>119.40341110588555</v>
      </c>
      <c r="R15" s="2918" t="s">
        <v>205</v>
      </c>
      <c r="S15" s="2918" t="s">
        <v>205</v>
      </c>
      <c r="T15" s="2918" t="s">
        <v>205</v>
      </c>
      <c r="U15" s="4262">
        <f t="shared" si="8"/>
        <v>-7953.2052546822497</v>
      </c>
      <c r="W15" s="2424"/>
    </row>
    <row r="16" spans="2:23" ht="18" customHeight="1" x14ac:dyDescent="0.2">
      <c r="B16" s="475" t="s">
        <v>1343</v>
      </c>
      <c r="C16" s="494"/>
      <c r="D16" s="3509">
        <f>IF(SUM(D17,D19,D23,D25,D27)=0,"IE",SUM(D17,D19,D23,D25,D27))</f>
        <v>14617.939462048595</v>
      </c>
      <c r="E16" s="3512">
        <f t="shared" ref="E16:T16" si="9">IF(SUM(E17,E19,E23,E25,E27)=0,"IE",SUM(E17,E19,E23,E25,E27))</f>
        <v>14443.789046726126</v>
      </c>
      <c r="F16" s="3513">
        <f t="shared" si="9"/>
        <v>174.15041532246838</v>
      </c>
      <c r="G16" s="3500">
        <f t="shared" si="6"/>
        <v>0.54648426748821266</v>
      </c>
      <c r="H16" s="3057">
        <f t="shared" si="6"/>
        <v>-4.0821381963325295E-5</v>
      </c>
      <c r="I16" s="3057">
        <f t="shared" si="6"/>
        <v>0.54644344610624929</v>
      </c>
      <c r="J16" s="3057">
        <f t="shared" si="6"/>
        <v>0.10157129557530969</v>
      </c>
      <c r="K16" s="3057">
        <f t="shared" si="6"/>
        <v>2.2178577217160881E-2</v>
      </c>
      <c r="L16" s="3057">
        <f t="shared" si="3"/>
        <v>-0.11130293102428633</v>
      </c>
      <c r="M16" s="3106">
        <f t="shared" si="4"/>
        <v>0.3587366081681766</v>
      </c>
      <c r="N16" s="3057">
        <f t="shared" si="9"/>
        <v>7988.4739391046633</v>
      </c>
      <c r="O16" s="3057">
        <f t="shared" si="9"/>
        <v>-0.59672449029705155</v>
      </c>
      <c r="P16" s="3057">
        <f t="shared" si="9"/>
        <v>7987.8772146143665</v>
      </c>
      <c r="Q16" s="3057">
        <f t="shared" si="9"/>
        <v>1484.7630498017213</v>
      </c>
      <c r="R16" s="3514">
        <f t="shared" si="9"/>
        <v>324.20509911482793</v>
      </c>
      <c r="S16" s="3514">
        <f t="shared" si="9"/>
        <v>-1607.6360559971004</v>
      </c>
      <c r="T16" s="3514">
        <f t="shared" si="9"/>
        <v>62.474129303861559</v>
      </c>
      <c r="U16" s="4262">
        <f>IF(SUM(U17,U19,U23,U25,U27)=0,"IE",SUM(U17,U19,U23,U25,U27))</f>
        <v>-30256.172601738148</v>
      </c>
      <c r="W16" s="2048"/>
    </row>
    <row r="17" spans="2:23" ht="18" customHeight="1" x14ac:dyDescent="0.2">
      <c r="B17" s="477" t="s">
        <v>1344</v>
      </c>
      <c r="C17" s="494"/>
      <c r="D17" s="3509">
        <f>D18</f>
        <v>105.70488019600107</v>
      </c>
      <c r="E17" s="3512">
        <f t="shared" ref="E17:U17" si="10">E18</f>
        <v>105.70488019600107</v>
      </c>
      <c r="F17" s="3513" t="str">
        <f t="shared" si="10"/>
        <v>NO</v>
      </c>
      <c r="G17" s="3500">
        <f t="shared" si="6"/>
        <v>1.0536146726875746</v>
      </c>
      <c r="H17" s="3057" t="str">
        <f t="shared" si="6"/>
        <v>NA</v>
      </c>
      <c r="I17" s="3057">
        <f t="shared" si="6"/>
        <v>1.0536146726875746</v>
      </c>
      <c r="J17" s="3057">
        <f t="shared" si="6"/>
        <v>0.12039727073577186</v>
      </c>
      <c r="K17" s="3057">
        <f t="shared" si="6"/>
        <v>4.3898947463054463E-2</v>
      </c>
      <c r="L17" s="3057">
        <f t="shared" si="3"/>
        <v>-0.25607700124405375</v>
      </c>
      <c r="M17" s="3106" t="str">
        <f t="shared" si="4"/>
        <v>NA</v>
      </c>
      <c r="N17" s="3057">
        <f t="shared" si="10"/>
        <v>111.37221274918895</v>
      </c>
      <c r="O17" s="3057" t="str">
        <f t="shared" si="10"/>
        <v>IE</v>
      </c>
      <c r="P17" s="3057">
        <f t="shared" si="10"/>
        <v>111.37221274918895</v>
      </c>
      <c r="Q17" s="3057">
        <f t="shared" si="10"/>
        <v>12.72657907905027</v>
      </c>
      <c r="R17" s="3514">
        <f t="shared" si="10"/>
        <v>4.6403329823127173</v>
      </c>
      <c r="S17" s="3514">
        <f t="shared" si="10"/>
        <v>-27.068588737453918</v>
      </c>
      <c r="T17" s="3514" t="str">
        <f t="shared" si="10"/>
        <v>NO</v>
      </c>
      <c r="U17" s="4262">
        <f t="shared" si="10"/>
        <v>-372.79196560135938</v>
      </c>
      <c r="W17" s="2048"/>
    </row>
    <row r="18" spans="2:23" ht="18" customHeight="1" x14ac:dyDescent="0.2">
      <c r="B18" s="478"/>
      <c r="C18" s="498" t="s">
        <v>409</v>
      </c>
      <c r="D18" s="3509">
        <f>IF(SUM(E18:F18)=0,E18,SUM(E18:F18))</f>
        <v>105.70488019600107</v>
      </c>
      <c r="E18" s="3510">
        <v>105.70488019600107</v>
      </c>
      <c r="F18" s="3496" t="s">
        <v>199</v>
      </c>
      <c r="G18" s="3500">
        <f t="shared" si="6"/>
        <v>1.0536146726875746</v>
      </c>
      <c r="H18" s="3057" t="str">
        <f t="shared" si="6"/>
        <v>NA</v>
      </c>
      <c r="I18" s="3057">
        <f t="shared" si="6"/>
        <v>1.0536146726875746</v>
      </c>
      <c r="J18" s="3057">
        <f t="shared" si="6"/>
        <v>0.12039727073577186</v>
      </c>
      <c r="K18" s="3057">
        <f t="shared" si="6"/>
        <v>4.3898947463054463E-2</v>
      </c>
      <c r="L18" s="3057">
        <f t="shared" si="3"/>
        <v>-0.25607700124405375</v>
      </c>
      <c r="M18" s="3106" t="str">
        <f t="shared" si="4"/>
        <v>NA</v>
      </c>
      <c r="N18" s="2917">
        <v>111.37221274918895</v>
      </c>
      <c r="O18" s="2917" t="s">
        <v>274</v>
      </c>
      <c r="P18" s="3087">
        <f>IF(SUM(N18:O18)=0,N18,SUM(N18:O18))</f>
        <v>111.37221274918895</v>
      </c>
      <c r="Q18" s="2917">
        <v>12.72657907905027</v>
      </c>
      <c r="R18" s="2918">
        <v>4.6403329823127173</v>
      </c>
      <c r="S18" s="2918">
        <v>-27.068588737453918</v>
      </c>
      <c r="T18" s="2918" t="s">
        <v>199</v>
      </c>
      <c r="U18" s="4262">
        <f t="shared" ref="U18" si="11">IF(SUM(P18:T18)=0,P18,SUM(P18:T18)*-44/12)</f>
        <v>-372.79196560135938</v>
      </c>
      <c r="W18" s="2424"/>
    </row>
    <row r="19" spans="2:23" ht="18" customHeight="1" x14ac:dyDescent="0.2">
      <c r="B19" s="477" t="s">
        <v>1345</v>
      </c>
      <c r="C19" s="494"/>
      <c r="D19" s="3504">
        <f>IF(SUM(D20:D22)=0,"IE",SUM(D20:D22))</f>
        <v>14259.527743311488</v>
      </c>
      <c r="E19" s="3512">
        <f t="shared" ref="E19:U19" si="12">IF(SUM(E20:E22)=0,"IE",SUM(E20:E22))</f>
        <v>14259.527743311488</v>
      </c>
      <c r="F19" s="3513" t="str">
        <f t="shared" si="12"/>
        <v>IE</v>
      </c>
      <c r="G19" s="3500">
        <f t="shared" si="6"/>
        <v>0.46944871920437298</v>
      </c>
      <c r="H19" s="3057">
        <f t="shared" si="6"/>
        <v>-4.1847423073106226E-5</v>
      </c>
      <c r="I19" s="3057">
        <f t="shared" si="6"/>
        <v>0.46940687178129992</v>
      </c>
      <c r="J19" s="3057">
        <f t="shared" si="6"/>
        <v>0.10753308481946393</v>
      </c>
      <c r="K19" s="3057">
        <f t="shared" si="6"/>
        <v>2.1421261384719475E-2</v>
      </c>
      <c r="L19" s="3057">
        <f t="shared" si="3"/>
        <v>-0.10824133499432101</v>
      </c>
      <c r="M19" s="3106" t="str">
        <f t="shared" si="4"/>
        <v>NA</v>
      </c>
      <c r="N19" s="3057">
        <f t="shared" si="12"/>
        <v>6694.1170355568011</v>
      </c>
      <c r="O19" s="3057">
        <f t="shared" si="12"/>
        <v>-0.59672449029705155</v>
      </c>
      <c r="P19" s="3057">
        <f t="shared" si="12"/>
        <v>6693.5203110665043</v>
      </c>
      <c r="Q19" s="3057">
        <f t="shared" si="12"/>
        <v>1533.3710063070132</v>
      </c>
      <c r="R19" s="3514">
        <f t="shared" si="12"/>
        <v>305.45707101213441</v>
      </c>
      <c r="S19" s="3514">
        <f t="shared" si="12"/>
        <v>-1543.470319324593</v>
      </c>
      <c r="T19" s="3514" t="str">
        <f t="shared" si="12"/>
        <v>IE</v>
      </c>
      <c r="U19" s="4262">
        <f t="shared" si="12"/>
        <v>-25625.886253223885</v>
      </c>
      <c r="W19" s="2048"/>
    </row>
    <row r="20" spans="2:23" ht="18" customHeight="1" x14ac:dyDescent="0.2">
      <c r="B20" s="486"/>
      <c r="C20" s="498" t="s">
        <v>1346</v>
      </c>
      <c r="D20" s="3509">
        <f>IF(SUM(E20:F20)=0,E20,SUM(E20:F20))</f>
        <v>3748.8715505743839</v>
      </c>
      <c r="E20" s="3510">
        <v>3748.8715505743839</v>
      </c>
      <c r="F20" s="3496" t="s">
        <v>199</v>
      </c>
      <c r="G20" s="3500">
        <f t="shared" si="6"/>
        <v>1.0132002518816516</v>
      </c>
      <c r="H20" s="3057" t="str">
        <f t="shared" si="6"/>
        <v>NA</v>
      </c>
      <c r="I20" s="3057">
        <f t="shared" si="6"/>
        <v>1.0132002518816516</v>
      </c>
      <c r="J20" s="3057">
        <f t="shared" si="6"/>
        <v>0.11498793351837033</v>
      </c>
      <c r="K20" s="3057">
        <f t="shared" si="6"/>
        <v>4.3414206377888336E-2</v>
      </c>
      <c r="L20" s="3057">
        <f t="shared" si="3"/>
        <v>-0.27857986954936126</v>
      </c>
      <c r="M20" s="3106" t="str">
        <f t="shared" si="4"/>
        <v>NA</v>
      </c>
      <c r="N20" s="2917">
        <v>3798.3575993139234</v>
      </c>
      <c r="O20" s="2917" t="s">
        <v>274</v>
      </c>
      <c r="P20" s="3087">
        <f>IF(SUM(N20:O20)=0,N20,SUM(N20:O20))</f>
        <v>3798.3575993139234</v>
      </c>
      <c r="Q20" s="2917">
        <v>431.07499262635719</v>
      </c>
      <c r="R20" s="2918">
        <v>162.75428318083056</v>
      </c>
      <c r="S20" s="2918">
        <v>-1044.3601475163237</v>
      </c>
      <c r="T20" s="2918" t="s">
        <v>199</v>
      </c>
      <c r="U20" s="4262">
        <f t="shared" ref="U20:U22" si="13">IF(SUM(P20:T20)=0,P20,SUM(P20:T20)*-44/12)</f>
        <v>-12275.364667884221</v>
      </c>
      <c r="W20" s="2424"/>
    </row>
    <row r="21" spans="2:23" ht="18" customHeight="1" x14ac:dyDescent="0.2">
      <c r="B21" s="490"/>
      <c r="C21" s="498" t="s">
        <v>1347</v>
      </c>
      <c r="D21" s="3509">
        <f>IF(SUM(E21:F21)=0,E21,SUM(E21:F21))</f>
        <v>10510.656192737104</v>
      </c>
      <c r="E21" s="3510">
        <v>10510.656192737104</v>
      </c>
      <c r="F21" s="3496" t="s">
        <v>199</v>
      </c>
      <c r="G21" s="3500">
        <f t="shared" si="6"/>
        <v>0.2755070076636944</v>
      </c>
      <c r="H21" s="3057" t="str">
        <f t="shared" si="6"/>
        <v>NA</v>
      </c>
      <c r="I21" s="3057">
        <f t="shared" si="6"/>
        <v>0.2755070076636944</v>
      </c>
      <c r="J21" s="3057">
        <f t="shared" si="6"/>
        <v>0.10486171964759419</v>
      </c>
      <c r="K21" s="3057">
        <f t="shared" si="6"/>
        <v>1.357696277135503E-2</v>
      </c>
      <c r="L21" s="3057">
        <f t="shared" si="3"/>
        <v>-4.7486109587825356E-2</v>
      </c>
      <c r="M21" s="3106" t="str">
        <f t="shared" si="4"/>
        <v>NA</v>
      </c>
      <c r="N21" s="2917">
        <v>2895.7594362428781</v>
      </c>
      <c r="O21" s="2917" t="s">
        <v>274</v>
      </c>
      <c r="P21" s="3087">
        <f t="shared" ref="P21:P28" si="14">IF(SUM(N21:O21)=0,N21,SUM(N21:O21))</f>
        <v>2895.7594362428781</v>
      </c>
      <c r="Q21" s="2917">
        <v>1102.165482995048</v>
      </c>
      <c r="R21" s="2918">
        <v>142.70278783130385</v>
      </c>
      <c r="S21" s="2918">
        <v>-499.11017180826934</v>
      </c>
      <c r="T21" s="2918" t="s">
        <v>199</v>
      </c>
      <c r="U21" s="4262">
        <f t="shared" si="13"/>
        <v>-13352.230962623524</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-0.59672449029705155</v>
      </c>
      <c r="P22" s="3087">
        <f t="shared" si="14"/>
        <v>-0.59672449029705155</v>
      </c>
      <c r="Q22" s="2917">
        <v>0.13053068560798281</v>
      </c>
      <c r="R22" s="2918" t="s">
        <v>205</v>
      </c>
      <c r="S22" s="2918" t="s">
        <v>205</v>
      </c>
      <c r="T22" s="2918" t="s">
        <v>205</v>
      </c>
      <c r="U22" s="4262">
        <f t="shared" si="13"/>
        <v>1.7093772838599186</v>
      </c>
      <c r="W22" s="2424"/>
    </row>
    <row r="23" spans="2:23" ht="18" customHeight="1" x14ac:dyDescent="0.2">
      <c r="B23" s="477" t="s">
        <v>1348</v>
      </c>
      <c r="C23" s="494"/>
      <c r="D23" s="3509">
        <f>D24</f>
        <v>174.15041532246838</v>
      </c>
      <c r="E23" s="3512" t="str">
        <f t="shared" ref="E23" si="15">E24</f>
        <v>NO</v>
      </c>
      <c r="F23" s="3513">
        <f t="shared" ref="F23" si="16">F24</f>
        <v>174.15041532246838</v>
      </c>
      <c r="G23" s="3500">
        <f t="shared" si="6"/>
        <v>6.1811657921976497</v>
      </c>
      <c r="H23" s="3057" t="str">
        <f t="shared" si="6"/>
        <v>NA</v>
      </c>
      <c r="I23" s="3057">
        <f t="shared" si="6"/>
        <v>6.1811657921976497</v>
      </c>
      <c r="J23" s="3057">
        <f t="shared" si="6"/>
        <v>-0.41421466959060688</v>
      </c>
      <c r="K23" s="3057">
        <f t="shared" si="6"/>
        <v>5.4629528609141796E-2</v>
      </c>
      <c r="L23" s="3057" t="str">
        <f t="shared" si="3"/>
        <v>NA</v>
      </c>
      <c r="M23" s="3106">
        <f t="shared" si="4"/>
        <v>0.3587366081681766</v>
      </c>
      <c r="N23" s="3057">
        <f t="shared" ref="N23" si="17">N24</f>
        <v>1076.452589888255</v>
      </c>
      <c r="O23" s="3057" t="str">
        <f t="shared" ref="O23" si="18">O24</f>
        <v>IE</v>
      </c>
      <c r="P23" s="3057">
        <f t="shared" ref="P23" si="19">P24</f>
        <v>1076.452589888255</v>
      </c>
      <c r="Q23" s="3057">
        <f t="shared" ref="Q23" si="20">Q24</f>
        <v>-72.135656741863201</v>
      </c>
      <c r="R23" s="3514">
        <f t="shared" ref="R23" si="21">R24</f>
        <v>9.5137550961527122</v>
      </c>
      <c r="S23" s="3514" t="str">
        <f t="shared" ref="S23" si="22">S24</f>
        <v>NO</v>
      </c>
      <c r="T23" s="3514">
        <f t="shared" ref="T23" si="23">T24</f>
        <v>62.474129303861559</v>
      </c>
      <c r="U23" s="4262">
        <f t="shared" ref="U23" si="24">U24</f>
        <v>-3946.4509976701561</v>
      </c>
      <c r="W23" s="2048"/>
    </row>
    <row r="24" spans="2:23" ht="18" customHeight="1" x14ac:dyDescent="0.2">
      <c r="B24" s="478"/>
      <c r="C24" s="498" t="s">
        <v>409</v>
      </c>
      <c r="D24" s="3509">
        <f>IF(SUM(E24:F24)=0,E24,SUM(E24:F24))</f>
        <v>174.15041532246838</v>
      </c>
      <c r="E24" s="3510" t="s">
        <v>199</v>
      </c>
      <c r="F24" s="3496">
        <v>174.15041532246838</v>
      </c>
      <c r="G24" s="3500">
        <f t="shared" si="6"/>
        <v>6.1811657921976497</v>
      </c>
      <c r="H24" s="3057" t="str">
        <f t="shared" si="6"/>
        <v>NA</v>
      </c>
      <c r="I24" s="3057">
        <f t="shared" si="6"/>
        <v>6.1811657921976497</v>
      </c>
      <c r="J24" s="3057">
        <f t="shared" si="6"/>
        <v>-0.41421466959060688</v>
      </c>
      <c r="K24" s="3057">
        <f t="shared" si="6"/>
        <v>5.4629528609141796E-2</v>
      </c>
      <c r="L24" s="3057" t="str">
        <f t="shared" si="3"/>
        <v>NA</v>
      </c>
      <c r="M24" s="3106">
        <f t="shared" si="4"/>
        <v>0.3587366081681766</v>
      </c>
      <c r="N24" s="2917">
        <v>1076.452589888255</v>
      </c>
      <c r="O24" s="2917" t="s">
        <v>274</v>
      </c>
      <c r="P24" s="3087">
        <f t="shared" si="14"/>
        <v>1076.452589888255</v>
      </c>
      <c r="Q24" s="2917">
        <v>-72.135656741863201</v>
      </c>
      <c r="R24" s="2918">
        <v>9.5137550961527122</v>
      </c>
      <c r="S24" s="2918" t="s">
        <v>199</v>
      </c>
      <c r="T24" s="2918">
        <v>62.474129303861559</v>
      </c>
      <c r="U24" s="4262">
        <f t="shared" ref="U24" si="25">IF(SUM(P24:T24)=0,P24,SUM(P24:T24)*-44/12)</f>
        <v>-3946.4509976701561</v>
      </c>
      <c r="W24" s="2424"/>
    </row>
    <row r="25" spans="2:23" ht="18" customHeight="1" x14ac:dyDescent="0.2">
      <c r="B25" s="477" t="s">
        <v>1349</v>
      </c>
      <c r="C25" s="494"/>
      <c r="D25" s="3509">
        <f>D26</f>
        <v>78.556423218636795</v>
      </c>
      <c r="E25" s="3512">
        <f t="shared" ref="E25" si="26">E26</f>
        <v>78.556423218636795</v>
      </c>
      <c r="F25" s="3513" t="str">
        <f t="shared" ref="F25" si="27">F26</f>
        <v>NO</v>
      </c>
      <c r="G25" s="3500">
        <f t="shared" si="6"/>
        <v>1.3561220909195379</v>
      </c>
      <c r="H25" s="3057" t="str">
        <f t="shared" si="6"/>
        <v>NA</v>
      </c>
      <c r="I25" s="3057">
        <f t="shared" si="6"/>
        <v>1.3561220909195379</v>
      </c>
      <c r="J25" s="3057">
        <f t="shared" si="6"/>
        <v>0.1374950731585558</v>
      </c>
      <c r="K25" s="3057">
        <f t="shared" si="6"/>
        <v>5.8479495832471001E-2</v>
      </c>
      <c r="L25" s="3057">
        <f t="shared" si="3"/>
        <v>-0.47223570543436583</v>
      </c>
      <c r="M25" s="3106" t="str">
        <f t="shared" si="4"/>
        <v>NA</v>
      </c>
      <c r="N25" s="3057">
        <f t="shared" ref="N25" si="28">N26</f>
        <v>106.53210091041787</v>
      </c>
      <c r="O25" s="3057" t="str">
        <f t="shared" ref="O25" si="29">O26</f>
        <v>IE</v>
      </c>
      <c r="P25" s="3057">
        <f t="shared" ref="P25" si="30">P26</f>
        <v>106.53210091041787</v>
      </c>
      <c r="Q25" s="3057">
        <f t="shared" ref="Q25" si="31">Q26</f>
        <v>10.801121157520937</v>
      </c>
      <c r="R25" s="3514">
        <f t="shared" ref="R25" si="32">R26</f>
        <v>4.5939400242280986</v>
      </c>
      <c r="S25" s="3514">
        <f t="shared" ref="S25" si="33">S26</f>
        <v>-37.097147935053542</v>
      </c>
      <c r="T25" s="3514" t="str">
        <f t="shared" ref="T25" si="34">T26</f>
        <v>NO</v>
      </c>
      <c r="U25" s="4262">
        <f t="shared" ref="U25" si="35">U26</f>
        <v>-311.04338524274903</v>
      </c>
      <c r="W25" s="2048"/>
    </row>
    <row r="26" spans="2:23" ht="18" customHeight="1" x14ac:dyDescent="0.2">
      <c r="B26" s="478"/>
      <c r="C26" s="498" t="s">
        <v>409</v>
      </c>
      <c r="D26" s="3509">
        <f>IF(SUM(E26:F26)=0,E26,SUM(E26:F26))</f>
        <v>78.556423218636795</v>
      </c>
      <c r="E26" s="3510">
        <v>78.556423218636795</v>
      </c>
      <c r="F26" s="3496" t="s">
        <v>199</v>
      </c>
      <c r="G26" s="3500">
        <f t="shared" si="6"/>
        <v>1.3561220909195379</v>
      </c>
      <c r="H26" s="3057" t="str">
        <f t="shared" si="6"/>
        <v>NA</v>
      </c>
      <c r="I26" s="3057">
        <f t="shared" si="6"/>
        <v>1.3561220909195379</v>
      </c>
      <c r="J26" s="3057">
        <f t="shared" si="6"/>
        <v>0.1374950731585558</v>
      </c>
      <c r="K26" s="3057">
        <f t="shared" si="6"/>
        <v>5.8479495832471001E-2</v>
      </c>
      <c r="L26" s="3057">
        <f t="shared" si="3"/>
        <v>-0.47223570543436583</v>
      </c>
      <c r="M26" s="3106" t="str">
        <f t="shared" si="4"/>
        <v>NA</v>
      </c>
      <c r="N26" s="2917">
        <v>106.53210091041787</v>
      </c>
      <c r="O26" s="2917" t="s">
        <v>274</v>
      </c>
      <c r="P26" s="3087">
        <f t="shared" si="14"/>
        <v>106.53210091041787</v>
      </c>
      <c r="Q26" s="2917">
        <v>10.801121157520937</v>
      </c>
      <c r="R26" s="2918">
        <v>4.5939400242280986</v>
      </c>
      <c r="S26" s="2918">
        <v>-37.097147935053542</v>
      </c>
      <c r="T26" s="2918" t="s">
        <v>199</v>
      </c>
      <c r="U26" s="4262">
        <f t="shared" ref="U26" si="36">IF(SUM(P26:T26)=0,P26,SUM(P26:T26)*-44/12)</f>
        <v>-311.04338524274903</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3" t="s">
        <v>1351</v>
      </c>
      <c r="C49" s="4504"/>
      <c r="D49" s="4504"/>
      <c r="E49" s="4504"/>
      <c r="F49" s="4504"/>
      <c r="G49" s="4504"/>
      <c r="H49" s="4504"/>
      <c r="I49" s="4504"/>
      <c r="J49" s="4504"/>
      <c r="K49" s="4504"/>
      <c r="L49" s="4504"/>
      <c r="M49" s="4504"/>
      <c r="N49" s="4504"/>
      <c r="O49" s="4504"/>
      <c r="P49" s="4504"/>
      <c r="Q49" s="4504"/>
      <c r="R49" s="4504"/>
      <c r="S49" s="4504"/>
      <c r="T49" s="4504"/>
      <c r="U49" s="4505"/>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39985.101192924696</v>
      </c>
      <c r="E10" s="3523">
        <f t="shared" ref="E10:F10" si="0">IF(SUM(E11,E13)=0,"IE",SUM(E11,E13))</f>
        <v>39982.101192924696</v>
      </c>
      <c r="F10" s="3524">
        <f t="shared" si="0"/>
        <v>3</v>
      </c>
      <c r="G10" s="3500">
        <f>IFERROR(IF(SUM($D10)=0,"NA",M10/$D10),"NA")</f>
        <v>1.2500003956643466E-3</v>
      </c>
      <c r="H10" s="3523">
        <f t="shared" ref="H10:J10" si="1">IFERROR(IF(SUM($D10)=0,"NA",N10/$D10),"NA")</f>
        <v>-6.1537897509557175E-3</v>
      </c>
      <c r="I10" s="3523">
        <f t="shared" si="1"/>
        <v>-4.9037893552913705E-3</v>
      </c>
      <c r="J10" s="3523">
        <f t="shared" si="1"/>
        <v>-1.5308137643567715E-3</v>
      </c>
      <c r="K10" s="3525">
        <f>IFERROR(IF(SUM(E10)=0,"NA",Q10/E10),"NA")</f>
        <v>5.2706639827807766E-2</v>
      </c>
      <c r="L10" s="3524">
        <f>IFERROR(IF(SUM(F10)=0,"NA",R10/F10),"NA")</f>
        <v>-12.475</v>
      </c>
      <c r="M10" s="3526">
        <f>IF(SUM(M11,M13)=0,"IE",SUM(M11,M13))</f>
        <v>49.981392311834803</v>
      </c>
      <c r="N10" s="3523">
        <f t="shared" ref="N10:S10" si="2">IF(SUM(N11,N13)=0,"IE",SUM(N11,N13))</f>
        <v>-246.05990591194723</v>
      </c>
      <c r="O10" s="3527">
        <f t="shared" si="2"/>
        <v>-196.07851360011242</v>
      </c>
      <c r="P10" s="3523">
        <f t="shared" si="2"/>
        <v>-61.209743275327483</v>
      </c>
      <c r="Q10" s="3525">
        <f t="shared" si="2"/>
        <v>2107.3222071344453</v>
      </c>
      <c r="R10" s="3525">
        <f t="shared" si="2"/>
        <v>-37.424999999999997</v>
      </c>
      <c r="S10" s="3528">
        <f t="shared" si="2"/>
        <v>-6646.2328176163528</v>
      </c>
      <c r="U10" s="2287"/>
    </row>
    <row r="11" spans="2:21" ht="18" customHeight="1" x14ac:dyDescent="0.2">
      <c r="B11" s="489" t="s">
        <v>1256</v>
      </c>
      <c r="C11" s="2282"/>
      <c r="D11" s="3529">
        <f>D12</f>
        <v>37705.446363239003</v>
      </c>
      <c r="E11" s="3057">
        <f t="shared" ref="E11" si="3">E12</f>
        <v>37705.446363239003</v>
      </c>
      <c r="F11" s="3057" t="str">
        <f t="shared" ref="F11" si="4">F12</f>
        <v>IE</v>
      </c>
      <c r="G11" s="3500">
        <f t="shared" ref="G11:G23" si="5">IFERROR(IF(SUM($D11)=0,"NA",M11/$D11),"NA")</f>
        <v>1.3255748739939134E-3</v>
      </c>
      <c r="H11" s="3057" t="str">
        <f t="shared" ref="H11:H23" si="6">IFERROR(IF(SUM($D11)=0,"NA",N11/$D11),"NA")</f>
        <v>NA</v>
      </c>
      <c r="I11" s="3057">
        <f t="shared" ref="I11:I23" si="7">IFERROR(IF(SUM($D11)=0,"NA",O11/$D11),"NA")</f>
        <v>1.3255748739939134E-3</v>
      </c>
      <c r="J11" s="3057" t="str">
        <f t="shared" ref="J11:J23" si="8">IFERROR(IF(SUM($D11)=0,"NA",P11/$D11),"NA")</f>
        <v>NA</v>
      </c>
      <c r="K11" s="3514">
        <f t="shared" ref="K11:K23" si="9">IFERROR(IF(SUM(E11)=0,"NA",Q11/E11),"NA")</f>
        <v>6.3829547793314304E-2</v>
      </c>
      <c r="L11" s="3106" t="str">
        <f t="shared" ref="L11:L23" si="10">IFERROR(IF(SUM(F11)=0,"NA",R11/F11),"NA")</f>
        <v>NA</v>
      </c>
      <c r="M11" s="3530">
        <f t="shared" ref="M11" si="11">M12</f>
        <v>49.981392311834803</v>
      </c>
      <c r="N11" s="3531" t="str">
        <f t="shared" ref="N11" si="12">N12</f>
        <v>IE</v>
      </c>
      <c r="O11" s="3532">
        <f t="shared" ref="O11" si="13">O12</f>
        <v>49.981392311834803</v>
      </c>
      <c r="P11" s="3531" t="str">
        <f t="shared" ref="P11" si="14">P12</f>
        <v>NA</v>
      </c>
      <c r="Q11" s="3533">
        <f t="shared" ref="Q11" si="15">Q12</f>
        <v>2406.7215907106129</v>
      </c>
      <c r="R11" s="3533" t="str">
        <f t="shared" ref="R11" si="16">R12</f>
        <v>IE</v>
      </c>
      <c r="S11" s="3534">
        <f t="shared" ref="S11" si="17">S12</f>
        <v>-9007.9109377489749</v>
      </c>
      <c r="U11" s="2284"/>
    </row>
    <row r="12" spans="2:21" ht="18" customHeight="1" x14ac:dyDescent="0.2">
      <c r="B12" s="491"/>
      <c r="C12" s="498" t="s">
        <v>409</v>
      </c>
      <c r="D12" s="3509">
        <f>IF(SUM(E12:F12)=0,E12,SUM(E12:F12))</f>
        <v>37705.446363239003</v>
      </c>
      <c r="E12" s="3510">
        <v>37705.446363239003</v>
      </c>
      <c r="F12" s="3496" t="s">
        <v>274</v>
      </c>
      <c r="G12" s="3500">
        <f t="shared" si="5"/>
        <v>1.3255748739939134E-3</v>
      </c>
      <c r="H12" s="3057" t="str">
        <f t="shared" si="6"/>
        <v>NA</v>
      </c>
      <c r="I12" s="3057">
        <f t="shared" si="7"/>
        <v>1.3255748739939134E-3</v>
      </c>
      <c r="J12" s="3057" t="str">
        <f t="shared" si="8"/>
        <v>NA</v>
      </c>
      <c r="K12" s="3514">
        <f t="shared" si="9"/>
        <v>6.3829547793314304E-2</v>
      </c>
      <c r="L12" s="3106" t="str">
        <f t="shared" si="10"/>
        <v>NA</v>
      </c>
      <c r="M12" s="2917">
        <v>49.981392311834803</v>
      </c>
      <c r="N12" s="2917" t="s">
        <v>274</v>
      </c>
      <c r="O12" s="3087">
        <f>IF(SUM(M12:N12)=0,M12,SUM(M12:N12))</f>
        <v>49.981392311834803</v>
      </c>
      <c r="P12" s="2917" t="s">
        <v>205</v>
      </c>
      <c r="Q12" s="2918">
        <v>2406.7215907106129</v>
      </c>
      <c r="R12" s="2918" t="s">
        <v>274</v>
      </c>
      <c r="S12" s="3534">
        <f>IF(SUM(O12:R12)=0,Q12,SUM(O12:R12)*-44/12)</f>
        <v>-9007.9109377489749</v>
      </c>
      <c r="U12" s="2424"/>
    </row>
    <row r="13" spans="2:21" ht="18" customHeight="1" x14ac:dyDescent="0.2">
      <c r="B13" s="475" t="s">
        <v>1375</v>
      </c>
      <c r="C13" s="494"/>
      <c r="D13" s="3529">
        <f>IF(SUM(D14,D16,D18,D20,D22)=0,"IE",SUM(D14,D16,D18,D20,D22))</f>
        <v>2279.6548296856899</v>
      </c>
      <c r="E13" s="3531">
        <f t="shared" ref="E13:F13" si="18">IF(SUM(E14,E16,E18,E20,E22)=0,"IE",SUM(E14,E16,E18,E20,E22))</f>
        <v>2276.6548296856899</v>
      </c>
      <c r="F13" s="3535">
        <f t="shared" si="18"/>
        <v>3</v>
      </c>
      <c r="G13" s="3500" t="str">
        <f t="shared" si="5"/>
        <v>NA</v>
      </c>
      <c r="H13" s="3057">
        <f t="shared" si="6"/>
        <v>-0.10793735205336899</v>
      </c>
      <c r="I13" s="3057">
        <f t="shared" si="7"/>
        <v>-0.10793735205336899</v>
      </c>
      <c r="J13" s="3057">
        <f t="shared" si="8"/>
        <v>-2.6850443531298486E-2</v>
      </c>
      <c r="K13" s="3514">
        <f t="shared" si="9"/>
        <v>-0.1315084656981147</v>
      </c>
      <c r="L13" s="3106">
        <f t="shared" si="10"/>
        <v>-12.475</v>
      </c>
      <c r="M13" s="3530" t="str">
        <f>IF(SUM(M14,M16,M18,M20,M22)=0,"IE",SUM(M14,M16,M18,M20,M22))</f>
        <v>IE</v>
      </c>
      <c r="N13" s="3531">
        <f t="shared" ref="N13" si="19">IF(SUM(N14,N16,N18,N20,N22)=0,"IE",SUM(N14,N16,N18,N20,N22))</f>
        <v>-246.05990591194723</v>
      </c>
      <c r="O13" s="3532">
        <f t="shared" ref="O13" si="20">IF(SUM(O14,O16,O18,O20,O22)=0,"IE",SUM(O14,O16,O18,O20,O22))</f>
        <v>-246.05990591194723</v>
      </c>
      <c r="P13" s="3532">
        <f t="shared" ref="P13" si="21">IF(SUM(P14,P16,P18,P20,P22)=0,"IE",SUM(P14,P16,P18,P20,P22))</f>
        <v>-61.209743275327483</v>
      </c>
      <c r="Q13" s="3532">
        <f t="shared" ref="Q13" si="22">IF(SUM(Q14,Q16,Q18,Q20,Q22)=0,"IE",SUM(Q14,Q16,Q18,Q20,Q22))</f>
        <v>-299.39938357616774</v>
      </c>
      <c r="R13" s="3532">
        <f t="shared" ref="R13" si="23">IF(SUM(R14,R16,R18,R20,R22)=0,"IE",SUM(R14,R16,R18,R20,R22))</f>
        <v>-37.424999999999997</v>
      </c>
      <c r="S13" s="3534">
        <f t="shared" ref="S13" si="24">IF(SUM(S14,S16,S18,S20,S22)=0,"IE",SUM(S14,S16,S18,S20,S22))</f>
        <v>2361.6781201326221</v>
      </c>
      <c r="U13" s="493"/>
    </row>
    <row r="14" spans="2:21" ht="18" customHeight="1" x14ac:dyDescent="0.2">
      <c r="B14" s="477" t="s">
        <v>1376</v>
      </c>
      <c r="C14" s="494"/>
      <c r="D14" s="3529">
        <f>D15</f>
        <v>2266.993888657878</v>
      </c>
      <c r="E14" s="3057">
        <f t="shared" ref="E14" si="25">E15</f>
        <v>2266.993888657878</v>
      </c>
      <c r="F14" s="3057" t="str">
        <f t="shared" ref="F14" si="26">F15</f>
        <v>IE</v>
      </c>
      <c r="G14" s="3500" t="str">
        <f t="shared" si="5"/>
        <v>NA</v>
      </c>
      <c r="H14" s="3057">
        <f t="shared" si="6"/>
        <v>-0.10854017169742852</v>
      </c>
      <c r="I14" s="3057">
        <f t="shared" si="7"/>
        <v>-0.10854017169742852</v>
      </c>
      <c r="J14" s="3057">
        <f t="shared" si="8"/>
        <v>-2.7000400654615491E-2</v>
      </c>
      <c r="K14" s="3514">
        <f t="shared" si="9"/>
        <v>-0.11961902956545142</v>
      </c>
      <c r="L14" s="3106" t="str">
        <f t="shared" si="10"/>
        <v>NA</v>
      </c>
      <c r="M14" s="3530" t="str">
        <f t="shared" ref="M14" si="27">M15</f>
        <v>IE</v>
      </c>
      <c r="N14" s="3531">
        <f t="shared" ref="N14" si="28">N15</f>
        <v>-246.05990591194723</v>
      </c>
      <c r="O14" s="3532">
        <f t="shared" ref="O14" si="29">O15</f>
        <v>-246.05990591194723</v>
      </c>
      <c r="P14" s="3531">
        <f t="shared" ref="P14" si="30">P15</f>
        <v>-61.209743275327483</v>
      </c>
      <c r="Q14" s="3533">
        <f t="shared" ref="Q14" si="31">Q15</f>
        <v>-271.17560899206438</v>
      </c>
      <c r="R14" s="3533" t="str">
        <f t="shared" ref="R14" si="32">R15</f>
        <v>IE</v>
      </c>
      <c r="S14" s="3534">
        <f t="shared" ref="S14" si="33">S15</f>
        <v>2120.9659466575768</v>
      </c>
      <c r="U14" s="493"/>
    </row>
    <row r="15" spans="2:21" ht="18" customHeight="1" x14ac:dyDescent="0.2">
      <c r="B15" s="491"/>
      <c r="C15" s="498" t="s">
        <v>409</v>
      </c>
      <c r="D15" s="3509">
        <f>IF(SUM(E15:F15)=0,E15,SUM(E15:F15))</f>
        <v>2266.993888657878</v>
      </c>
      <c r="E15" s="3510">
        <v>2266.993888657878</v>
      </c>
      <c r="F15" s="3496" t="s">
        <v>274</v>
      </c>
      <c r="G15" s="3500" t="str">
        <f t="shared" si="5"/>
        <v>NA</v>
      </c>
      <c r="H15" s="3057">
        <f t="shared" si="6"/>
        <v>-0.10854017169742852</v>
      </c>
      <c r="I15" s="3057">
        <f t="shared" si="7"/>
        <v>-0.10854017169742852</v>
      </c>
      <c r="J15" s="3057">
        <f t="shared" si="8"/>
        <v>-2.7000400654615491E-2</v>
      </c>
      <c r="K15" s="3514">
        <f t="shared" si="9"/>
        <v>-0.11961902956545142</v>
      </c>
      <c r="L15" s="3106" t="str">
        <f t="shared" si="10"/>
        <v>NA</v>
      </c>
      <c r="M15" s="2917" t="s">
        <v>274</v>
      </c>
      <c r="N15" s="2917">
        <v>-246.05990591194723</v>
      </c>
      <c r="O15" s="3087">
        <f>IF(SUM(M15:N15)=0,M15,SUM(M15:N15))</f>
        <v>-246.05990591194723</v>
      </c>
      <c r="P15" s="2917">
        <v>-61.209743275327483</v>
      </c>
      <c r="Q15" s="2918">
        <v>-271.17560899206438</v>
      </c>
      <c r="R15" s="2918" t="s">
        <v>274</v>
      </c>
      <c r="S15" s="3534">
        <f>IF(SUM(O15:R15)=0,Q15,SUM(O15:R15)*-44/12)</f>
        <v>2120.9659466575768</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3" t="s">
        <v>1381</v>
      </c>
      <c r="C46" s="4504"/>
      <c r="D46" s="4504"/>
      <c r="E46" s="4504"/>
      <c r="F46" s="4504"/>
      <c r="G46" s="4504"/>
      <c r="H46" s="4504"/>
      <c r="I46" s="4504"/>
      <c r="J46" s="4504"/>
      <c r="K46" s="4504"/>
      <c r="L46" s="4504"/>
      <c r="M46" s="4504"/>
      <c r="N46" s="4504"/>
      <c r="O46" s="4504"/>
      <c r="P46" s="4504"/>
      <c r="Q46" s="4504"/>
      <c r="R46" s="4504"/>
      <c r="S46" s="4505"/>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516329.5318495665</v>
      </c>
      <c r="E10" s="3523">
        <f t="shared" ref="E10:F10" si="0">IF(SUM(E11,E15)=0,"IE",SUM(E11,E15))</f>
        <v>516328.5318495665</v>
      </c>
      <c r="F10" s="3524">
        <f t="shared" si="0"/>
        <v>1</v>
      </c>
      <c r="G10" s="3500">
        <f>IFERROR(IF(SUM($D10)=0,"NA",M10/$D10),"NA")</f>
        <v>5.4786400262735518E-3</v>
      </c>
      <c r="H10" s="3523">
        <f t="shared" ref="H10:J10" si="1">IFERROR(IF(SUM($D10)=0,"NA",N10/$D10),"NA")</f>
        <v>-6.3959503635245222E-3</v>
      </c>
      <c r="I10" s="3523">
        <f t="shared" si="1"/>
        <v>-9.1731033725097027E-4</v>
      </c>
      <c r="J10" s="3523">
        <f t="shared" si="1"/>
        <v>-1.6689724829468896E-3</v>
      </c>
      <c r="K10" s="3525">
        <f>IFERROR(IF(SUM(E10)=0,"NA",Q10/E10),"NA")</f>
        <v>1.1447373581705631E-3</v>
      </c>
      <c r="L10" s="3524">
        <f>IFERROR(IF(SUM(F10)=0,"NA",R10/F10),"NA")</f>
        <v>-8.7249999999999996</v>
      </c>
      <c r="M10" s="3526">
        <f>IF(SUM(M11,M15)=0,"IE",SUM(M11,M15))</f>
        <v>2828.7836399381199</v>
      </c>
      <c r="N10" s="3523">
        <f t="shared" ref="N10:S10" si="2">IF(SUM(N11,N15)=0,"IE",SUM(N11,N15))</f>
        <v>-3302.4180569316813</v>
      </c>
      <c r="O10" s="3527">
        <f t="shared" si="2"/>
        <v>-473.63441699356144</v>
      </c>
      <c r="P10" s="3523">
        <f t="shared" si="2"/>
        <v>-861.73978078977609</v>
      </c>
      <c r="Q10" s="3525">
        <f t="shared" si="2"/>
        <v>591.06055949755819</v>
      </c>
      <c r="R10" s="3525">
        <f t="shared" si="2"/>
        <v>-8.7249999999999996</v>
      </c>
      <c r="S10" s="3528">
        <f t="shared" si="2"/>
        <v>2761.1416737145264</v>
      </c>
      <c r="U10" s="2287"/>
    </row>
    <row r="11" spans="2:21" ht="18" customHeight="1" x14ac:dyDescent="0.2">
      <c r="B11" s="483" t="s">
        <v>1259</v>
      </c>
      <c r="C11" s="473"/>
      <c r="D11" s="3539">
        <f>IF(SUM(D12:D14)=0,"IE",SUM(D12:D14))</f>
        <v>502788.284954264</v>
      </c>
      <c r="E11" s="3505">
        <f t="shared" ref="E11:F11" si="3">IF(SUM(E12:E14)=0,"IE",SUM(E12:E14))</f>
        <v>502788.284954264</v>
      </c>
      <c r="F11" s="3506" t="str">
        <f t="shared" si="3"/>
        <v>IE</v>
      </c>
      <c r="G11" s="3539">
        <f t="shared" ref="G11:G26" si="4">IFERROR(IF(SUM($D11)=0,"NA",M11/$D11),"NA")</f>
        <v>5.6058747357611597E-3</v>
      </c>
      <c r="H11" s="3087" t="str">
        <f t="shared" ref="H11:H26" si="5">IFERROR(IF(SUM($D11)=0,"NA",N11/$D11),"NA")</f>
        <v>NA</v>
      </c>
      <c r="I11" s="3087">
        <f t="shared" ref="I11:I26" si="6">IFERROR(IF(SUM($D11)=0,"NA",O11/$D11),"NA")</f>
        <v>5.6058747357611597E-3</v>
      </c>
      <c r="J11" s="3087">
        <f t="shared" ref="J11:J26" si="7">IFERROR(IF(SUM($D11)=0,"NA",P11/$D11),"NA")</f>
        <v>6.8222263241797391E-4</v>
      </c>
      <c r="K11" s="3507">
        <f t="shared" ref="K11:K26" si="8">IFERROR(IF(SUM(E11)=0,"NA",Q11/E11),"NA")</f>
        <v>4.3373249721309114E-3</v>
      </c>
      <c r="L11" s="3216" t="str">
        <f t="shared" ref="L11:L26" si="9">IFERROR(IF(SUM(F11)=0,"NA",R11/F11),"NA")</f>
        <v>NA</v>
      </c>
      <c r="M11" s="3087">
        <f>IF(SUM(M12:M14)=0,"IE",SUM(M12:M14))</f>
        <v>2818.5681440617914</v>
      </c>
      <c r="N11" s="3087" t="str">
        <f t="shared" ref="N11:O11" si="10">IF(SUM(N12:N14)=0,"IE",SUM(N12:N14))</f>
        <v>IE</v>
      </c>
      <c r="O11" s="3087">
        <f t="shared" si="10"/>
        <v>2818.5681440617914</v>
      </c>
      <c r="P11" s="3087">
        <f t="shared" ref="P11" si="11">IF(SUM(P12:P14)=0,"IE",SUM(P12:P14))</f>
        <v>343.01354731041636</v>
      </c>
      <c r="Q11" s="3507">
        <f t="shared" ref="Q11" si="12">IF(SUM(Q12:Q14)=0,"IE",SUM(Q12:Q14))</f>
        <v>2180.7561840270018</v>
      </c>
      <c r="R11" s="3507" t="str">
        <f t="shared" ref="R11" si="13">IF(SUM(R12:R14)=0,"IE",SUM(R12:R14))</f>
        <v>IE</v>
      </c>
      <c r="S11" s="3508">
        <f t="shared" ref="S11" si="14">IF(SUM(S12:S14)=0,"IE",SUM(S12:S14))</f>
        <v>-19588.572209797101</v>
      </c>
      <c r="U11" s="2423"/>
    </row>
    <row r="12" spans="2:21" ht="18" customHeight="1" x14ac:dyDescent="0.2">
      <c r="B12" s="489"/>
      <c r="C12" s="474" t="s">
        <v>1391</v>
      </c>
      <c r="D12" s="3500">
        <f>IF(SUM(E12:F12)=0,E12,SUM(E12:F12))</f>
        <v>69820.727480068104</v>
      </c>
      <c r="E12" s="3510">
        <v>69820.727480068104</v>
      </c>
      <c r="F12" s="3496" t="s">
        <v>274</v>
      </c>
      <c r="G12" s="3500">
        <f t="shared" si="4"/>
        <v>8.2603863984399197E-3</v>
      </c>
      <c r="H12" s="3057" t="str">
        <f t="shared" si="5"/>
        <v>NA</v>
      </c>
      <c r="I12" s="3057">
        <f t="shared" si="6"/>
        <v>8.2603863984399197E-3</v>
      </c>
      <c r="J12" s="3057">
        <f t="shared" si="7"/>
        <v>1.6520772796879836E-3</v>
      </c>
      <c r="K12" s="3514">
        <f t="shared" si="8"/>
        <v>6.6083091187519342E-3</v>
      </c>
      <c r="L12" s="3106" t="str">
        <f t="shared" si="9"/>
        <v>NA</v>
      </c>
      <c r="M12" s="2917">
        <v>576.74618760553494</v>
      </c>
      <c r="N12" s="2917" t="s">
        <v>274</v>
      </c>
      <c r="O12" s="3087">
        <f>IF(SUM(M12:N12)=0,M12,SUM(M12:N12))</f>
        <v>576.74618760553494</v>
      </c>
      <c r="P12" s="2917">
        <v>115.34923752110696</v>
      </c>
      <c r="Q12" s="2918">
        <v>461.39695008442783</v>
      </c>
      <c r="R12" s="2918" t="s">
        <v>274</v>
      </c>
      <c r="S12" s="3511">
        <f>IF(SUM(O12:R12)=0,Q12,SUM(O12:R12)*-44/12)</f>
        <v>-4229.4720424405887</v>
      </c>
      <c r="U12" s="2424"/>
    </row>
    <row r="13" spans="2:21" ht="18" customHeight="1" x14ac:dyDescent="0.2">
      <c r="B13" s="489"/>
      <c r="C13" s="474" t="s">
        <v>1392</v>
      </c>
      <c r="D13" s="3500">
        <f>IF(SUM(E13:F13)=0,E13,SUM(E13:F13))</f>
        <v>432967.5574741959</v>
      </c>
      <c r="E13" s="3510">
        <v>432967.5574741959</v>
      </c>
      <c r="F13" s="3496" t="s">
        <v>274</v>
      </c>
      <c r="G13" s="3500" t="str">
        <f t="shared" si="4"/>
        <v>NA</v>
      </c>
      <c r="H13" s="3057" t="str">
        <f t="shared" si="5"/>
        <v>NA</v>
      </c>
      <c r="I13" s="3057" t="str">
        <f t="shared" si="6"/>
        <v>NA</v>
      </c>
      <c r="J13" s="3057" t="str">
        <f t="shared" si="7"/>
        <v>NA</v>
      </c>
      <c r="K13" s="3514">
        <f t="shared" si="8"/>
        <v>3.9711040798825785E-3</v>
      </c>
      <c r="L13" s="3106" t="str">
        <f t="shared" si="9"/>
        <v>NA</v>
      </c>
      <c r="M13" s="2917" t="s">
        <v>205</v>
      </c>
      <c r="N13" s="2917" t="s">
        <v>205</v>
      </c>
      <c r="O13" s="3087" t="str">
        <f>IF(SUM(M13:N13)=0,M13,SUM(M13:N13))</f>
        <v>NA</v>
      </c>
      <c r="P13" s="2917" t="s">
        <v>205</v>
      </c>
      <c r="Q13" s="2918">
        <v>1719.3592339425741</v>
      </c>
      <c r="R13" s="2918" t="s">
        <v>274</v>
      </c>
      <c r="S13" s="3511">
        <f>IF(SUM(O13:R13)=0,Q13,SUM(O13:R13)*-44/12)</f>
        <v>-6304.3171911227719</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2241.8219564562564</v>
      </c>
      <c r="N14" s="2917" t="s">
        <v>274</v>
      </c>
      <c r="O14" s="3087">
        <f>IF(SUM(M14:N14)=0,M14,SUM(M14:N14))</f>
        <v>2241.8219564562564</v>
      </c>
      <c r="P14" s="2917">
        <v>227.66430978930941</v>
      </c>
      <c r="Q14" s="2918" t="s">
        <v>205</v>
      </c>
      <c r="R14" s="2918" t="s">
        <v>205</v>
      </c>
      <c r="S14" s="3511">
        <f>IF(SUM(O14:R14)=0,Q14,SUM(O14:R14)*-44/12)</f>
        <v>-9054.7829762337406</v>
      </c>
      <c r="U14" s="2424"/>
    </row>
    <row r="15" spans="2:21" ht="18" customHeight="1" x14ac:dyDescent="0.2">
      <c r="B15" s="475" t="s">
        <v>1394</v>
      </c>
      <c r="C15" s="476"/>
      <c r="D15" s="3529">
        <f>IF(SUM(D16,D19,D21,D23,D25)=0,"IE",SUM(D16,D19,D21,D23,D25))</f>
        <v>13541.246895302487</v>
      </c>
      <c r="E15" s="3531">
        <f t="shared" ref="E15:F15" si="15">IF(SUM(E16,E19,E21,E23,E25)=0,"IE",SUM(E16,E19,E21,E23,E25))</f>
        <v>13540.246895302487</v>
      </c>
      <c r="F15" s="3535">
        <f t="shared" si="15"/>
        <v>1</v>
      </c>
      <c r="G15" s="3500">
        <f t="shared" si="4"/>
        <v>7.543984653194957E-4</v>
      </c>
      <c r="H15" s="3057">
        <f t="shared" si="5"/>
        <v>-0.24387843176224069</v>
      </c>
      <c r="I15" s="3057">
        <f t="shared" si="6"/>
        <v>-0.2431240332969212</v>
      </c>
      <c r="J15" s="3057">
        <f t="shared" si="7"/>
        <v>-8.8969157524047965E-2</v>
      </c>
      <c r="K15" s="3514">
        <f t="shared" si="8"/>
        <v>-0.11740521696697837</v>
      </c>
      <c r="L15" s="3106">
        <f t="shared" si="9"/>
        <v>-8.7249999999999996</v>
      </c>
      <c r="M15" s="3530">
        <f>IF(SUM(M16,M19,M21,M23,M25)=0,"IE",SUM(M16,M19,M21,M23,M25))</f>
        <v>10.215495876328582</v>
      </c>
      <c r="N15" s="3531">
        <f t="shared" ref="N15:S15" si="16">IF(SUM(N16,N19,N21,N23,N25)=0,"IE",SUM(N16,N19,N21,N23,N25))</f>
        <v>-3302.4180569316813</v>
      </c>
      <c r="O15" s="3532">
        <f t="shared" si="16"/>
        <v>-3292.2025610553528</v>
      </c>
      <c r="P15" s="3532">
        <f t="shared" si="16"/>
        <v>-1204.7533281001924</v>
      </c>
      <c r="Q15" s="3532">
        <f t="shared" si="16"/>
        <v>-1589.6956245294436</v>
      </c>
      <c r="R15" s="3532">
        <f t="shared" si="16"/>
        <v>-8.7249999999999996</v>
      </c>
      <c r="S15" s="3534">
        <f t="shared" si="16"/>
        <v>22349.713883511628</v>
      </c>
      <c r="U15" s="2048"/>
    </row>
    <row r="16" spans="2:21" ht="18" customHeight="1" x14ac:dyDescent="0.2">
      <c r="B16" s="490" t="s">
        <v>1395</v>
      </c>
      <c r="C16" s="476"/>
      <c r="D16" s="3539">
        <f>IF(SUM(D17:D18)=0,"IE",SUM(D17:D18))</f>
        <v>13492.369462765941</v>
      </c>
      <c r="E16" s="3505">
        <f t="shared" ref="E16:F16" si="17">IF(SUM(E17:E18)=0,"IE",SUM(E17:E18))</f>
        <v>13492.369462765941</v>
      </c>
      <c r="F16" s="3506" t="str">
        <f t="shared" si="17"/>
        <v>IE</v>
      </c>
      <c r="G16" s="3500">
        <f t="shared" si="4"/>
        <v>7.5713134779770565E-4</v>
      </c>
      <c r="H16" s="3057">
        <f t="shared" si="5"/>
        <v>-0.24476190531582764</v>
      </c>
      <c r="I16" s="3057">
        <f t="shared" si="6"/>
        <v>-0.24400477396802994</v>
      </c>
      <c r="J16" s="3057">
        <f t="shared" si="7"/>
        <v>-8.9291457028721002E-2</v>
      </c>
      <c r="K16" s="3514">
        <f t="shared" si="8"/>
        <v>-0.10904695662016307</v>
      </c>
      <c r="L16" s="3106" t="str">
        <f t="shared" si="9"/>
        <v>NA</v>
      </c>
      <c r="M16" s="3057">
        <f>IF(SUM(M17:M18)=0,"IE",SUM(M17:M18))</f>
        <v>10.215495876328582</v>
      </c>
      <c r="N16" s="3057">
        <f t="shared" ref="N16:O16" si="18">IF(SUM(N17:N18)=0,"IE",SUM(N17:N18))</f>
        <v>-3302.4180569316813</v>
      </c>
      <c r="O16" s="3057">
        <f t="shared" si="18"/>
        <v>-3292.2025610553528</v>
      </c>
      <c r="P16" s="3057">
        <f t="shared" ref="P16" si="19">IF(SUM(P17:P18)=0,"IE",SUM(P17:P18))</f>
        <v>-1204.7533281001924</v>
      </c>
      <c r="Q16" s="3514">
        <f t="shared" ref="Q16" si="20">IF(SUM(Q17:Q18)=0,"IE",SUM(Q17:Q18))</f>
        <v>-1471.3018275094505</v>
      </c>
      <c r="R16" s="3514" t="str">
        <f t="shared" ref="R16" si="21">IF(SUM(R17:R18)=0,"IE",SUM(R17:R18))</f>
        <v>IE</v>
      </c>
      <c r="S16" s="3511">
        <f t="shared" ref="S16" si="22">IF(SUM(S17:S18)=0,"IE",SUM(S17:S18))</f>
        <v>21883.611627771654</v>
      </c>
      <c r="U16" s="2048"/>
    </row>
    <row r="17" spans="2:21" ht="18" customHeight="1" x14ac:dyDescent="0.2">
      <c r="B17" s="490"/>
      <c r="C17" s="474" t="s">
        <v>1396</v>
      </c>
      <c r="D17" s="3500">
        <f>IF(SUM(E17:F17)=0,E17,SUM(E17:F17))</f>
        <v>13492.369462765941</v>
      </c>
      <c r="E17" s="3510">
        <v>13492.369462765941</v>
      </c>
      <c r="F17" s="3496" t="s">
        <v>274</v>
      </c>
      <c r="G17" s="3500" t="str">
        <f t="shared" si="4"/>
        <v>NA</v>
      </c>
      <c r="H17" s="3057">
        <f t="shared" si="5"/>
        <v>-0.24476190531582764</v>
      </c>
      <c r="I17" s="3057">
        <f t="shared" si="6"/>
        <v>-0.24476190531582764</v>
      </c>
      <c r="J17" s="3057">
        <f t="shared" si="7"/>
        <v>-8.9406545366275E-2</v>
      </c>
      <c r="K17" s="3514">
        <f t="shared" si="8"/>
        <v>-0.10904695662016307</v>
      </c>
      <c r="L17" s="3106" t="str">
        <f t="shared" si="9"/>
        <v>NA</v>
      </c>
      <c r="M17" s="2917" t="s">
        <v>274</v>
      </c>
      <c r="N17" s="2917">
        <v>-3302.4180569316813</v>
      </c>
      <c r="O17" s="3087">
        <f>IF(SUM(M17:N17)=0,M17,SUM(M17:N17))</f>
        <v>-3302.4180569316813</v>
      </c>
      <c r="P17" s="2917">
        <v>-1206.3061424713264</v>
      </c>
      <c r="Q17" s="2918">
        <v>-1471.3018275094505</v>
      </c>
      <c r="R17" s="2918" t="s">
        <v>274</v>
      </c>
      <c r="S17" s="3511">
        <f>IF(SUM(O17:R17)=0,Q17,SUM(O17:R17)*-44/12)</f>
        <v>21926.762098679017</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10.215495876328582</v>
      </c>
      <c r="N18" s="2917" t="s">
        <v>274</v>
      </c>
      <c r="O18" s="3087">
        <f>IF(SUM(M18:N18)=0,M18,SUM(M18:N18))</f>
        <v>10.215495876328582</v>
      </c>
      <c r="P18" s="2917">
        <v>1.5528143711340419</v>
      </c>
      <c r="Q18" s="2918" t="s">
        <v>205</v>
      </c>
      <c r="R18" s="2918" t="s">
        <v>205</v>
      </c>
      <c r="S18" s="3511">
        <f>IF(SUM(O18:R18)=0,Q18,SUM(O18:R18)*-44/12)</f>
        <v>-43.150470907362951</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6" t="s">
        <v>1401</v>
      </c>
      <c r="C47" s="4507"/>
      <c r="D47" s="4507"/>
      <c r="E47" s="4507"/>
      <c r="F47" s="4507"/>
      <c r="G47" s="4507"/>
      <c r="H47" s="4507"/>
      <c r="I47" s="4507"/>
      <c r="J47" s="4507"/>
      <c r="K47" s="4507"/>
      <c r="L47" s="4507"/>
      <c r="M47" s="4507"/>
      <c r="N47" s="4507"/>
      <c r="O47" s="4507"/>
      <c r="P47" s="4507"/>
      <c r="Q47" s="4507"/>
      <c r="R47" s="4507"/>
      <c r="S47" s="4508"/>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13191.958825228452</v>
      </c>
      <c r="E10" s="3523">
        <f>IF(SUM(E11,E23)=0,"IE",SUM(E11,E23))</f>
        <v>13164.211024280237</v>
      </c>
      <c r="F10" s="3524">
        <f>IF(SUM(F11,F23)=0,"IE",SUM(F11,F23))</f>
        <v>27.747800948215627</v>
      </c>
      <c r="G10" s="4317">
        <f>IFERROR(IF(SUM($D10)=0,"NA",M10/$D10),"NA")</f>
        <v>1.4387581136883341E-2</v>
      </c>
      <c r="H10" s="4318">
        <f t="shared" ref="H10:J10" si="0">IFERROR(IF(SUM($D10)=0,"NA",N10/$D10),"NA")</f>
        <v>-2.9072509693472493E-3</v>
      </c>
      <c r="I10" s="4319">
        <f t="shared" si="0"/>
        <v>1.1480330167536093E-2</v>
      </c>
      <c r="J10" s="4318">
        <f t="shared" si="0"/>
        <v>1.0975498172142997E-3</v>
      </c>
      <c r="K10" s="4318">
        <f>IFERROR(IF(SUM(E10)=0,"NA",Q10/E10),"NA")</f>
        <v>-2.2226473018329982E-3</v>
      </c>
      <c r="L10" s="4320" t="str">
        <f>IFERROR(IF(SUM(F10)=0,"NA",R10/F10),"NA")</f>
        <v>NA</v>
      </c>
      <c r="M10" s="4319">
        <f t="shared" ref="M10:S10" si="1">IF(SUM(M11,M23)=0,"IE",SUM(M11,M23))</f>
        <v>189.80037795239861</v>
      </c>
      <c r="N10" s="4318">
        <f t="shared" si="1"/>
        <v>-38.352335082234418</v>
      </c>
      <c r="O10" s="4319">
        <f t="shared" si="1"/>
        <v>151.44804287016419</v>
      </c>
      <c r="P10" s="4318">
        <f t="shared" si="1"/>
        <v>14.478831997328054</v>
      </c>
      <c r="Q10" s="4321">
        <f t="shared" si="1"/>
        <v>-29.259398113876681</v>
      </c>
      <c r="R10" s="4321" t="str">
        <f t="shared" si="1"/>
        <v>IE</v>
      </c>
      <c r="S10" s="3528">
        <f t="shared" si="1"/>
        <v>-501.11408142992371</v>
      </c>
      <c r="U10" s="4322"/>
    </row>
    <row r="11" spans="1:23" ht="18" customHeight="1" x14ac:dyDescent="0.2">
      <c r="B11" s="491" t="s">
        <v>1262</v>
      </c>
      <c r="C11" s="473"/>
      <c r="D11" s="4323">
        <f>IF(SUM(D12,D14,D17)=0,"IE",SUM(D12,D14,D17))</f>
        <v>13144.348757424001</v>
      </c>
      <c r="E11" s="3542">
        <f t="shared" ref="E11:S11" si="2">IF(SUM(E12,E14,E17)=0,"IE",SUM(E12,E14,E17))</f>
        <v>13116.600956475786</v>
      </c>
      <c r="F11" s="3543">
        <f t="shared" si="2"/>
        <v>27.747800948215627</v>
      </c>
      <c r="G11" s="4324">
        <f t="shared" ref="G11:G56" si="3">IFERROR(IF(SUM($D11)=0,"NA",M11/$D11),"NA")</f>
        <v>1.4439694309328052E-2</v>
      </c>
      <c r="H11" s="4325">
        <f t="shared" ref="H11:H56" si="4">IFERROR(IF(SUM($D11)=0,"NA",N11/$D11),"NA")</f>
        <v>-2.7825073967006936E-3</v>
      </c>
      <c r="I11" s="4326">
        <f t="shared" ref="I11:I56" si="5">IFERROR(IF(SUM($D11)=0,"NA",O11/$D11),"NA")</f>
        <v>1.1657186912627359E-2</v>
      </c>
      <c r="J11" s="4325">
        <f t="shared" ref="J11:J56" si="6">IFERROR(IF(SUM($D11)=0,"NA",P11/$D11),"NA")</f>
        <v>1.1015252459084617E-3</v>
      </c>
      <c r="K11" s="4325">
        <f t="shared" ref="K11:K56" si="7">IFERROR(IF(SUM(E11)=0,"NA",Q11/E11),"NA")</f>
        <v>-2.2307149703621235E-3</v>
      </c>
      <c r="L11" s="4327" t="str">
        <f t="shared" ref="L11:L56" si="8">IFERROR(IF(SUM(F11)=0,"NA",R11/F11),"NA")</f>
        <v>NA</v>
      </c>
      <c r="M11" s="4326">
        <f t="shared" si="2"/>
        <v>189.80037795239861</v>
      </c>
      <c r="N11" s="4325">
        <f t="shared" si="2"/>
        <v>-36.574247642345853</v>
      </c>
      <c r="O11" s="4326">
        <f t="shared" si="2"/>
        <v>153.22613031005275</v>
      </c>
      <c r="P11" s="4325">
        <f t="shared" si="2"/>
        <v>14.478831997328054</v>
      </c>
      <c r="Q11" s="4328">
        <f t="shared" si="2"/>
        <v>-29.259398113876681</v>
      </c>
      <c r="R11" s="4328" t="str">
        <f t="shared" si="2"/>
        <v>IE</v>
      </c>
      <c r="S11" s="3544">
        <f t="shared" si="2"/>
        <v>-507.63373537618179</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776.40689083423194</v>
      </c>
      <c r="E14" s="3505">
        <f>IF(SUM(E15:E16)=0,"IE",SUM(E15:E16))</f>
        <v>776.40689083423194</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549.23670000000016</v>
      </c>
      <c r="E15" s="3510">
        <v>549.23670000000016</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12367.941866589768</v>
      </c>
      <c r="E17" s="3505">
        <f>IF(SUM(E18:E21)=0,"IE",SUM(E18:E21))</f>
        <v>12340.194065641554</v>
      </c>
      <c r="F17" s="3506">
        <f>IF(SUM(F18:F21)=0,"IE",SUM(F18:F21))</f>
        <v>27.747800948215627</v>
      </c>
      <c r="G17" s="3545">
        <f t="shared" si="3"/>
        <v>1.5346157024324092E-2</v>
      </c>
      <c r="H17" s="3531">
        <f t="shared" si="4"/>
        <v>-2.9571813998532748E-3</v>
      </c>
      <c r="I17" s="3546">
        <f t="shared" si="5"/>
        <v>1.2388975624470819E-2</v>
      </c>
      <c r="J17" s="3531">
        <f t="shared" si="6"/>
        <v>1.1706743250823773E-3</v>
      </c>
      <c r="K17" s="3531">
        <f t="shared" si="7"/>
        <v>-2.3710646654530967E-3</v>
      </c>
      <c r="L17" s="3535" t="str">
        <f t="shared" si="8"/>
        <v>NA</v>
      </c>
      <c r="M17" s="3505">
        <f t="shared" ref="M17:S17" si="16">IF(SUM(M18:M21)=0,"IE",SUM(M18:M21))</f>
        <v>189.80037795239861</v>
      </c>
      <c r="N17" s="4325">
        <f t="shared" si="16"/>
        <v>-36.574247642345853</v>
      </c>
      <c r="O17" s="4326">
        <f t="shared" si="16"/>
        <v>153.22613031005275</v>
      </c>
      <c r="P17" s="4325">
        <f t="shared" si="16"/>
        <v>14.478831997328054</v>
      </c>
      <c r="Q17" s="4328">
        <f t="shared" si="16"/>
        <v>-29.259398113876681</v>
      </c>
      <c r="R17" s="4328" t="str">
        <f t="shared" si="16"/>
        <v>IE</v>
      </c>
      <c r="S17" s="4332">
        <f t="shared" si="16"/>
        <v>-507.63373537618179</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-2.130017732513995E-2</v>
      </c>
      <c r="I18" s="3554">
        <f t="shared" si="5"/>
        <v>-2.130017732513995E-2</v>
      </c>
      <c r="J18" s="3553">
        <f t="shared" si="6"/>
        <v>-4.2600354650279898E-3</v>
      </c>
      <c r="K18" s="3553">
        <f t="shared" si="7"/>
        <v>-1.7040141860111959E-2</v>
      </c>
      <c r="L18" s="3555" t="str">
        <f t="shared" si="8"/>
        <v>NA</v>
      </c>
      <c r="M18" s="3547" t="s">
        <v>274</v>
      </c>
      <c r="N18" s="3548">
        <v>-36.574247642345853</v>
      </c>
      <c r="O18" s="3087">
        <f>IF(SUM(M18:N18)=0,M18,SUM(M18:N18))</f>
        <v>-36.574247642345853</v>
      </c>
      <c r="P18" s="3548">
        <v>-7.3148495284691704</v>
      </c>
      <c r="Q18" s="3549">
        <v>-29.259398113876681</v>
      </c>
      <c r="R18" s="3556" t="s">
        <v>274</v>
      </c>
      <c r="S18" s="3511">
        <f>IF(SUM(O18:R18)=0,Q18,SUM(O18:R18)*-44/12)</f>
        <v>268.2111493772029</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v>189.80037795239861</v>
      </c>
      <c r="N19" s="3548" t="s">
        <v>274</v>
      </c>
      <c r="O19" s="3087">
        <f t="shared" ref="O19:O22" si="18">IF(SUM(M19:N19)=0,M19,SUM(M19:N19))</f>
        <v>189.80037795239861</v>
      </c>
      <c r="P19" s="3548">
        <v>21.793681525797226</v>
      </c>
      <c r="Q19" s="3551" t="s">
        <v>205</v>
      </c>
      <c r="R19" s="3550" t="s">
        <v>205</v>
      </c>
      <c r="S19" s="3511">
        <f t="shared" ref="S19:S22" si="19">IF(SUM(O19:R19)=0,Q19,SUM(O19:R19)*-44/12)</f>
        <v>-775.84488475338469</v>
      </c>
      <c r="T19" s="2519"/>
      <c r="U19" s="2699"/>
      <c r="V19" s="2519"/>
      <c r="W19" s="2519"/>
    </row>
    <row r="20" spans="1:23" ht="18" customHeight="1" x14ac:dyDescent="0.2">
      <c r="A20" s="2519"/>
      <c r="B20" s="2698"/>
      <c r="C20" s="4316" t="s">
        <v>1414</v>
      </c>
      <c r="D20" s="3500">
        <f t="shared" si="17"/>
        <v>10623.107532320613</v>
      </c>
      <c r="E20" s="4335">
        <v>10623.107532320613</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27.747800948215627</v>
      </c>
      <c r="E21" s="3505" t="str">
        <f t="shared" ref="E21:F21" si="20">E22</f>
        <v>IE</v>
      </c>
      <c r="F21" s="3506">
        <f t="shared" si="20"/>
        <v>27.747800948215627</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27.747800948215627</v>
      </c>
      <c r="E22" s="3510" t="s">
        <v>274</v>
      </c>
      <c r="F22" s="3496">
        <v>27.747800948215627</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47.610067804451788</v>
      </c>
      <c r="E23" s="3531">
        <f t="shared" ref="E23:F23" si="22">IF(SUM(E24,E35,E46)=0,"IE",SUM(E24,E35,E46))</f>
        <v>47.610067804451788</v>
      </c>
      <c r="F23" s="3535" t="str">
        <f t="shared" si="22"/>
        <v>IE</v>
      </c>
      <c r="G23" s="3545" t="str">
        <f t="shared" si="3"/>
        <v>NA</v>
      </c>
      <c r="H23" s="3531">
        <f t="shared" si="4"/>
        <v>-3.7346878966685752E-2</v>
      </c>
      <c r="I23" s="3546">
        <f t="shared" si="5"/>
        <v>-3.7346878966685752E-2</v>
      </c>
      <c r="J23" s="3531" t="str">
        <f t="shared" si="6"/>
        <v>NA</v>
      </c>
      <c r="K23" s="3531" t="str">
        <f t="shared" si="7"/>
        <v>NA</v>
      </c>
      <c r="L23" s="3535" t="str">
        <f t="shared" si="8"/>
        <v>NA</v>
      </c>
      <c r="M23" s="3531" t="str">
        <f t="shared" ref="M23" si="23">IF(SUM(M24,M35,M46)=0,"IE",SUM(M24,M35,M46))</f>
        <v>IE</v>
      </c>
      <c r="N23" s="3531">
        <f t="shared" ref="N23" si="24">IF(SUM(N24,N35,N46)=0,"IE",SUM(N24,N35,N46))</f>
        <v>-1.7780874398885631</v>
      </c>
      <c r="O23" s="3546">
        <f t="shared" ref="O23" si="25">IF(SUM(O24,O35,O46)=0,"IE",SUM(O24,O35,O46))</f>
        <v>-1.7780874398885631</v>
      </c>
      <c r="P23" s="3531" t="str">
        <f>IF(SUM(P24,P35,P46)=0,"NO",SUM(P24,P35,P46))</f>
        <v>NO</v>
      </c>
      <c r="Q23" s="3530" t="str">
        <f>IF(SUM(Q24,Q35,Q46)=0,"NO",SUM(Q24,Q35,Q46))</f>
        <v>NO</v>
      </c>
      <c r="R23" s="3530" t="str">
        <f>IF(SUM(R24,R35,R46)=0,"NO",SUM(R24,R35,R46))</f>
        <v>NO</v>
      </c>
      <c r="S23" s="3534">
        <f t="shared" ref="S23" si="26">IF(SUM(S24,S35,S46)=0,"IE",SUM(S24,S35,S46))</f>
        <v>6.5196539462580647</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47.610067804451788</v>
      </c>
      <c r="E35" s="3531">
        <f>IF(SUM(E36,E38,E40,E42,E44)=0,"IE",SUM(E36,E38,E40,E42,E44))</f>
        <v>47.610067804451788</v>
      </c>
      <c r="F35" s="3535" t="str">
        <f>IF(SUM(F36,F38,F40,F42,F44)=0,"IE",SUM(F36,F38,F40,F42,F44))</f>
        <v>IE</v>
      </c>
      <c r="G35" s="3545" t="str">
        <f t="shared" si="3"/>
        <v>NA</v>
      </c>
      <c r="H35" s="3531">
        <f t="shared" si="4"/>
        <v>-3.7346878966685752E-2</v>
      </c>
      <c r="I35" s="3546">
        <f t="shared" si="5"/>
        <v>-3.7346878966685752E-2</v>
      </c>
      <c r="J35" s="3531" t="str">
        <f t="shared" si="6"/>
        <v>NA</v>
      </c>
      <c r="K35" s="3531" t="str">
        <f t="shared" si="7"/>
        <v>NA</v>
      </c>
      <c r="L35" s="3535" t="str">
        <f t="shared" si="8"/>
        <v>NA</v>
      </c>
      <c r="M35" s="3531" t="str">
        <f t="shared" ref="M35:S35" si="48">IF(SUM(M36,M38,M40,M42,M44)=0,"IE",SUM(M36,M38,M40,M42,M44))</f>
        <v>IE</v>
      </c>
      <c r="N35" s="3531">
        <f t="shared" si="48"/>
        <v>-1.7780874398885631</v>
      </c>
      <c r="O35" s="3546">
        <f t="shared" si="48"/>
        <v>-1.7780874398885631</v>
      </c>
      <c r="P35" s="3531" t="str">
        <f>IF(SUM(P36,P38,P40,P42,P44)=0,"NO",SUM(P36,P38,P40,P42,P44))</f>
        <v>NO</v>
      </c>
      <c r="Q35" s="3530" t="str">
        <f>IF(SUM(Q36,Q38,Q40,Q42,Q44)=0,"NO",SUM(Q36,Q38,Q40,Q42,Q44))</f>
        <v>NO</v>
      </c>
      <c r="R35" s="3530" t="str">
        <f>IF(SUM(R36,R38,R40,R42,R44)=0,"NO",SUM(R36,R38,R40,R42,R44))</f>
        <v>NO</v>
      </c>
      <c r="S35" s="3534">
        <f t="shared" si="48"/>
        <v>6.5196539462580647</v>
      </c>
      <c r="U35" s="493"/>
    </row>
    <row r="36" spans="2:21" ht="18" customHeight="1" x14ac:dyDescent="0.2">
      <c r="B36" s="495" t="s">
        <v>1424</v>
      </c>
      <c r="C36" s="476"/>
      <c r="D36" s="3500">
        <f>D37</f>
        <v>47.610067804451788</v>
      </c>
      <c r="E36" s="3505">
        <f t="shared" ref="E36:F36" si="49">E37</f>
        <v>47.610067804451788</v>
      </c>
      <c r="F36" s="3506" t="str">
        <f t="shared" si="49"/>
        <v>IE</v>
      </c>
      <c r="G36" s="3500" t="str">
        <f t="shared" si="3"/>
        <v>NA</v>
      </c>
      <c r="H36" s="3057">
        <f t="shared" si="4"/>
        <v>-3.7346878966685752E-2</v>
      </c>
      <c r="I36" s="3057">
        <f t="shared" si="5"/>
        <v>-3.7346878966685752E-2</v>
      </c>
      <c r="J36" s="3057" t="str">
        <f t="shared" si="6"/>
        <v>NA</v>
      </c>
      <c r="K36" s="3514" t="str">
        <f t="shared" si="7"/>
        <v>NA</v>
      </c>
      <c r="L36" s="3106" t="str">
        <f t="shared" si="8"/>
        <v>NA</v>
      </c>
      <c r="M36" s="4170" t="str">
        <f t="shared" ref="M36:S36" si="50">M37</f>
        <v>IE</v>
      </c>
      <c r="N36" s="3057">
        <f t="shared" si="50"/>
        <v>-1.7780874398885631</v>
      </c>
      <c r="O36" s="3057">
        <f t="shared" si="50"/>
        <v>-1.7780874398885631</v>
      </c>
      <c r="P36" s="3057" t="str">
        <f t="shared" si="50"/>
        <v>NA</v>
      </c>
      <c r="Q36" s="3514" t="str">
        <f t="shared" si="50"/>
        <v>NA</v>
      </c>
      <c r="R36" s="3514" t="str">
        <f t="shared" si="50"/>
        <v>NA</v>
      </c>
      <c r="S36" s="3511">
        <f t="shared" si="50"/>
        <v>6.5196539462580647</v>
      </c>
      <c r="U36" s="4329"/>
    </row>
    <row r="37" spans="2:21" ht="18" customHeight="1" x14ac:dyDescent="0.2">
      <c r="B37" s="1478"/>
      <c r="C37" s="4330" t="s">
        <v>409</v>
      </c>
      <c r="D37" s="3500">
        <f>IF(SUM(E37:F37)=0,E37,SUM(E37:F37))</f>
        <v>47.610067804451788</v>
      </c>
      <c r="E37" s="3510">
        <v>47.610067804451788</v>
      </c>
      <c r="F37" s="3496" t="s">
        <v>274</v>
      </c>
      <c r="G37" s="3545" t="str">
        <f t="shared" si="3"/>
        <v>NA</v>
      </c>
      <c r="H37" s="3531">
        <f t="shared" si="4"/>
        <v>-3.7346878966685752E-2</v>
      </c>
      <c r="I37" s="3546">
        <f t="shared" si="5"/>
        <v>-3.7346878966685752E-2</v>
      </c>
      <c r="J37" s="3531" t="str">
        <f t="shared" si="6"/>
        <v>NA</v>
      </c>
      <c r="K37" s="3531" t="str">
        <f t="shared" si="7"/>
        <v>NA</v>
      </c>
      <c r="L37" s="3535" t="str">
        <f t="shared" si="8"/>
        <v>NA</v>
      </c>
      <c r="M37" s="3547" t="s">
        <v>274</v>
      </c>
      <c r="N37" s="3548">
        <v>-1.7780874398885631</v>
      </c>
      <c r="O37" s="3087">
        <f t="shared" ref="O37" si="51">IF(SUM(M37:N37)=0,M37,SUM(M37:N37))</f>
        <v>-1.7780874398885631</v>
      </c>
      <c r="P37" s="3548" t="s">
        <v>205</v>
      </c>
      <c r="Q37" s="3549" t="s">
        <v>205</v>
      </c>
      <c r="R37" s="3549" t="s">
        <v>205</v>
      </c>
      <c r="S37" s="3511">
        <f t="shared" ref="S37" si="52">IF(SUM(O37:R37)=0,Q37,SUM(O37:R37)*-44/12)</f>
        <v>6.5196539462580647</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4" t="s">
        <v>1435</v>
      </c>
      <c r="C80" s="4525"/>
      <c r="D80" s="4525"/>
      <c r="E80" s="4525"/>
      <c r="F80" s="4525"/>
      <c r="G80" s="4525"/>
      <c r="H80" s="4525"/>
      <c r="I80" s="4525"/>
      <c r="J80" s="4525"/>
      <c r="K80" s="4525"/>
      <c r="L80" s="4525"/>
      <c r="M80" s="4525"/>
      <c r="N80" s="4525"/>
      <c r="O80" s="4525"/>
      <c r="P80" s="4525"/>
      <c r="Q80" s="4525"/>
      <c r="R80" s="4525"/>
      <c r="S80" s="4526"/>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1650.3035514372264</v>
      </c>
      <c r="E10" s="3523">
        <f t="shared" ref="E10:F10" si="0">IF(SUM(E11,E13)=0,"IE",SUM(E11,E13))</f>
        <v>1551.4496203260601</v>
      </c>
      <c r="F10" s="3524">
        <f t="shared" si="0"/>
        <v>98.85393111116629</v>
      </c>
      <c r="G10" s="3522">
        <f>IFERROR(IF(SUM($D10)=0,"NA",M10/$D10),"NA")</f>
        <v>6.2218479043777003E-3</v>
      </c>
      <c r="H10" s="3523">
        <f t="shared" ref="H10:J10" si="1">IFERROR(IF(SUM($D10)=0,"NA",N10/$D10),"NA")</f>
        <v>-0.40289824516588596</v>
      </c>
      <c r="I10" s="3523">
        <f t="shared" si="1"/>
        <v>-0.39667639726150827</v>
      </c>
      <c r="J10" s="3523">
        <f t="shared" si="1"/>
        <v>-0.11020465808839797</v>
      </c>
      <c r="K10" s="3525">
        <f>IFERROR(IF(SUM(E10)=0,"NA",Q10/E10),"NA")</f>
        <v>-3.5813329410491701E-2</v>
      </c>
      <c r="L10" s="3524">
        <f>IFERROR(IF(SUM(F10)=0,"NA",R10/F10),"NA")</f>
        <v>0.36927933150008674</v>
      </c>
      <c r="M10" s="3526">
        <f>IF(SUM(M11,M13)=0,"IE",SUM(M11,M13))</f>
        <v>10.267937693096783</v>
      </c>
      <c r="N10" s="3523">
        <f t="shared" ref="N10:S10" si="2">IF(SUM(N11,N13)=0,"IE",SUM(N11,N13))</f>
        <v>-664.90440486508794</v>
      </c>
      <c r="O10" s="3527">
        <f t="shared" si="2"/>
        <v>-654.63646717199117</v>
      </c>
      <c r="P10" s="3523">
        <f t="shared" si="2"/>
        <v>-181.87113862820843</v>
      </c>
      <c r="Q10" s="3525">
        <f t="shared" si="2"/>
        <v>-55.562576316519468</v>
      </c>
      <c r="R10" s="3525">
        <f t="shared" si="2"/>
        <v>36.504713596887115</v>
      </c>
      <c r="S10" s="3528">
        <f t="shared" si="2"/>
        <v>3137.0733845727173</v>
      </c>
      <c r="U10" s="2287"/>
    </row>
    <row r="11" spans="2:21" ht="18" customHeight="1" x14ac:dyDescent="0.2">
      <c r="B11" s="483" t="s">
        <v>1265</v>
      </c>
      <c r="C11" s="2282"/>
      <c r="D11" s="3529">
        <f>D12</f>
        <v>1136.4709452909999</v>
      </c>
      <c r="E11" s="3057">
        <f t="shared" ref="E11:F11" si="3">E12</f>
        <v>1136.4709452909999</v>
      </c>
      <c r="F11" s="3057" t="str">
        <f t="shared" si="3"/>
        <v>IE</v>
      </c>
      <c r="G11" s="3500">
        <f t="shared" ref="G11:G24" si="4">IFERROR(IF(SUM($D11)=0,"NA",M11/$D11),"NA")</f>
        <v>9.0349319845283143E-3</v>
      </c>
      <c r="H11" s="3057" t="str">
        <f t="shared" ref="H11:H24" si="5">IFERROR(IF(SUM($D11)=0,"NA",N11/$D11),"NA")</f>
        <v>NA</v>
      </c>
      <c r="I11" s="3057">
        <f t="shared" ref="I11:I24" si="6">IFERROR(IF(SUM($D11)=0,"NA",O11/$D11),"NA")</f>
        <v>9.0349319845283143E-3</v>
      </c>
      <c r="J11" s="3057">
        <f t="shared" ref="J11:J24" si="7">IFERROR(IF(SUM($D11)=0,"NA",P11/$D11),"NA")</f>
        <v>1.8069863969056629E-3</v>
      </c>
      <c r="K11" s="3514">
        <f t="shared" ref="K11:K24" si="8">IFERROR(IF(SUM(E11)=0,"NA",Q11/E11),"NA")</f>
        <v>7.2279455876226514E-3</v>
      </c>
      <c r="L11" s="3106" t="str">
        <f t="shared" ref="L11:L24" si="9">IFERROR(IF(SUM(F11)=0,"NA",R11/F11),"NA")</f>
        <v>NA</v>
      </c>
      <c r="M11" s="3530">
        <f t="shared" ref="M11:S11" si="10">M12</f>
        <v>10.267937693096783</v>
      </c>
      <c r="N11" s="3531" t="str">
        <f t="shared" si="10"/>
        <v>IE</v>
      </c>
      <c r="O11" s="3532">
        <f t="shared" si="10"/>
        <v>10.267937693096783</v>
      </c>
      <c r="P11" s="3531">
        <f t="shared" si="10"/>
        <v>2.0535875386193565</v>
      </c>
      <c r="Q11" s="3533">
        <f t="shared" si="10"/>
        <v>8.214350154477426</v>
      </c>
      <c r="R11" s="3533" t="str">
        <f t="shared" si="10"/>
        <v>IE</v>
      </c>
      <c r="S11" s="3534">
        <f t="shared" si="10"/>
        <v>-75.298209749376412</v>
      </c>
      <c r="U11" s="2423"/>
    </row>
    <row r="12" spans="2:21" ht="18" customHeight="1" x14ac:dyDescent="0.2">
      <c r="B12" s="491"/>
      <c r="C12" s="4330" t="s">
        <v>409</v>
      </c>
      <c r="D12" s="3500">
        <f>IF(SUM(E12:F12)=0,E12,SUM(E12:F12))</f>
        <v>1136.4709452909999</v>
      </c>
      <c r="E12" s="3510">
        <v>1136.4709452909999</v>
      </c>
      <c r="F12" s="3496" t="s">
        <v>274</v>
      </c>
      <c r="G12" s="3500">
        <f t="shared" si="4"/>
        <v>9.0349319845283143E-3</v>
      </c>
      <c r="H12" s="3057" t="str">
        <f t="shared" si="5"/>
        <v>NA</v>
      </c>
      <c r="I12" s="3057">
        <f t="shared" si="6"/>
        <v>9.0349319845283143E-3</v>
      </c>
      <c r="J12" s="3057">
        <f t="shared" si="7"/>
        <v>1.8069863969056629E-3</v>
      </c>
      <c r="K12" s="3514">
        <f t="shared" si="8"/>
        <v>7.2279455876226514E-3</v>
      </c>
      <c r="L12" s="3106" t="str">
        <f t="shared" si="9"/>
        <v>NA</v>
      </c>
      <c r="M12" s="2917">
        <v>10.267937693096783</v>
      </c>
      <c r="N12" s="2917" t="s">
        <v>274</v>
      </c>
      <c r="O12" s="3087">
        <f>IF(SUM(M12:N12)=0,M12,SUM(M12:N12))</f>
        <v>10.267937693096783</v>
      </c>
      <c r="P12" s="2917">
        <v>2.0535875386193565</v>
      </c>
      <c r="Q12" s="2918">
        <v>8.214350154477426</v>
      </c>
      <c r="R12" s="2918" t="s">
        <v>274</v>
      </c>
      <c r="S12" s="3511">
        <f>IF(SUM(O12:R12)=0,Q12,SUM(O12:R12)*-44/12)</f>
        <v>-75.298209749376412</v>
      </c>
      <c r="U12" s="2424"/>
    </row>
    <row r="13" spans="2:21" ht="18" customHeight="1" x14ac:dyDescent="0.2">
      <c r="B13" s="483" t="s">
        <v>1266</v>
      </c>
      <c r="C13" s="494"/>
      <c r="D13" s="3529">
        <f>IF(SUM(D14,D17,D19,D21,D23)=0,"IE",SUM(D14,D17,D19,D21,D23))</f>
        <v>513.83260614622657</v>
      </c>
      <c r="E13" s="3531">
        <f t="shared" ref="E13:S13" si="11">IF(SUM(E14,E17,E19,E21,E23)=0,"IE",SUM(E14,E17,E19,E21,E23))</f>
        <v>414.97867503506029</v>
      </c>
      <c r="F13" s="3535">
        <f t="shared" si="11"/>
        <v>98.85393111116629</v>
      </c>
      <c r="G13" s="3500" t="str">
        <f t="shared" si="4"/>
        <v>NA</v>
      </c>
      <c r="H13" s="3057">
        <f t="shared" si="5"/>
        <v>-1.2940097551455685</v>
      </c>
      <c r="I13" s="3057">
        <f t="shared" si="6"/>
        <v>-1.2940097551455685</v>
      </c>
      <c r="J13" s="3057">
        <f t="shared" si="7"/>
        <v>-0.35794677871121017</v>
      </c>
      <c r="K13" s="3514">
        <f t="shared" si="8"/>
        <v>-0.15368723818304297</v>
      </c>
      <c r="L13" s="3106">
        <f t="shared" si="9"/>
        <v>0.36927933150008674</v>
      </c>
      <c r="M13" s="3057" t="str">
        <f t="shared" si="11"/>
        <v>IE</v>
      </c>
      <c r="N13" s="3057">
        <f t="shared" si="11"/>
        <v>-664.90440486508794</v>
      </c>
      <c r="O13" s="3057">
        <f t="shared" si="11"/>
        <v>-664.90440486508794</v>
      </c>
      <c r="P13" s="3057">
        <f t="shared" si="11"/>
        <v>-183.92472616682778</v>
      </c>
      <c r="Q13" s="3514">
        <f t="shared" si="11"/>
        <v>-63.776926470996898</v>
      </c>
      <c r="R13" s="3514">
        <f t="shared" si="11"/>
        <v>36.504713596887115</v>
      </c>
      <c r="S13" s="3511">
        <f t="shared" si="11"/>
        <v>3212.3715943220936</v>
      </c>
      <c r="U13" s="2048"/>
    </row>
    <row r="14" spans="2:21" ht="18" customHeight="1" x14ac:dyDescent="0.2">
      <c r="B14" s="485" t="s">
        <v>1440</v>
      </c>
      <c r="C14" s="494"/>
      <c r="D14" s="3539">
        <f>IF(SUM(D15:D16)=0,"IE",SUM(D15:D16))</f>
        <v>513.83260614622657</v>
      </c>
      <c r="E14" s="3505">
        <f t="shared" ref="E14:F14" si="12">IF(SUM(E15:E16)=0,"IE",SUM(E15:E16))</f>
        <v>414.97867503506029</v>
      </c>
      <c r="F14" s="3506">
        <f t="shared" si="12"/>
        <v>98.85393111116629</v>
      </c>
      <c r="G14" s="3500" t="str">
        <f t="shared" si="4"/>
        <v>NA</v>
      </c>
      <c r="H14" s="3057">
        <f t="shared" si="5"/>
        <v>-1.2940097551455685</v>
      </c>
      <c r="I14" s="3057">
        <f t="shared" si="6"/>
        <v>-1.2940097551455685</v>
      </c>
      <c r="J14" s="3057">
        <f t="shared" si="7"/>
        <v>-0.35794677871121017</v>
      </c>
      <c r="K14" s="3514">
        <f t="shared" si="8"/>
        <v>-0.15368723818304297</v>
      </c>
      <c r="L14" s="3106">
        <f t="shared" si="9"/>
        <v>0.36927933150008674</v>
      </c>
      <c r="M14" s="3057" t="str">
        <f>IF(SUM(M15:M16)=0,"IE",SUM(M15:M16))</f>
        <v>IE</v>
      </c>
      <c r="N14" s="3057">
        <f t="shared" ref="N14:S14" si="13">IF(SUM(N15:N16)=0,"IE",SUM(N15:N16))</f>
        <v>-664.90440486508794</v>
      </c>
      <c r="O14" s="3057">
        <f t="shared" si="13"/>
        <v>-664.90440486508794</v>
      </c>
      <c r="P14" s="3057">
        <f t="shared" si="13"/>
        <v>-183.92472616682778</v>
      </c>
      <c r="Q14" s="3514">
        <f t="shared" si="13"/>
        <v>-63.776926470996898</v>
      </c>
      <c r="R14" s="3514">
        <f t="shared" si="13"/>
        <v>36.504713596887115</v>
      </c>
      <c r="S14" s="3511">
        <f t="shared" si="13"/>
        <v>3212.3715943220936</v>
      </c>
      <c r="U14" s="2048"/>
    </row>
    <row r="15" spans="2:21" ht="18" customHeight="1" x14ac:dyDescent="0.2">
      <c r="B15" s="486"/>
      <c r="C15" s="498" t="s">
        <v>1441</v>
      </c>
      <c r="D15" s="3500">
        <f>IF(SUM(E15:F15)=0,E15,SUM(E15:F15))</f>
        <v>98.85393111116629</v>
      </c>
      <c r="E15" s="3510" t="s">
        <v>199</v>
      </c>
      <c r="F15" s="3496">
        <v>98.85393111116629</v>
      </c>
      <c r="G15" s="3500" t="str">
        <f t="shared" si="4"/>
        <v>NA</v>
      </c>
      <c r="H15" s="3057">
        <f t="shared" si="5"/>
        <v>-6.5477018471674713</v>
      </c>
      <c r="I15" s="3057">
        <f t="shared" si="6"/>
        <v>-6.5477018471674713</v>
      </c>
      <c r="J15" s="3057">
        <f t="shared" si="7"/>
        <v>-1.285716758311737</v>
      </c>
      <c r="K15" s="3514" t="str">
        <f t="shared" si="8"/>
        <v>NA</v>
      </c>
      <c r="L15" s="3106">
        <f t="shared" si="9"/>
        <v>0.36927933150008674</v>
      </c>
      <c r="M15" s="2917" t="s">
        <v>274</v>
      </c>
      <c r="N15" s="2917">
        <v>-647.26606733634947</v>
      </c>
      <c r="O15" s="3087">
        <f>IF(SUM(M15:N15)=0,M15,SUM(M15:N15))</f>
        <v>-647.26606733634947</v>
      </c>
      <c r="P15" s="2917">
        <v>-127.09815585462049</v>
      </c>
      <c r="Q15" s="2918" t="s">
        <v>199</v>
      </c>
      <c r="R15" s="2918">
        <v>36.504713596887115</v>
      </c>
      <c r="S15" s="3511">
        <f>IF(SUM(O15:R15)=0,Q15,SUM(O15:R15)*-44/12)</f>
        <v>2705.4848685116372</v>
      </c>
      <c r="U15" s="2048"/>
    </row>
    <row r="16" spans="2:21" ht="18" customHeight="1" x14ac:dyDescent="0.2">
      <c r="B16" s="484"/>
      <c r="C16" s="498" t="s">
        <v>1442</v>
      </c>
      <c r="D16" s="3500">
        <f>IF(SUM(E16:F16)=0,E16,SUM(E16:F16))</f>
        <v>414.97867503506029</v>
      </c>
      <c r="E16" s="3510">
        <v>414.97867503506029</v>
      </c>
      <c r="F16" s="3496" t="s">
        <v>274</v>
      </c>
      <c r="G16" s="3500" t="str">
        <f t="shared" si="4"/>
        <v>NA</v>
      </c>
      <c r="H16" s="3057">
        <f t="shared" si="5"/>
        <v>-4.250420223942427E-2</v>
      </c>
      <c r="I16" s="3057">
        <f t="shared" si="6"/>
        <v>-4.250420223942427E-2</v>
      </c>
      <c r="J16" s="3057">
        <f t="shared" si="7"/>
        <v>-0.13693853137732004</v>
      </c>
      <c r="K16" s="3514">
        <f t="shared" si="8"/>
        <v>-0.15368723818304297</v>
      </c>
      <c r="L16" s="3106" t="str">
        <f t="shared" si="9"/>
        <v>NA</v>
      </c>
      <c r="M16" s="2917" t="s">
        <v>274</v>
      </c>
      <c r="N16" s="2917">
        <v>-17.638337528738525</v>
      </c>
      <c r="O16" s="3087">
        <f>IF(SUM(M16:N16)=0,M16,SUM(M16:N16))</f>
        <v>-17.638337528738525</v>
      </c>
      <c r="P16" s="2917">
        <v>-56.826570312207295</v>
      </c>
      <c r="Q16" s="2918">
        <v>-63.776926470996898</v>
      </c>
      <c r="R16" s="2918" t="s">
        <v>274</v>
      </c>
      <c r="S16" s="3511">
        <f>IF(SUM(O16:R16)=0,Q16,SUM(O16:R16)*-44/12)</f>
        <v>506.88672581045665</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7"/>
      <c r="W29" s="4527"/>
      <c r="X29" s="4527"/>
      <c r="Y29" s="4527"/>
      <c r="Z29" s="4527"/>
      <c r="AA29" s="4527"/>
      <c r="AB29" s="4527"/>
      <c r="AC29" s="4527"/>
      <c r="AD29" s="4527"/>
      <c r="AE29" s="4527"/>
      <c r="AF29" s="4527"/>
      <c r="AG29" s="4527"/>
      <c r="AH29" s="4527"/>
      <c r="AI29" s="4527"/>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6" t="s">
        <v>1501</v>
      </c>
      <c r="C53" s="4507"/>
      <c r="D53" s="4507"/>
      <c r="E53" s="4507"/>
      <c r="F53" s="4507"/>
      <c r="G53" s="4507"/>
      <c r="H53" s="4507"/>
      <c r="I53" s="4507"/>
      <c r="J53" s="4507"/>
      <c r="K53" s="4507"/>
      <c r="L53" s="4508"/>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28"/>
      <c r="C55" s="4528"/>
      <c r="D55" s="4528"/>
      <c r="E55" s="4528"/>
      <c r="F55" s="4528"/>
      <c r="G55" s="4528"/>
      <c r="H55" s="4528"/>
      <c r="I55" s="4528"/>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29" t="s">
        <v>1505</v>
      </c>
      <c r="C8" s="2474" t="s">
        <v>1312</v>
      </c>
      <c r="D8" s="2838" t="s">
        <v>1506</v>
      </c>
      <c r="E8" s="910" t="s">
        <v>1507</v>
      </c>
      <c r="F8" s="909" t="s">
        <v>1508</v>
      </c>
      <c r="G8" s="511" t="s">
        <v>1509</v>
      </c>
      <c r="H8" s="512" t="s">
        <v>1510</v>
      </c>
      <c r="I8" s="512" t="s">
        <v>1511</v>
      </c>
      <c r="J8" s="513" t="s">
        <v>1512</v>
      </c>
    </row>
    <row r="9" spans="2:10" ht="15" thickBot="1" x14ac:dyDescent="0.3">
      <c r="B9" s="4530"/>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57.581616500656317</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57.581616500656317</v>
      </c>
    </row>
    <row r="270" spans="2:10" ht="18" customHeight="1" x14ac:dyDescent="0.2">
      <c r="B270" s="2842" t="s">
        <v>1550</v>
      </c>
      <c r="C270" s="2843"/>
      <c r="D270" s="2823"/>
      <c r="E270" s="2824"/>
      <c r="F270" s="2825"/>
      <c r="G270" s="2826"/>
      <c r="H270" s="2834" t="s">
        <v>221</v>
      </c>
      <c r="I270" s="2830" t="s">
        <v>221</v>
      </c>
      <c r="J270" s="3659">
        <f>J277</f>
        <v>56.948325426577341</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533.34290994272237</v>
      </c>
      <c r="E277" s="2770" t="s">
        <v>205</v>
      </c>
      <c r="F277" s="2768" t="s">
        <v>205</v>
      </c>
      <c r="G277" s="3653">
        <f>IF(SUM(D277)=0,"NA",J277*1000/D277)</f>
        <v>106.7761928862863</v>
      </c>
      <c r="H277" s="2793" t="str">
        <f t="shared" ref="H277:J277" si="1">H302</f>
        <v>NE</v>
      </c>
      <c r="I277" s="2792" t="str">
        <f t="shared" si="1"/>
        <v>NE</v>
      </c>
      <c r="J277" s="3652">
        <f t="shared" si="1"/>
        <v>56.948325426577341</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362.71801854704665</v>
      </c>
      <c r="E281" s="2770" t="str">
        <f t="shared" si="2"/>
        <v>NA</v>
      </c>
      <c r="F281" s="2768" t="str">
        <f t="shared" si="2"/>
        <v>NA</v>
      </c>
      <c r="G281" s="3653">
        <f t="shared" si="2"/>
        <v>118.07318108475665</v>
      </c>
      <c r="H281" s="2795" t="str">
        <f t="shared" ref="H281" si="3">H306</f>
        <v>NA</v>
      </c>
      <c r="I281" s="2773" t="str">
        <f t="shared" ref="I281:J281" si="4">I306</f>
        <v>NA</v>
      </c>
      <c r="J281" s="3662">
        <f t="shared" si="4"/>
        <v>42.827270286609561</v>
      </c>
    </row>
    <row r="282" spans="2:10" ht="18" customHeight="1" outlineLevel="1" x14ac:dyDescent="0.2">
      <c r="B282" s="2862" t="str">
        <f>B307</f>
        <v>Other Constructed Water Bodies</v>
      </c>
      <c r="C282" s="2850" t="str">
        <f t="shared" si="2"/>
        <v>Other Constructed Water Bodies</v>
      </c>
      <c r="D282" s="3647">
        <f t="shared" si="2"/>
        <v>170.62489139567577</v>
      </c>
      <c r="E282" s="2770" t="str">
        <f t="shared" si="2"/>
        <v>NA</v>
      </c>
      <c r="F282" s="2768" t="str">
        <f t="shared" si="2"/>
        <v>NA</v>
      </c>
      <c r="G282" s="3653">
        <f t="shared" si="2"/>
        <v>82.760815403078126</v>
      </c>
      <c r="H282" s="2860" t="str">
        <f t="shared" ref="H282" si="5">H307</f>
        <v>NA</v>
      </c>
      <c r="I282" s="2861" t="str">
        <f t="shared" ref="I282:J282" si="6">I307</f>
        <v>NA</v>
      </c>
      <c r="J282" s="3662">
        <f t="shared" si="6"/>
        <v>14.121055139967776</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56.948325426577341</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533.34290994272237</v>
      </c>
      <c r="E302" s="2770" t="s">
        <v>205</v>
      </c>
      <c r="F302" s="2768" t="s">
        <v>205</v>
      </c>
      <c r="G302" s="3653">
        <f>IF(SUM(D302)=0,"NA",J302*1000/D302)</f>
        <v>106.7761928862863</v>
      </c>
      <c r="H302" s="2793" t="s">
        <v>221</v>
      </c>
      <c r="I302" s="2792" t="s">
        <v>221</v>
      </c>
      <c r="J302" s="3652">
        <f t="shared" ref="J302" si="7">IF(SUM(J306:J307)=0,"NO",SUM(J306:J307))</f>
        <v>56.948325426577341</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362.71801854704665</v>
      </c>
      <c r="E306" s="2770" t="s">
        <v>205</v>
      </c>
      <c r="F306" s="2768" t="s">
        <v>205</v>
      </c>
      <c r="G306" s="3653">
        <f>IF(SUM(D306)=0,"NA",J306*1000/D306)</f>
        <v>118.07318108475665</v>
      </c>
      <c r="H306" s="2795" t="s">
        <v>205</v>
      </c>
      <c r="I306" s="2773" t="s">
        <v>205</v>
      </c>
      <c r="J306" s="3662">
        <v>42.827270286609561</v>
      </c>
    </row>
    <row r="307" spans="2:10" ht="18" customHeight="1" outlineLevel="2" x14ac:dyDescent="0.2">
      <c r="B307" s="2862" t="s">
        <v>1554</v>
      </c>
      <c r="C307" s="2850" t="s">
        <v>1554</v>
      </c>
      <c r="D307" s="3650">
        <v>170.62489139567577</v>
      </c>
      <c r="E307" s="2770" t="s">
        <v>205</v>
      </c>
      <c r="F307" s="2768" t="s">
        <v>205</v>
      </c>
      <c r="G307" s="3653">
        <f>IF(SUM(D307)=0,"NA",J307*1000/D307)</f>
        <v>82.760815403078126</v>
      </c>
      <c r="H307" s="2795" t="s">
        <v>205</v>
      </c>
      <c r="I307" s="2773" t="s">
        <v>205</v>
      </c>
      <c r="J307" s="3662">
        <v>14.121055139967776</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0.63329107407897856</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2.8913353639784951</v>
      </c>
      <c r="E327" s="2791" t="str">
        <f t="shared" ref="E327:J327" si="8">E331</f>
        <v>NA</v>
      </c>
      <c r="F327" s="2792" t="str">
        <f t="shared" si="8"/>
        <v>NA</v>
      </c>
      <c r="G327" s="3655">
        <f t="shared" si="8"/>
        <v>219.03065343743665</v>
      </c>
      <c r="H327" s="2793" t="str">
        <f t="shared" si="8"/>
        <v>IE</v>
      </c>
      <c r="I327" s="2792" t="str">
        <f t="shared" si="8"/>
        <v>NA</v>
      </c>
      <c r="J327" s="3652">
        <f t="shared" si="8"/>
        <v>0.63329107407897856</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2.8913353639784951</v>
      </c>
      <c r="E331" s="2770" t="str">
        <f t="shared" si="9"/>
        <v>NA</v>
      </c>
      <c r="F331" s="2768" t="str">
        <f t="shared" si="9"/>
        <v>NA</v>
      </c>
      <c r="G331" s="3653">
        <f t="shared" si="9"/>
        <v>219.03065343743665</v>
      </c>
      <c r="H331" s="2780" t="str">
        <f t="shared" si="9"/>
        <v>IE</v>
      </c>
      <c r="I331" s="2773" t="str">
        <f t="shared" si="9"/>
        <v>NA</v>
      </c>
      <c r="J331" s="3662">
        <f t="shared" si="9"/>
        <v>0.63329107407897856</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0.63329107407897856</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2.8913353639784951</v>
      </c>
      <c r="E411" s="2791" t="str">
        <f t="shared" ref="E411:J411" si="10">E415</f>
        <v>NA</v>
      </c>
      <c r="F411" s="2792" t="str">
        <f t="shared" si="10"/>
        <v>NA</v>
      </c>
      <c r="G411" s="3655">
        <f t="shared" si="10"/>
        <v>219.03065343743665</v>
      </c>
      <c r="H411" s="2793" t="str">
        <f t="shared" si="10"/>
        <v>IE</v>
      </c>
      <c r="I411" s="2792" t="str">
        <f t="shared" si="10"/>
        <v>NA</v>
      </c>
      <c r="J411" s="3652">
        <f t="shared" si="10"/>
        <v>0.63329107407897856</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2.8913353639784951</v>
      </c>
      <c r="E415" s="2770" t="str">
        <f>E427</f>
        <v>NA</v>
      </c>
      <c r="F415" s="2768" t="str">
        <f>F427</f>
        <v>NA</v>
      </c>
      <c r="G415" s="3653">
        <f t="shared" ref="G415:J415" si="11">G427</f>
        <v>219.03065343743665</v>
      </c>
      <c r="H415" s="2795" t="str">
        <f t="shared" si="11"/>
        <v>IE</v>
      </c>
      <c r="I415" s="2773" t="str">
        <f t="shared" si="11"/>
        <v>NA</v>
      </c>
      <c r="J415" s="3662">
        <f t="shared" si="11"/>
        <v>0.63329107407897856</v>
      </c>
    </row>
    <row r="416" spans="2:10" ht="18" customHeight="1" outlineLevel="2" x14ac:dyDescent="0.2">
      <c r="B416" s="2857" t="s">
        <v>1564</v>
      </c>
      <c r="C416" s="2843"/>
      <c r="D416" s="3649"/>
      <c r="E416" s="2824"/>
      <c r="F416" s="2825"/>
      <c r="G416" s="3656"/>
      <c r="H416" s="2834" t="s">
        <v>221</v>
      </c>
      <c r="I416" s="2830" t="s">
        <v>221</v>
      </c>
      <c r="J416" s="3659">
        <f>J423</f>
        <v>0.63329107407897856</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2.8913353639784951</v>
      </c>
      <c r="E423" s="2791" t="str">
        <f t="shared" ref="E423:J423" si="12">E427</f>
        <v>NA</v>
      </c>
      <c r="F423" s="2792" t="str">
        <f t="shared" si="12"/>
        <v>NA</v>
      </c>
      <c r="G423" s="3655">
        <f t="shared" si="12"/>
        <v>219.03065343743665</v>
      </c>
      <c r="H423" s="2793" t="str">
        <f t="shared" si="12"/>
        <v>IE</v>
      </c>
      <c r="I423" s="2792" t="str">
        <f t="shared" si="12"/>
        <v>NA</v>
      </c>
      <c r="J423" s="3652">
        <f t="shared" si="12"/>
        <v>0.63329107407897856</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2.8913353639784951</v>
      </c>
      <c r="E427" s="2770" t="s">
        <v>205</v>
      </c>
      <c r="F427" s="2768" t="s">
        <v>205</v>
      </c>
      <c r="G427" s="3653">
        <f>IF(SUM(D427)=0,"NA",J427*1000/D427)</f>
        <v>219.03065343743665</v>
      </c>
      <c r="H427" s="4306" t="s">
        <v>274</v>
      </c>
      <c r="I427" s="2773" t="s">
        <v>205</v>
      </c>
      <c r="J427" s="3662">
        <v>0.63329107407897856</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0" t="s">
        <v>1592</v>
      </c>
      <c r="C736" s="4501"/>
      <c r="D736" s="4501"/>
      <c r="E736" s="4501"/>
      <c r="F736" s="4501"/>
      <c r="G736" s="4501"/>
      <c r="H736" s="4501"/>
      <c r="I736" s="4501"/>
      <c r="J736" s="4502"/>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657177.42759214796</v>
      </c>
      <c r="D10" s="3577">
        <f>IF(SUM(D11,D20,D28,D37,D46,D55)=0,"NO",SUM(D11,D20,D28,D37,D46,D55))</f>
        <v>36047.997581572869</v>
      </c>
      <c r="E10" s="3592">
        <f t="shared" ref="E10:E12" si="0">IF(SUM(C10)=0,"NA",G10/C10*1000/(44/28))</f>
        <v>1.2352507141590314E-3</v>
      </c>
      <c r="F10" s="3593">
        <f t="shared" ref="F10:F11" si="1">IF(SUM(D10)=0,"NA",H10/D10*1000/(44/28))</f>
        <v>7.4999999999999989E-3</v>
      </c>
      <c r="G10" s="4464">
        <f>IF(SUM(G11,G20,G28,G37,G46,G55)=0,"NO",SUM(G11,G20,G28,G37,G46,G55))</f>
        <v>1.2756525363409079</v>
      </c>
      <c r="H10" s="4465">
        <f>IF(SUM(H11,H20,H28,H37,H46,H55)=0,"NO",SUM(H11,H20,H28,H37,H46,H55))</f>
        <v>0.42485140006853728</v>
      </c>
      <c r="I10" s="4466">
        <f t="shared" ref="I10:I11" si="2">IF(SUM(G10:H10)=0,"NO",SUM(G10:H10))</f>
        <v>1.7005039364094452</v>
      </c>
    </row>
    <row r="11" spans="2:10" ht="18" customHeight="1" x14ac:dyDescent="0.2">
      <c r="B11" s="2863" t="s">
        <v>1605</v>
      </c>
      <c r="C11" s="3578">
        <f>IF(SUM(C12:C13)=0,"NO",SUM(C12:C13))</f>
        <v>137078.32966613412</v>
      </c>
      <c r="D11" s="3579">
        <f>IF(SUM(D12:D13)=0,"NO",SUM(D12:D13))</f>
        <v>26153.065751155806</v>
      </c>
      <c r="E11" s="3594">
        <f t="shared" si="0"/>
        <v>3.0902303854820497E-3</v>
      </c>
      <c r="F11" s="3595">
        <f t="shared" si="1"/>
        <v>7.4999999999999997E-3</v>
      </c>
      <c r="G11" s="4467">
        <f>IF(SUM(G12:G13)=0,"NO",SUM(G12:G13))</f>
        <v>0.66566283068279208</v>
      </c>
      <c r="H11" s="4468">
        <f>IF(SUM(H12:H13)=0,"NO",SUM(H12:H13))</f>
        <v>0.30823256063862198</v>
      </c>
      <c r="I11" s="4469">
        <f t="shared" si="2"/>
        <v>0.97389539132141412</v>
      </c>
    </row>
    <row r="12" spans="2:10" ht="18" customHeight="1" x14ac:dyDescent="0.2">
      <c r="B12" s="917" t="s">
        <v>1606</v>
      </c>
      <c r="C12" s="3580">
        <f>Table4.A!E11</f>
        <v>122634.540619408</v>
      </c>
      <c r="D12" s="3581">
        <f>H12/F12*1000/(44/28)</f>
        <v>4914.0836796313006</v>
      </c>
      <c r="E12" s="3596">
        <f t="shared" si="0"/>
        <v>4.2825564323184181E-4</v>
      </c>
      <c r="F12" s="3597">
        <v>7.4999999999999997E-3</v>
      </c>
      <c r="G12" s="4470">
        <v>8.252975354706657E-2</v>
      </c>
      <c r="H12" s="4471">
        <v>5.7915986224226036E-2</v>
      </c>
      <c r="I12" s="4472">
        <f>IF(SUM(G12:H12)=0,"NO",SUM(G12:H12))</f>
        <v>0.1404457397712926</v>
      </c>
    </row>
    <row r="13" spans="2:10" ht="18" customHeight="1" x14ac:dyDescent="0.2">
      <c r="B13" s="917" t="s">
        <v>1607</v>
      </c>
      <c r="C13" s="3582">
        <f>IF(SUM(C15:C19)=0,"NO",SUM(C15:C19))</f>
        <v>14443.789046726126</v>
      </c>
      <c r="D13" s="3583">
        <f>IF(SUM(D15:D19)=0,"NO",SUM(D15:D19))</f>
        <v>21238.982071524504</v>
      </c>
      <c r="E13" s="3599">
        <f>IF(SUM(C13)=0,"NA",G13/C13*1000/(44/28))</f>
        <v>2.5691643948103655E-2</v>
      </c>
      <c r="F13" s="3598">
        <f>IF(SUM(D13)=0,"NA",H13/D13*1000/(44/28))</f>
        <v>7.4999999999999997E-3</v>
      </c>
      <c r="G13" s="4473">
        <f>IF(SUM(G15:G19)=0,"NO",SUM(G15:G19))</f>
        <v>0.58313307713572549</v>
      </c>
      <c r="H13" s="4474">
        <f>IF(SUM(H15:H19)=0,"NO",SUM(H15:H19))</f>
        <v>0.25031657441439592</v>
      </c>
      <c r="I13" s="4472">
        <f>IF(SUM(G13:H13)=0,"NO",SUM(G13:H13))</f>
        <v>0.83344965155012141</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105.70488019600107</v>
      </c>
      <c r="D15" s="3581">
        <f>H15/F15*1000/(44/28)</f>
        <v>153.64898689773582</v>
      </c>
      <c r="E15" s="3599">
        <f>IF(SUM(C15)=0,"NA",G15/C15*1000/(44/28))</f>
        <v>3.0863631001079923E-2</v>
      </c>
      <c r="F15" s="3597">
        <v>7.4999999999999997E-3</v>
      </c>
      <c r="G15" s="4477">
        <v>5.1266857987443022E-3</v>
      </c>
      <c r="H15" s="4478">
        <v>1.8108630598661721E-3</v>
      </c>
      <c r="I15" s="4472">
        <f>IF(SUM(G15:H15)=0,"NO",SUM(G15:H15))</f>
        <v>6.9375488586104744E-3</v>
      </c>
    </row>
    <row r="16" spans="2:10" ht="18" customHeight="1" x14ac:dyDescent="0.2">
      <c r="B16" s="518" t="s">
        <v>1609</v>
      </c>
      <c r="C16" s="3584">
        <f>Table4.A!E19</f>
        <v>14259.527743311488</v>
      </c>
      <c r="D16" s="3581">
        <f>H16/F16*1000/(44/28)</f>
        <v>20897.140283181165</v>
      </c>
      <c r="E16" s="3599">
        <f t="shared" ref="E16:E21" si="3">IF(SUM(C16)=0,"NA",G16/C16*1000/(44/28))</f>
        <v>2.5489539301004071E-2</v>
      </c>
      <c r="F16" s="3597">
        <v>7.4999999999999997E-3</v>
      </c>
      <c r="G16" s="4477">
        <v>0.57116524587083661</v>
      </c>
      <c r="H16" s="4478">
        <v>0.2462877247660637</v>
      </c>
      <c r="I16" s="4472">
        <f t="shared" ref="I16:I21" si="4">IF(SUM(G16:H16)=0,"NO",SUM(G16:H16))</f>
        <v>0.81745297063690026</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78.556423218636795</v>
      </c>
      <c r="D18" s="3581">
        <f>H18/F18*1000/(44/28)</f>
        <v>188.19280144560264</v>
      </c>
      <c r="E18" s="3599">
        <f t="shared" si="3"/>
        <v>5.5418208051707281E-2</v>
      </c>
      <c r="F18" s="3597">
        <v>7.4999999999999997E-3</v>
      </c>
      <c r="G18" s="4477">
        <v>6.8411454661446002E-3</v>
      </c>
      <c r="H18" s="4478">
        <v>2.217986588466031E-3</v>
      </c>
      <c r="I18" s="4472">
        <f t="shared" si="4"/>
        <v>9.0591320546106312E-3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2266.993888657878</v>
      </c>
      <c r="D20" s="3589">
        <f>D21</f>
        <v>1513.1596255287716</v>
      </c>
      <c r="E20" s="3602">
        <f t="shared" si="3"/>
        <v>1.3955553449302665E-2</v>
      </c>
      <c r="F20" s="3603">
        <f t="shared" si="5"/>
        <v>7.4999999999999997E-3</v>
      </c>
      <c r="G20" s="4482">
        <f>G21</f>
        <v>4.9715528315211796E-2</v>
      </c>
      <c r="H20" s="4483">
        <f>H21</f>
        <v>1.7833667015160523E-2</v>
      </c>
      <c r="I20" s="4484">
        <f t="shared" si="4"/>
        <v>6.7549195330372319E-2</v>
      </c>
    </row>
    <row r="21" spans="2:9" ht="18" customHeight="1" x14ac:dyDescent="0.2">
      <c r="B21" s="917" t="s">
        <v>1614</v>
      </c>
      <c r="C21" s="3582">
        <f>IF(SUM(C23:C27)=0,"NO",SUM(C23:C27))</f>
        <v>2266.993888657878</v>
      </c>
      <c r="D21" s="3583">
        <f>IF(SUM(D23:D27)=0,"NO",SUM(D23:D27))</f>
        <v>1513.1596255287716</v>
      </c>
      <c r="E21" s="3599">
        <f t="shared" si="3"/>
        <v>1.3955553449302665E-2</v>
      </c>
      <c r="F21" s="3598">
        <f t="shared" si="5"/>
        <v>7.4999999999999997E-3</v>
      </c>
      <c r="G21" s="4473">
        <f>IF(SUM(G23:G27)=0,"NO",SUM(G23:G27))</f>
        <v>4.9715528315211796E-2</v>
      </c>
      <c r="H21" s="4474">
        <f>IF(SUM(H23:H27)=0,"NO",SUM(H23:H27))</f>
        <v>1.7833667015160523E-2</v>
      </c>
      <c r="I21" s="4472">
        <f t="shared" si="4"/>
        <v>6.7549195330372319E-2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2266.993888657878</v>
      </c>
      <c r="D23" s="3581">
        <f>H23/F23*1000/(44/28)</f>
        <v>1513.1596255287716</v>
      </c>
      <c r="E23" s="3599">
        <f>IF(SUM(C23)=0,"NA",G23/C23*1000/(44/28))</f>
        <v>1.3955553449302665E-2</v>
      </c>
      <c r="F23" s="3597">
        <v>7.4999999999999997E-3</v>
      </c>
      <c r="G23" s="4477">
        <v>4.9715528315211796E-2</v>
      </c>
      <c r="H23" s="4478">
        <v>1.7833667015160523E-2</v>
      </c>
      <c r="I23" s="4472">
        <f>IF(SUM(G23:H23)=0,"NO",SUM(G23:H23))</f>
        <v>6.7549195330372319E-2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516280.65441702993</v>
      </c>
      <c r="D28" s="3579">
        <f>IF(SUM(D29:D30)=0,"NO",SUM(D29:D30))</f>
        <v>8120.1963829012839</v>
      </c>
      <c r="E28" s="3594">
        <f t="shared" si="6"/>
        <v>6.7590721256555793E-4</v>
      </c>
      <c r="F28" s="3595">
        <f t="shared" si="7"/>
        <v>7.4999999999999997E-3</v>
      </c>
      <c r="G28" s="4467">
        <f>IF(SUM(G29:G30)=0,"NO",SUM(G29:G30))</f>
        <v>0.54836228547341503</v>
      </c>
      <c r="H28" s="4468">
        <f>IF(SUM(H29:H30)=0,"NO",SUM(H29:H30))</f>
        <v>9.5702314512765133E-2</v>
      </c>
      <c r="I28" s="4484">
        <f t="shared" si="8"/>
        <v>0.64406459998618015</v>
      </c>
    </row>
    <row r="29" spans="2:9" ht="18" customHeight="1" x14ac:dyDescent="0.2">
      <c r="B29" s="917" t="s">
        <v>1621</v>
      </c>
      <c r="C29" s="3580">
        <f>Table4.C!E11</f>
        <v>502788.284954264</v>
      </c>
      <c r="D29" s="3581">
        <f>H29/F29*1000/(44/28)</f>
        <v>4008.0851631078031</v>
      </c>
      <c r="E29" s="3596">
        <f t="shared" si="6"/>
        <v>2.8204294018596454E-4</v>
      </c>
      <c r="F29" s="3597">
        <v>7.4999999999999997E-3</v>
      </c>
      <c r="G29" s="4470">
        <v>0.22284096399645015</v>
      </c>
      <c r="H29" s="4471">
        <v>4.7238146565199111E-2</v>
      </c>
      <c r="I29" s="4472">
        <f t="shared" si="8"/>
        <v>0.27007911056164924</v>
      </c>
    </row>
    <row r="30" spans="2:9" ht="18" customHeight="1" x14ac:dyDescent="0.2">
      <c r="B30" s="917" t="s">
        <v>1622</v>
      </c>
      <c r="C30" s="3582">
        <f>IF(SUM(C32:C36)=0,"NO",SUM(C32:C36))</f>
        <v>13492.369462765941</v>
      </c>
      <c r="D30" s="3583">
        <f>IF(SUM(D32:D36)=0,"NO",SUM(D32:D36))</f>
        <v>4112.1112197934808</v>
      </c>
      <c r="E30" s="3599">
        <f>IF(SUM(C30)=0,"NA",G30/C30*1000/(44/28))</f>
        <v>1.5353117361678877E-2</v>
      </c>
      <c r="F30" s="3598">
        <f>IF(SUM(D30)=0,"NA",H30/D30*1000/(44/28))</f>
        <v>7.4999999999999997E-3</v>
      </c>
      <c r="G30" s="4473">
        <f>IF(SUM(G32:G36)=0,"NO",SUM(G32:G36))</f>
        <v>0.32552132147696489</v>
      </c>
      <c r="H30" s="4474">
        <f>IF(SUM(H32:H36)=0,"NO",SUM(H32:H36))</f>
        <v>4.8464167947566021E-2</v>
      </c>
      <c r="I30" s="4472">
        <f t="shared" si="8"/>
        <v>0.37398548942453091</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13492.369462765941</v>
      </c>
      <c r="D32" s="3581">
        <f>H32/F32*1000/(44/28)</f>
        <v>4112.1112197934808</v>
      </c>
      <c r="E32" s="3599">
        <f>IF(SUM(C32)=0,"NA",G32/C32*1000/(44/28))</f>
        <v>1.5353117361678877E-2</v>
      </c>
      <c r="F32" s="3597">
        <v>7.4999999999999997E-3</v>
      </c>
      <c r="G32" s="4477">
        <v>0.32552132147696489</v>
      </c>
      <c r="H32" s="4478">
        <v>4.8464167947566021E-2</v>
      </c>
      <c r="I32" s="4472">
        <f t="shared" si="8"/>
        <v>0.37398548942453091</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1551.4496203260601</v>
      </c>
      <c r="D46" s="3579">
        <f>IF(SUM(D47:D48)=0,"NO",SUM(D47:D48))</f>
        <v>261.57582198700163</v>
      </c>
      <c r="E46" s="3594">
        <f t="shared" si="11"/>
        <v>4.8859432666884771E-3</v>
      </c>
      <c r="F46" s="3595">
        <f t="shared" si="12"/>
        <v>7.4999999999999997E-3</v>
      </c>
      <c r="G46" s="4467">
        <f>IF(SUM(G47:G48)=0,"NO",SUM(G47:G48))</f>
        <v>1.1911891869489084E-2</v>
      </c>
      <c r="H46" s="4468">
        <f>IF(SUM(H47:H48)=0,"NO",SUM(H47:H48))</f>
        <v>3.0828579019896623E-3</v>
      </c>
      <c r="I46" s="4469">
        <f t="shared" si="8"/>
        <v>1.4994749771478747E-2</v>
      </c>
    </row>
    <row r="47" spans="2:9" ht="18" customHeight="1" x14ac:dyDescent="0.2">
      <c r="B47" s="917" t="s">
        <v>1637</v>
      </c>
      <c r="C47" s="3580">
        <f>Table4.E!E11</f>
        <v>1136.4709452909999</v>
      </c>
      <c r="D47" s="3581">
        <f>H47/F47*1000/(44/28)</f>
        <v>3.7810790076571701</v>
      </c>
      <c r="E47" s="3596">
        <f t="shared" si="11"/>
        <v>5.5346373948157035E-5</v>
      </c>
      <c r="F47" s="3597">
        <v>7.4999999999999997E-3</v>
      </c>
      <c r="G47" s="4470">
        <v>9.8842143587457584E-5</v>
      </c>
      <c r="H47" s="4471">
        <v>4.4562716875959498E-5</v>
      </c>
      <c r="I47" s="4472">
        <f t="shared" si="8"/>
        <v>1.4340486046341707E-4</v>
      </c>
    </row>
    <row r="48" spans="2:9" ht="18" customHeight="1" x14ac:dyDescent="0.2">
      <c r="B48" s="917" t="s">
        <v>1638</v>
      </c>
      <c r="C48" s="3582">
        <f>IF(SUM(C50:C54)=0,"NO",SUM(C50:C54))</f>
        <v>414.97867503506029</v>
      </c>
      <c r="D48" s="3583">
        <f>IF(SUM(D50:D54)=0,"NO",SUM(D50:D54))</f>
        <v>257.79474297934445</v>
      </c>
      <c r="E48" s="3599">
        <f>IF(SUM(C48)=0,"NA",G48/C48*1000/(44/28))</f>
        <v>1.8115136348835503E-2</v>
      </c>
      <c r="F48" s="3598">
        <f>IF(SUM(D48)=0,"NA",H48/D48*1000/(44/28))</f>
        <v>7.5000000000000006E-3</v>
      </c>
      <c r="G48" s="4473">
        <f>IF(SUM(G50:G54)=0,"NO",SUM(G50:G54))</f>
        <v>1.1813049725901626E-2</v>
      </c>
      <c r="H48" s="4474">
        <f>IF(SUM(H50:H54)=0,"NO",SUM(H50:H54))</f>
        <v>3.0382951851137029E-3</v>
      </c>
      <c r="I48" s="4472">
        <f t="shared" si="8"/>
        <v>1.4851344911015328E-2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414.97867503506029</v>
      </c>
      <c r="D50" s="3581">
        <f>H50/F50*1000/(44/28)</f>
        <v>257.79474297934445</v>
      </c>
      <c r="E50" s="3599">
        <f>IF(SUM(C50)=0,"NA",G50/C50*1000/(44/28))</f>
        <v>1.8115136348835503E-2</v>
      </c>
      <c r="F50" s="3597">
        <v>7.4999999999999997E-3</v>
      </c>
      <c r="G50" s="4477">
        <v>1.1813049725901626E-2</v>
      </c>
      <c r="H50" s="4478">
        <v>3.0382951851137029E-3</v>
      </c>
      <c r="I50" s="4472">
        <f t="shared" si="8"/>
        <v>1.4851344911015328E-2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1"/>
      <c r="C83" s="4492"/>
      <c r="D83" s="4492"/>
      <c r="E83" s="4492"/>
      <c r="F83" s="4492"/>
      <c r="G83" s="4492"/>
      <c r="H83" s="4492"/>
      <c r="I83" s="4493"/>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5465033.4805589393</v>
      </c>
      <c r="D10" s="3055" t="s">
        <v>97</v>
      </c>
      <c r="E10" s="615"/>
      <c r="F10" s="615"/>
      <c r="G10" s="615"/>
      <c r="H10" s="1938">
        <f>IF(SUM(H11:H15)=0,"NO",SUM(H11:H15))</f>
        <v>373491.22235545859</v>
      </c>
      <c r="I10" s="1938">
        <f t="shared" ref="I10:K10" si="0">IF(SUM(I11:I16)=0,"NO",SUM(I11:I16))</f>
        <v>85.615374726864445</v>
      </c>
      <c r="J10" s="1938">
        <f t="shared" si="0"/>
        <v>9.7215363563324484</v>
      </c>
      <c r="K10" s="3064" t="str">
        <f t="shared" si="0"/>
        <v>NO</v>
      </c>
    </row>
    <row r="11" spans="2:11" ht="18" customHeight="1" x14ac:dyDescent="0.2">
      <c r="B11" s="282" t="s">
        <v>243</v>
      </c>
      <c r="C11" s="3065">
        <f>IF(SUM(C18,'Table1.A(a)s2'!C11,'Table1.A(a)s3'!C11,'Table1.A(a)s4'!C11,'Table1.A(a)s4'!C94)=0,"NO",SUM(C18,'Table1.A(a)s2'!C11,'Table1.A(a)s3'!C11,'Table1.A(a)s4'!C11,'Table1.A(a)s4'!C94))</f>
        <v>2050814.7053451859</v>
      </c>
      <c r="D11" s="3056" t="s">
        <v>244</v>
      </c>
      <c r="E11" s="1938">
        <f>IFERROR(H11*1000/$C11,"NA")</f>
        <v>68.687040734242046</v>
      </c>
      <c r="F11" s="1938">
        <f t="shared" ref="F11:G16" si="1">IFERROR(I11*1000000/$C11,"NA")</f>
        <v>7.4839911609044245</v>
      </c>
      <c r="G11" s="1938">
        <f t="shared" si="1"/>
        <v>2.9526081450800903</v>
      </c>
      <c r="H11" s="1938">
        <f>IF(SUM(H18,'Table1.A(a)s2'!H11,'Table1.A(a)s3'!H11,'Table1.A(a)s4'!H11,'Table1.A(a)s4'!H94)=0,"NO",SUM(H18,'Table1.A(a)s2'!H11,'Table1.A(a)s3'!H11,'Table1.A(a)s4'!H11,'Table1.A(a)s4'!H94))</f>
        <v>140864.39320442738</v>
      </c>
      <c r="I11" s="1938">
        <f>IF(SUM(I18,'Table1.A(a)s2'!I11,'Table1.A(a)s3'!I11,'Table1.A(a)s4'!I11,'Table1.A(a)s4'!I94)=0,"NO",SUM(I18,'Table1.A(a)s2'!I11,'Table1.A(a)s3'!I11,'Table1.A(a)s4'!I11,'Table1.A(a)s4'!I94))</f>
        <v>15.348279127456182</v>
      </c>
      <c r="J11" s="1938">
        <f>IF(SUM(J18,'Table1.A(a)s2'!J11,'Table1.A(a)s3'!J11,'Table1.A(a)s4'!J11,'Table1.A(a)s4'!J94)=0,"NO",SUM(J18,'Table1.A(a)s2'!J11,'Table1.A(a)s3'!J11,'Table1.A(a)s4'!J11,'Table1.A(a)s4'!J94))</f>
        <v>6.0552522030522216</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1724637.7431846261</v>
      </c>
      <c r="D12" s="3056" t="s">
        <v>97</v>
      </c>
      <c r="E12" s="1938">
        <f t="shared" ref="E12:E16" si="2">IFERROR(H12*1000/$C12,"NA")</f>
        <v>90.377600631680551</v>
      </c>
      <c r="F12" s="1938">
        <f t="shared" si="1"/>
        <v>0.69963466048603451</v>
      </c>
      <c r="G12" s="1938">
        <f t="shared" si="1"/>
        <v>0.87895694360245391</v>
      </c>
      <c r="H12" s="1938">
        <f>IF(SUM(H19,'Table1.A(a)s2'!H12,'Table1.A(a)s3'!H12,'Table1.A(a)s4'!H12,'Table1.A(a)s4'!H95)=0,"NO",SUM(H19,'Table1.A(a)s2'!H12,'Table1.A(a)s3'!H12,'Table1.A(a)s4'!H12,'Table1.A(a)s4'!H95))</f>
        <v>155868.621187863</v>
      </c>
      <c r="I12" s="1938">
        <f>IF(SUM(I19,'Table1.A(a)s2'!I12,'Table1.A(a)s3'!I12,'Table1.A(a)s4'!I12,'Table1.A(a)s4'!I95)=0,"NO",SUM(I19,'Table1.A(a)s2'!I12,'Table1.A(a)s3'!I12,'Table1.A(a)s4'!I12,'Table1.A(a)s4'!I95))</f>
        <v>1.2066163419143767</v>
      </c>
      <c r="J12" s="1938">
        <f>IF(SUM(J19,'Table1.A(a)s2'!J12,'Table1.A(a)s3'!J12,'Table1.A(a)s4'!J12,'Table1.A(a)s4'!J95)=0,"NO",SUM(J19,'Table1.A(a)s2'!J12,'Table1.A(a)s3'!J12,'Table1.A(a)s4'!J12,'Table1.A(a)s4'!J95))</f>
        <v>1.5158823195709927</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1495878.2131230428</v>
      </c>
      <c r="D13" s="3056" t="s">
        <v>244</v>
      </c>
      <c r="E13" s="1938">
        <f t="shared" si="2"/>
        <v>51.235620177424487</v>
      </c>
      <c r="F13" s="1938">
        <f t="shared" si="1"/>
        <v>20.74863665000257</v>
      </c>
      <c r="G13" s="1938">
        <f t="shared" si="1"/>
        <v>0.895718625708676</v>
      </c>
      <c r="H13" s="1938">
        <f>IF(SUM(H20,'Table1.A(a)s2'!H13,'Table1.A(a)s3'!H13,'Table1.A(a)s4'!H13,'Table1.A(a)s4'!H96)=0,"NO",SUM(H20,'Table1.A(a)s2'!H13,'Table1.A(a)s3'!H13,'Table1.A(a)s4'!H13,'Table1.A(a)s4'!H96))</f>
        <v>76642.247959256667</v>
      </c>
      <c r="I13" s="1938">
        <f>IF(SUM(I20,'Table1.A(a)s2'!I13,'Table1.A(a)s3'!I13,'Table1.A(a)s4'!I13,'Table1.A(a)s4'!I96)=0,"NO",SUM(I20,'Table1.A(a)s2'!I13,'Table1.A(a)s3'!I13,'Table1.A(a)s4'!I13,'Table1.A(a)s4'!I96))</f>
        <v>31.037433516745125</v>
      </c>
      <c r="J13" s="1938">
        <f>IF(SUM(J20,'Table1.A(a)s2'!J13,'Table1.A(a)s3'!J13,'Table1.A(a)s4'!J13,'Table1.A(a)s4'!J96)=0,"NO",SUM(J20,'Table1.A(a)s2'!J13,'Table1.A(a)s3'!J13,'Table1.A(a)s4'!J13,'Table1.A(a)s4'!J96))</f>
        <v>1.3398859772861218</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2356.2089749207112</v>
      </c>
      <c r="D14" s="3056" t="s">
        <v>244</v>
      </c>
      <c r="E14" s="1938">
        <f t="shared" si="2"/>
        <v>49.214651648396028</v>
      </c>
      <c r="F14" s="1938">
        <f t="shared" si="1"/>
        <v>1.0219635390397843</v>
      </c>
      <c r="G14" s="1938">
        <f t="shared" si="1"/>
        <v>0.42206823084481282</v>
      </c>
      <c r="H14" s="1938">
        <f>IF(SUM(H21,'Table1.A(a)s2'!H14,'Table1.A(a)s3'!H14,'Table1.A(a)s4'!H14,'Table1.A(a)s4'!H97)=0,"NO",SUM(H21,'Table1.A(a)s2'!H14,'Table1.A(a)s3'!H14,'Table1.A(a)s4'!H14,'Table1.A(a)s4'!H97))</f>
        <v>115.96000391154709</v>
      </c>
      <c r="I14" s="1938">
        <f>IF(SUM(I21,'Table1.A(a)s2'!I14,'Table1.A(a)s3'!I14,'Table1.A(a)s4'!I14,'Table1.A(a)s4'!I97)=0,"NO",SUM(I21,'Table1.A(a)s2'!I14,'Table1.A(a)s3'!I14,'Table1.A(a)s4'!I14,'Table1.A(a)s4'!I97))</f>
        <v>2.4079596627272727E-3</v>
      </c>
      <c r="J14" s="1938">
        <f>IF(SUM(J21,'Table1.A(a)s2'!J14,'Table1.A(a)s3'!J14,'Table1.A(a)s4'!J14,'Table1.A(a)s4'!J97)=0,"NO",SUM(J21,'Table1.A(a)s2'!J14,'Table1.A(a)s3'!J14,'Table1.A(a)s4'!J14,'Table1.A(a)s4'!J97))</f>
        <v>9.9448095354545446E-4</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191346.60993116378</v>
      </c>
      <c r="D16" s="3058" t="s">
        <v>244</v>
      </c>
      <c r="E16" s="2891">
        <f t="shared" si="2"/>
        <v>81.285273163266396</v>
      </c>
      <c r="F16" s="1938">
        <f t="shared" si="1"/>
        <v>198.70034695030034</v>
      </c>
      <c r="G16" s="1938">
        <f t="shared" si="1"/>
        <v>4.2306543907978806</v>
      </c>
      <c r="H16" s="2891">
        <f>IF(SUM(H23,'Table1.A(a)s2'!H16,'Table1.A(a)s3'!H15,'Table1.A(a)s4'!H16,'Table1.A(a)s4'!H99)=0,"NO",SUM(H23,'Table1.A(a)s2'!H16,'Table1.A(a)s3'!H15,'Table1.A(a)s4'!H16,'Table1.A(a)s4'!H99))</f>
        <v>15553.661457119631</v>
      </c>
      <c r="I16" s="2891">
        <f>IF(SUM(I23,'Table1.A(a)s2'!I16,'Table1.A(a)s3'!I15,'Table1.A(a)s4'!I16,'Table1.A(a)s4'!I99)=0,"NO",SUM(I23,'Table1.A(a)s2'!I16,'Table1.A(a)s3'!I15,'Table1.A(a)s4'!I16,'Table1.A(a)s4'!I99))</f>
        <v>38.02063778108603</v>
      </c>
      <c r="J16" s="2891">
        <f>IF(SUM(J23,'Table1.A(a)s2'!J16,'Table1.A(a)s3'!J15,'Table1.A(a)s4'!J16,'Table1.A(a)s4'!J99)=0,"NO",SUM(J23,'Table1.A(a)s2'!J16,'Table1.A(a)s3'!J15,'Table1.A(a)s4'!J16,'Table1.A(a)s4'!J99))</f>
        <v>0.80952137546956748</v>
      </c>
      <c r="K16" s="3045" t="str">
        <f>IF(SUM(K23,'Table1.A(a)s2'!K16,'Table1.A(a)s3'!K15,'Table1.A(a)s4'!K16,'Table1.A(a)s4'!K99)=0,"NO",SUM(K23,'Table1.A(a)s2'!K16,'Table1.A(a)s3'!K15,'Table1.A(a)s4'!K16,'Table1.A(a)s4'!K99))</f>
        <v>NO</v>
      </c>
    </row>
    <row r="17" spans="2:12" ht="18" customHeight="1" x14ac:dyDescent="0.2">
      <c r="B17" s="2209" t="s">
        <v>175</v>
      </c>
      <c r="C17" s="3046">
        <f>IF(SUM(C18:C23)=0,"NO",SUM(C18:C23))</f>
        <v>2846511.4626676934</v>
      </c>
      <c r="D17" s="3059" t="s">
        <v>97</v>
      </c>
      <c r="E17" s="3060"/>
      <c r="F17" s="3060"/>
      <c r="G17" s="3060"/>
      <c r="H17" s="3046">
        <f>IF(SUM(H18:H22)=0,"NO",SUM(H18:H22))</f>
        <v>211944.24017957883</v>
      </c>
      <c r="I17" s="3046">
        <f t="shared" ref="I17" si="3">IF(SUM(I18:I23)=0,"NO",SUM(I18:I23))</f>
        <v>34.757911031528941</v>
      </c>
      <c r="J17" s="3046">
        <f t="shared" ref="J17" si="4">IF(SUM(J18:J23)=0,"NO",SUM(J18:J23))</f>
        <v>3.0053656507787925</v>
      </c>
      <c r="K17" s="3047" t="str">
        <f t="shared" ref="K17" si="5">IF(SUM(K18:K23)=0,"NO",SUM(K18:K23))</f>
        <v>NO</v>
      </c>
    </row>
    <row r="18" spans="2:12" ht="18" customHeight="1" x14ac:dyDescent="0.2">
      <c r="B18" s="282" t="s">
        <v>243</v>
      </c>
      <c r="C18" s="3065">
        <f>IF(SUM(C25,C54,C61)=0,"NO",SUM(C25,C54,C61))</f>
        <v>232520.30960355932</v>
      </c>
      <c r="D18" s="3056" t="s">
        <v>97</v>
      </c>
      <c r="E18" s="1938">
        <f>IFERROR(H18*1000/$C18,"NA")</f>
        <v>68.396146837556486</v>
      </c>
      <c r="F18" s="1938">
        <f t="shared" ref="F18:G23" si="6">IFERROR(I18*1000000/$C18,"NA")</f>
        <v>3.0465125909259569</v>
      </c>
      <c r="G18" s="1938">
        <f t="shared" si="6"/>
        <v>2.1766292873056812</v>
      </c>
      <c r="H18" s="3065">
        <f>IF(SUM(H25,H54,H61)=0,"NO",SUM(H25,H54,H61))</f>
        <v>15903.49323835914</v>
      </c>
      <c r="I18" s="3065">
        <f>IF(SUM(I25,I54,I61)=0,"NO",SUM(I25,I54,I61))</f>
        <v>0.70837605085324518</v>
      </c>
      <c r="J18" s="3065">
        <f>IF(SUM(J25,J54,J61)=0,"NO",SUM(J25,J54,J61))</f>
        <v>0.50611051577649169</v>
      </c>
      <c r="K18" s="3048" t="str">
        <f>IF(SUM(K25,K54,K61)=0,"NO",SUM(K25,K54,K61))</f>
        <v>NO</v>
      </c>
      <c r="L18" s="19"/>
    </row>
    <row r="19" spans="2:12" ht="18" customHeight="1" x14ac:dyDescent="0.2">
      <c r="B19" s="282" t="s">
        <v>245</v>
      </c>
      <c r="C19" s="3065">
        <f t="shared" ref="C19:C23" si="7">IF(SUM(C26,C55,C62)=0,"NO",SUM(C26,C55,C62))</f>
        <v>1610343.2896416567</v>
      </c>
      <c r="D19" s="3056" t="s">
        <v>97</v>
      </c>
      <c r="E19" s="1938">
        <f t="shared" ref="E19:E23" si="8">IFERROR(H19*1000/$C19,"NA")</f>
        <v>90.922804900290117</v>
      </c>
      <c r="F19" s="1938">
        <f t="shared" si="6"/>
        <v>0.68201331352684436</v>
      </c>
      <c r="G19" s="1938">
        <f t="shared" si="6"/>
        <v>0.89161724393899289</v>
      </c>
      <c r="H19" s="3065">
        <f t="shared" ref="H19:K23" si="9">IF(SUM(H26,H55,H62)=0,"NO",SUM(H26,H55,H62))</f>
        <v>146416.92874657974</v>
      </c>
      <c r="I19" s="3065">
        <f t="shared" si="9"/>
        <v>1.0982755628842251</v>
      </c>
      <c r="J19" s="3065">
        <f t="shared" si="9"/>
        <v>1.4358098457059454</v>
      </c>
      <c r="K19" s="3048" t="str">
        <f t="shared" si="9"/>
        <v>NO</v>
      </c>
      <c r="L19" s="19"/>
    </row>
    <row r="20" spans="2:12" ht="18" customHeight="1" x14ac:dyDescent="0.2">
      <c r="B20" s="282" t="s">
        <v>246</v>
      </c>
      <c r="C20" s="3065">
        <f t="shared" si="7"/>
        <v>968128.02711500379</v>
      </c>
      <c r="D20" s="3056" t="s">
        <v>97</v>
      </c>
      <c r="E20" s="1938">
        <f t="shared" si="8"/>
        <v>51.138797067393398</v>
      </c>
      <c r="F20" s="1938">
        <f t="shared" si="6"/>
        <v>30.989388632931089</v>
      </c>
      <c r="G20" s="1938">
        <f t="shared" si="6"/>
        <v>1.0160904649737255</v>
      </c>
      <c r="H20" s="3065">
        <f t="shared" si="9"/>
        <v>49508.902713890115</v>
      </c>
      <c r="I20" s="3065">
        <f t="shared" si="9"/>
        <v>30.001695678699697</v>
      </c>
      <c r="J20" s="3065">
        <f t="shared" si="9"/>
        <v>0.98370565722537961</v>
      </c>
      <c r="K20" s="3048" t="str">
        <f t="shared" si="9"/>
        <v>NO</v>
      </c>
      <c r="L20" s="19"/>
    </row>
    <row r="21" spans="2:12" ht="18" customHeight="1" x14ac:dyDescent="0.2">
      <c r="B21" s="282" t="s">
        <v>247</v>
      </c>
      <c r="C21" s="3065">
        <f t="shared" si="7"/>
        <v>2341.9590000000003</v>
      </c>
      <c r="D21" s="3056" t="s">
        <v>97</v>
      </c>
      <c r="E21" s="1938">
        <f t="shared" si="8"/>
        <v>49.068100999999984</v>
      </c>
      <c r="F21" s="1938">
        <f t="shared" si="6"/>
        <v>1.0281818181818181</v>
      </c>
      <c r="G21" s="1938">
        <f t="shared" si="6"/>
        <v>0.42463636363636353</v>
      </c>
      <c r="H21" s="3065">
        <f t="shared" si="9"/>
        <v>114.91548074985899</v>
      </c>
      <c r="I21" s="3065">
        <f t="shared" si="9"/>
        <v>2.4079596627272727E-3</v>
      </c>
      <c r="J21" s="3065">
        <f t="shared" si="9"/>
        <v>9.9448095354545446E-4</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33177.877307473551</v>
      </c>
      <c r="D23" s="3056" t="s">
        <v>97</v>
      </c>
      <c r="E23" s="1938">
        <f t="shared" si="8"/>
        <v>48.514608458620664</v>
      </c>
      <c r="F23" s="1938">
        <f t="shared" si="6"/>
        <v>88.828943217689755</v>
      </c>
      <c r="G23" s="1938">
        <f t="shared" si="6"/>
        <v>2.3734234227122371</v>
      </c>
      <c r="H23" s="3065">
        <f t="shared" si="9"/>
        <v>1609.6117270602349</v>
      </c>
      <c r="I23" s="3065">
        <f t="shared" si="9"/>
        <v>2.9471557794290457</v>
      </c>
      <c r="J23" s="3065">
        <f t="shared" si="9"/>
        <v>7.8745151117430537E-2</v>
      </c>
      <c r="K23" s="3048" t="str">
        <f t="shared" si="9"/>
        <v>NO</v>
      </c>
      <c r="L23" s="19"/>
    </row>
    <row r="24" spans="2:12" ht="18" customHeight="1" x14ac:dyDescent="0.2">
      <c r="B24" s="1236" t="s">
        <v>250</v>
      </c>
      <c r="C24" s="3065">
        <f>IF(SUM(C25:C30)=0,"NO",SUM(C25:C30))</f>
        <v>2251599.4681013334</v>
      </c>
      <c r="D24" s="3056" t="s">
        <v>97</v>
      </c>
      <c r="E24" s="615"/>
      <c r="F24" s="615"/>
      <c r="G24" s="615"/>
      <c r="H24" s="3065">
        <f>IF(SUM(H25:H29)=0,"NO",SUM(H25:H29))</f>
        <v>178180.7699514493</v>
      </c>
      <c r="I24" s="3065">
        <f t="shared" ref="I24" si="10">IF(SUM(I25:I30)=0,"NO",SUM(I25:I30))</f>
        <v>21.322394884663144</v>
      </c>
      <c r="J24" s="3065">
        <f t="shared" ref="J24" si="11">IF(SUM(J25:J30)=0,"NO",SUM(J25:J30))</f>
        <v>2.1543880958065267</v>
      </c>
      <c r="K24" s="3048" t="str">
        <f t="shared" ref="K24" si="12">IF(SUM(K25:K30)=0,"NO",SUM(K25:K30))</f>
        <v>NO</v>
      </c>
      <c r="L24" s="19"/>
    </row>
    <row r="25" spans="2:12" ht="18" customHeight="1" x14ac:dyDescent="0.2">
      <c r="B25" s="160" t="s">
        <v>243</v>
      </c>
      <c r="C25" s="3053">
        <f>IF(SUM(C33,C40,C47)=0,"NO",SUM(C33,C40,C47))</f>
        <v>51736.818035308301</v>
      </c>
      <c r="D25" s="3061" t="s">
        <v>97</v>
      </c>
      <c r="E25" s="3065">
        <f>IFERROR(H25*1000/$C25,"NA")</f>
        <v>69.972627514460484</v>
      </c>
      <c r="F25" s="1938">
        <f t="shared" ref="F25:G30" si="13">IFERROR(I25*1000000/$C25,"NA")</f>
        <v>3.4469143813993584</v>
      </c>
      <c r="G25" s="1938">
        <f t="shared" si="13"/>
        <v>0.34883722773523673</v>
      </c>
      <c r="H25" s="3065">
        <f>IF(SUM(H33,H40,H47)=0,"NO",SUM(H33,H40,H47))</f>
        <v>3620.1610971680493</v>
      </c>
      <c r="I25" s="3065">
        <f>IF(SUM(I33,I40,I47)=0,"NO",SUM(I33,I40,I47))</f>
        <v>0.17833238213374589</v>
      </c>
      <c r="J25" s="3065">
        <f>IF(SUM(J33,J40,J47)=0,"NO",SUM(J33,J40,J47))</f>
        <v>1.8047728175279346E-2</v>
      </c>
      <c r="K25" s="3048" t="str">
        <f>IF(SUM(K33,K40,K47)=0,"NO",SUM(K33,K40,K47))</f>
        <v>NO</v>
      </c>
      <c r="L25" s="19"/>
    </row>
    <row r="26" spans="2:12" ht="18" customHeight="1" x14ac:dyDescent="0.2">
      <c r="B26" s="160" t="s">
        <v>245</v>
      </c>
      <c r="C26" s="3065">
        <f t="shared" ref="C26:C30" si="14">IF(SUM(C34,C41,C48)=0,"NO",SUM(C34,C41,C48))</f>
        <v>1602424.2258240434</v>
      </c>
      <c r="D26" s="3061" t="s">
        <v>97</v>
      </c>
      <c r="E26" s="3065">
        <f t="shared" ref="E26:E30" si="15">IFERROR(H26*1000/$C26,"NA")</f>
        <v>90.995954554285845</v>
      </c>
      <c r="F26" s="1938">
        <f t="shared" si="13"/>
        <v>0.6806405341432743</v>
      </c>
      <c r="G26" s="1938">
        <f t="shared" si="13"/>
        <v>0.89232207734337932</v>
      </c>
      <c r="H26" s="3065">
        <f t="shared" ref="H26:K30" si="16">IF(SUM(H34,H41,H48)=0,"NO",SUM(H34,H41,H48))</f>
        <v>145814.12202977133</v>
      </c>
      <c r="I26" s="3065">
        <f t="shared" si="16"/>
        <v>1.0906748809889997</v>
      </c>
      <c r="J26" s="3065">
        <f t="shared" si="16"/>
        <v>1.4298785139726669</v>
      </c>
      <c r="K26" s="3048" t="str">
        <f t="shared" si="16"/>
        <v>NO</v>
      </c>
      <c r="L26" s="19"/>
    </row>
    <row r="27" spans="2:12" ht="18" customHeight="1" x14ac:dyDescent="0.2">
      <c r="B27" s="160" t="s">
        <v>246</v>
      </c>
      <c r="C27" s="3065">
        <f t="shared" si="14"/>
        <v>564283.61593450804</v>
      </c>
      <c r="D27" s="3061" t="s">
        <v>97</v>
      </c>
      <c r="E27" s="3065">
        <f t="shared" si="15"/>
        <v>50.943330645712535</v>
      </c>
      <c r="F27" s="1938">
        <f t="shared" si="13"/>
        <v>30.315101044319483</v>
      </c>
      <c r="G27" s="1938">
        <f t="shared" si="13"/>
        <v>1.1125601753148098</v>
      </c>
      <c r="H27" s="3065">
        <f t="shared" si="16"/>
        <v>28746.486824509906</v>
      </c>
      <c r="I27" s="3065">
        <f t="shared" si="16"/>
        <v>17.106314834708581</v>
      </c>
      <c r="J27" s="3065">
        <f t="shared" si="16"/>
        <v>0.62779947867137098</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33154.808307473548</v>
      </c>
      <c r="D30" s="3061" t="s">
        <v>97</v>
      </c>
      <c r="E30" s="3065">
        <f t="shared" si="15"/>
        <v>48.500974284449072</v>
      </c>
      <c r="F30" s="1938">
        <f t="shared" si="13"/>
        <v>88.888246902260221</v>
      </c>
      <c r="G30" s="1938">
        <f t="shared" si="13"/>
        <v>2.3725781870823828</v>
      </c>
      <c r="H30" s="3065">
        <f t="shared" si="16"/>
        <v>1608.040505126613</v>
      </c>
      <c r="I30" s="3065">
        <f t="shared" si="16"/>
        <v>2.9470727868318169</v>
      </c>
      <c r="J30" s="3065">
        <f t="shared" si="16"/>
        <v>7.8662374987209502E-2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2251599.4681013334</v>
      </c>
      <c r="D32" s="3056" t="s">
        <v>97</v>
      </c>
      <c r="E32" s="1939"/>
      <c r="F32" s="1939"/>
      <c r="G32" s="1939"/>
      <c r="H32" s="3065">
        <f>IF(SUM(H33:H37)=0,"NO",SUM(H33:H37))</f>
        <v>178180.7699514493</v>
      </c>
      <c r="I32" s="3065">
        <f t="shared" ref="I32" si="17">IF(SUM(I33:I38)=0,"NO",SUM(I33:I38))</f>
        <v>21.322394884663144</v>
      </c>
      <c r="J32" s="3065">
        <f t="shared" ref="J32" si="18">IF(SUM(J33:J38)=0,"NO",SUM(J33:J38))</f>
        <v>2.1543880958065267</v>
      </c>
      <c r="K32" s="3048" t="str">
        <f t="shared" ref="K32" si="19">IF(SUM(K33:K38)=0,"NO",SUM(K33:K38))</f>
        <v>NO</v>
      </c>
      <c r="L32" s="19"/>
    </row>
    <row r="33" spans="2:12" ht="18" customHeight="1" x14ac:dyDescent="0.2">
      <c r="B33" s="160" t="s">
        <v>243</v>
      </c>
      <c r="C33" s="3014">
        <v>51736.818035308301</v>
      </c>
      <c r="D33" s="3056" t="s">
        <v>97</v>
      </c>
      <c r="E33" s="1938">
        <f>IFERROR(H33*1000/$C33,"NA")</f>
        <v>69.972627514460484</v>
      </c>
      <c r="F33" s="1938">
        <f t="shared" ref="F33:G38" si="20">IFERROR(I33*1000000/$C33,"NA")</f>
        <v>3.4469143813993584</v>
      </c>
      <c r="G33" s="1938">
        <f t="shared" si="20"/>
        <v>0.34883722773523673</v>
      </c>
      <c r="H33" s="3014">
        <v>3620.1610971680493</v>
      </c>
      <c r="I33" s="3014">
        <v>0.17833238213374589</v>
      </c>
      <c r="J33" s="3014">
        <v>1.8047728175279346E-2</v>
      </c>
      <c r="K33" s="3051" t="s">
        <v>199</v>
      </c>
      <c r="L33" s="19"/>
    </row>
    <row r="34" spans="2:12" ht="18" customHeight="1" x14ac:dyDescent="0.2">
      <c r="B34" s="160" t="s">
        <v>245</v>
      </c>
      <c r="C34" s="3014">
        <v>1602424.2258240434</v>
      </c>
      <c r="D34" s="3056" t="s">
        <v>97</v>
      </c>
      <c r="E34" s="1938">
        <f t="shared" ref="E34:E38" si="21">IFERROR(H34*1000/$C34,"NA")</f>
        <v>90.995954554285845</v>
      </c>
      <c r="F34" s="1938">
        <f t="shared" si="20"/>
        <v>0.6806405341432743</v>
      </c>
      <c r="G34" s="1938">
        <f t="shared" si="20"/>
        <v>0.89232207734337932</v>
      </c>
      <c r="H34" s="3014">
        <v>145814.12202977133</v>
      </c>
      <c r="I34" s="3014">
        <v>1.0906748809889997</v>
      </c>
      <c r="J34" s="3014">
        <v>1.4298785139726669</v>
      </c>
      <c r="K34" s="3051" t="s">
        <v>199</v>
      </c>
      <c r="L34" s="19"/>
    </row>
    <row r="35" spans="2:12" ht="18" customHeight="1" x14ac:dyDescent="0.2">
      <c r="B35" s="160" t="s">
        <v>246</v>
      </c>
      <c r="C35" s="3014">
        <v>564283.61593450804</v>
      </c>
      <c r="D35" s="3056" t="s">
        <v>97</v>
      </c>
      <c r="E35" s="1938">
        <f t="shared" si="21"/>
        <v>50.943330645712535</v>
      </c>
      <c r="F35" s="1938">
        <f t="shared" si="20"/>
        <v>30.315101044319483</v>
      </c>
      <c r="G35" s="1938">
        <f t="shared" si="20"/>
        <v>1.1125601753148098</v>
      </c>
      <c r="H35" s="3014">
        <v>28746.486824509906</v>
      </c>
      <c r="I35" s="3014">
        <v>17.106314834708581</v>
      </c>
      <c r="J35" s="3014">
        <v>0.62779947867137098</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33154.808307473548</v>
      </c>
      <c r="D38" s="3056" t="s">
        <v>97</v>
      </c>
      <c r="E38" s="1938">
        <f t="shared" si="21"/>
        <v>48.500974284449072</v>
      </c>
      <c r="F38" s="1938">
        <f t="shared" si="20"/>
        <v>88.888246902260221</v>
      </c>
      <c r="G38" s="1938">
        <f t="shared" si="20"/>
        <v>2.3725781870823828</v>
      </c>
      <c r="H38" s="3014">
        <v>1608.040505126613</v>
      </c>
      <c r="I38" s="3014">
        <v>2.9470727868318169</v>
      </c>
      <c r="J38" s="3014">
        <v>7.8662374987209502E-2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49448.697748746803</v>
      </c>
      <c r="D53" s="3056" t="s">
        <v>97</v>
      </c>
      <c r="E53" s="615"/>
      <c r="F53" s="615"/>
      <c r="G53" s="615"/>
      <c r="H53" s="3065">
        <f>IF(SUM(H54:H58)=0,"NO",SUM(H54:H58))</f>
        <v>3002.0399990164024</v>
      </c>
      <c r="I53" s="3065">
        <f t="shared" ref="I53:K53" si="28">IF(SUM(I54:I59)=0,"NO",SUM(I54:I59))</f>
        <v>4.7754982096770843E-2</v>
      </c>
      <c r="J53" s="3065">
        <f t="shared" si="28"/>
        <v>6.7640591327021195E-3</v>
      </c>
      <c r="K53" s="3048" t="str">
        <f t="shared" si="28"/>
        <v>NO</v>
      </c>
      <c r="L53" s="19"/>
    </row>
    <row r="54" spans="2:12" ht="18" customHeight="1" x14ac:dyDescent="0.2">
      <c r="B54" s="160" t="s">
        <v>243</v>
      </c>
      <c r="C54" s="3014">
        <v>43692.159568251001</v>
      </c>
      <c r="D54" s="3056" t="s">
        <v>97</v>
      </c>
      <c r="E54" s="1938">
        <f>IFERROR(H54*1000/$C54,"NA")</f>
        <v>62.060893283158059</v>
      </c>
      <c r="F54" s="1938">
        <f t="shared" ref="F54:G59" si="29">IFERROR(I54*1000000/$C54,"NA")</f>
        <v>0.95752223321815355</v>
      </c>
      <c r="G54" s="1938">
        <f t="shared" si="29"/>
        <v>9.8864961935673179E-2</v>
      </c>
      <c r="H54" s="3014">
        <v>2711.5744522759387</v>
      </c>
      <c r="I54" s="3014">
        <v>4.1836214203915617E-2</v>
      </c>
      <c r="J54" s="3014">
        <v>4.3196236926024943E-3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3414.5791804958008</v>
      </c>
      <c r="D56" s="3056" t="s">
        <v>97</v>
      </c>
      <c r="E56" s="1938">
        <f t="shared" si="30"/>
        <v>51.411918339264993</v>
      </c>
      <c r="F56" s="1938">
        <f t="shared" si="29"/>
        <v>1.0281818181818181</v>
      </c>
      <c r="G56" s="1938">
        <f t="shared" si="29"/>
        <v>0.42463636363636353</v>
      </c>
      <c r="H56" s="3014">
        <v>175.55006599060448</v>
      </c>
      <c r="I56" s="3014">
        <v>3.5108082301279551E-3</v>
      </c>
      <c r="J56" s="3014">
        <v>1.4499544865541711E-3</v>
      </c>
      <c r="K56" s="3051" t="s">
        <v>199</v>
      </c>
    </row>
    <row r="57" spans="2:12" ht="18" customHeight="1" x14ac:dyDescent="0.2">
      <c r="B57" s="282" t="s">
        <v>247</v>
      </c>
      <c r="C57" s="3014">
        <v>2341.9590000000003</v>
      </c>
      <c r="D57" s="3056" t="s">
        <v>97</v>
      </c>
      <c r="E57" s="1938">
        <f t="shared" si="30"/>
        <v>49.068100999999984</v>
      </c>
      <c r="F57" s="1938">
        <f t="shared" si="29"/>
        <v>1.0281818181818181</v>
      </c>
      <c r="G57" s="1938">
        <f t="shared" si="29"/>
        <v>0.42463636363636353</v>
      </c>
      <c r="H57" s="3014">
        <v>114.91548074985899</v>
      </c>
      <c r="I57" s="3014">
        <v>2.4079596627272727E-3</v>
      </c>
      <c r="J57" s="3014">
        <v>9.9448095354545446E-4</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545463.2968176133</v>
      </c>
      <c r="D60" s="3056" t="s">
        <v>97</v>
      </c>
      <c r="E60" s="615"/>
      <c r="F60" s="615"/>
      <c r="G60" s="615"/>
      <c r="H60" s="3065">
        <f>IF(SUM(H61:H65)=0,"NO",SUM(H61:H65))</f>
        <v>30761.430229113161</v>
      </c>
      <c r="I60" s="3065">
        <f t="shared" ref="I60:K60" si="31">IF(SUM(I61:I66)=0,"NO",SUM(I61:I66))</f>
        <v>13.387761164769023</v>
      </c>
      <c r="J60" s="3065">
        <f t="shared" si="31"/>
        <v>0.84421349583956384</v>
      </c>
      <c r="K60" s="3048" t="str">
        <f t="shared" si="31"/>
        <v>NO</v>
      </c>
      <c r="L60" s="19"/>
    </row>
    <row r="61" spans="2:12" ht="18" customHeight="1" x14ac:dyDescent="0.2">
      <c r="B61" s="160" t="s">
        <v>243</v>
      </c>
      <c r="C61" s="3053">
        <f>IF(SUM(C69,C76,C83)=0,"NO",SUM(C69,C76,C83))</f>
        <v>137091.33200000002</v>
      </c>
      <c r="D61" s="3056" t="s">
        <v>97</v>
      </c>
      <c r="E61" s="1938">
        <f>IFERROR(H61*1000/$C61,"NA")</f>
        <v>69.820298258646673</v>
      </c>
      <c r="F61" s="1938">
        <f t="shared" ref="F61:G66" si="32">IFERROR(I61*1000000/$C61,"NA")</f>
        <v>3.5611839741668248</v>
      </c>
      <c r="G61" s="1938">
        <f t="shared" si="32"/>
        <v>3.5286196205943186</v>
      </c>
      <c r="H61" s="3053">
        <f>IF(SUM(H69,H76,H83)=0,"NO",SUM(H69,H76,H83))</f>
        <v>9571.7576889151533</v>
      </c>
      <c r="I61" s="3053">
        <f>IF(SUM(I69,I76,I83)=0,"NO",SUM(I69,I76,I83))</f>
        <v>0.48820745451558367</v>
      </c>
      <c r="J61" s="3053">
        <f>IF(SUM(J69,J76,J83)=0,"NO",SUM(J69,J76,J83))</f>
        <v>0.48374316390860983</v>
      </c>
      <c r="K61" s="3067" t="str">
        <f>IF(SUM(K69,K76,K83)=0,"NO",SUM(K69,K76,K83))</f>
        <v>NO</v>
      </c>
    </row>
    <row r="62" spans="2:12" ht="18" customHeight="1" x14ac:dyDescent="0.2">
      <c r="B62" s="160" t="s">
        <v>245</v>
      </c>
      <c r="C62" s="3053">
        <f t="shared" ref="C62:C66" si="33">IF(SUM(C70,C77,C84)=0,"NO",SUM(C70,C77,C84))</f>
        <v>7919.0638176132816</v>
      </c>
      <c r="D62" s="3056" t="s">
        <v>97</v>
      </c>
      <c r="E62" s="1938">
        <f t="shared" ref="E62:E66" si="34">IFERROR(H62*1000/$C62,"NA")</f>
        <v>76.12095705904845</v>
      </c>
      <c r="F62" s="1938">
        <f t="shared" si="32"/>
        <v>0.95979550995917218</v>
      </c>
      <c r="G62" s="1938">
        <f t="shared" si="32"/>
        <v>0.74899405660631424</v>
      </c>
      <c r="H62" s="3053">
        <f t="shared" ref="H62:K66" si="35">IF(SUM(H70,H77,H84)=0,"NO",SUM(H70,H77,H84))</f>
        <v>602.80671680840487</v>
      </c>
      <c r="I62" s="3053">
        <f t="shared" si="35"/>
        <v>7.6006818952253684E-3</v>
      </c>
      <c r="J62" s="3053">
        <f t="shared" si="35"/>
        <v>5.9313317332784568E-3</v>
      </c>
      <c r="K62" s="3067" t="str">
        <f t="shared" si="35"/>
        <v>NO</v>
      </c>
    </row>
    <row r="63" spans="2:12" ht="18" customHeight="1" x14ac:dyDescent="0.2">
      <c r="B63" s="160" t="s">
        <v>246</v>
      </c>
      <c r="C63" s="3053">
        <f t="shared" si="33"/>
        <v>400429.83199999994</v>
      </c>
      <c r="D63" s="3056" t="s">
        <v>97</v>
      </c>
      <c r="E63" s="1938">
        <f t="shared" si="34"/>
        <v>51.411918339265</v>
      </c>
      <c r="F63" s="1938">
        <f t="shared" si="32"/>
        <v>32.195078901516474</v>
      </c>
      <c r="G63" s="1938">
        <f t="shared" si="32"/>
        <v>0.88518935339326699</v>
      </c>
      <c r="H63" s="3053">
        <f t="shared" si="35"/>
        <v>20586.865823389602</v>
      </c>
      <c r="I63" s="3053">
        <f t="shared" si="35"/>
        <v>12.891870035760986</v>
      </c>
      <c r="J63" s="3053">
        <f t="shared" si="35"/>
        <v>0.35445622406745447</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23.068999999999996</v>
      </c>
      <c r="D66" s="3056" t="s">
        <v>97</v>
      </c>
      <c r="E66" s="1938">
        <f t="shared" si="34"/>
        <v>68.109668109668092</v>
      </c>
      <c r="F66" s="1938">
        <f t="shared" si="32"/>
        <v>3.5975810493976872</v>
      </c>
      <c r="G66" s="1938">
        <f t="shared" si="32"/>
        <v>3.5881975907510708</v>
      </c>
      <c r="H66" s="3053">
        <f t="shared" si="35"/>
        <v>1.5712219336219331</v>
      </c>
      <c r="I66" s="3053">
        <f t="shared" si="35"/>
        <v>8.2992597228555233E-5</v>
      </c>
      <c r="J66" s="3053">
        <f t="shared" si="35"/>
        <v>8.2776130221036436E-5</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7918.2998176132814</v>
      </c>
      <c r="D68" s="3056" t="s">
        <v>97</v>
      </c>
      <c r="E68" s="615"/>
      <c r="F68" s="615"/>
      <c r="G68" s="615"/>
      <c r="H68" s="3065">
        <f>IF(SUM(H69:H73)=0,"NO",SUM(H69:H73))</f>
        <v>602.74016094840488</v>
      </c>
      <c r="I68" s="3065">
        <f t="shared" ref="I68:K68" si="36">IF(SUM(I69:I74)=0,"NO",SUM(I69:I74))</f>
        <v>7.6001725618920352E-3</v>
      </c>
      <c r="J68" s="3065">
        <f t="shared" si="36"/>
        <v>5.9309679237546471E-3</v>
      </c>
      <c r="K68" s="3048" t="str">
        <f t="shared" si="36"/>
        <v>NO</v>
      </c>
    </row>
    <row r="69" spans="2:11" ht="18" customHeight="1" x14ac:dyDescent="0.2">
      <c r="B69" s="282" t="s">
        <v>243</v>
      </c>
      <c r="C69" s="3014" t="s">
        <v>199</v>
      </c>
      <c r="D69" s="3055" t="s">
        <v>97</v>
      </c>
      <c r="E69" s="1938" t="str">
        <f>IFERROR(H69*1000/$C69,"NA")</f>
        <v>NA</v>
      </c>
      <c r="F69" s="1938" t="str">
        <f t="shared" ref="F69:G74" si="37">IFERROR(I69*1000000/$C69,"NA")</f>
        <v>NA</v>
      </c>
      <c r="G69" s="1938" t="str">
        <f t="shared" si="37"/>
        <v>NA</v>
      </c>
      <c r="H69" s="3014" t="s">
        <v>199</v>
      </c>
      <c r="I69" s="3014" t="s">
        <v>199</v>
      </c>
      <c r="J69" s="3014" t="s">
        <v>199</v>
      </c>
      <c r="K69" s="3051" t="s">
        <v>199</v>
      </c>
    </row>
    <row r="70" spans="2:11" ht="18" customHeight="1" x14ac:dyDescent="0.2">
      <c r="B70" s="282" t="s">
        <v>245</v>
      </c>
      <c r="C70" s="3014">
        <v>7918.2998176132814</v>
      </c>
      <c r="D70" s="3055" t="s">
        <v>97</v>
      </c>
      <c r="E70" s="1938">
        <f t="shared" ref="E70:E74" si="38">IFERROR(H70*1000/$C70,"NA")</f>
        <v>76.119896294869235</v>
      </c>
      <c r="F70" s="1938">
        <f t="shared" si="37"/>
        <v>0.9598237926008294</v>
      </c>
      <c r="G70" s="1938">
        <f t="shared" si="37"/>
        <v>0.74902037815768741</v>
      </c>
      <c r="H70" s="3014">
        <v>602.74016094840488</v>
      </c>
      <c r="I70" s="3014">
        <v>7.6001725618920352E-3</v>
      </c>
      <c r="J70" s="3014">
        <v>5.9309679237546471E-3</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400763.15399999992</v>
      </c>
      <c r="D75" s="3056" t="s">
        <v>97</v>
      </c>
      <c r="E75" s="615"/>
      <c r="F75" s="615"/>
      <c r="G75" s="615"/>
      <c r="H75" s="3065">
        <f>IF(SUM(H76:H80)=0,"NO",SUM(H76:H80))</f>
        <v>20712.308636397385</v>
      </c>
      <c r="I75" s="3065">
        <f t="shared" ref="I75:K75" si="39">IF(SUM(I76:I81)=0,"NO",SUM(I76:I81))</f>
        <v>12.889321288233186</v>
      </c>
      <c r="J75" s="3065">
        <f t="shared" si="39"/>
        <v>0.36417891707519734</v>
      </c>
      <c r="K75" s="3048" t="str">
        <f t="shared" si="39"/>
        <v>NO</v>
      </c>
    </row>
    <row r="76" spans="2:11" ht="18" customHeight="1" x14ac:dyDescent="0.2">
      <c r="B76" s="282" t="s">
        <v>243</v>
      </c>
      <c r="C76" s="3014">
        <v>6455.9249999999993</v>
      </c>
      <c r="D76" s="3055" t="s">
        <v>97</v>
      </c>
      <c r="E76" s="1938">
        <f>IFERROR(H76*1000/$C76,"NA")</f>
        <v>68.183924273149316</v>
      </c>
      <c r="F76" s="1938">
        <f t="shared" ref="F76:G81" si="40">IFERROR(I76*1000000/$C76,"NA")</f>
        <v>2.847208978891115</v>
      </c>
      <c r="G76" s="1938">
        <f t="shared" si="40"/>
        <v>2.3682158366491328</v>
      </c>
      <c r="H76" s="3014">
        <v>440.19030131313139</v>
      </c>
      <c r="I76" s="3014">
        <v>1.8381367627047621E-2</v>
      </c>
      <c r="J76" s="3014">
        <v>1.528902382521905E-2</v>
      </c>
      <c r="K76" s="3051" t="s">
        <v>199</v>
      </c>
    </row>
    <row r="77" spans="2:11" ht="18" customHeight="1" x14ac:dyDescent="0.2">
      <c r="B77" s="282" t="s">
        <v>245</v>
      </c>
      <c r="C77" s="3014">
        <v>0.76400000000000001</v>
      </c>
      <c r="D77" s="3055" t="s">
        <v>97</v>
      </c>
      <c r="E77" s="1938">
        <f t="shared" ref="E77:E81" si="41">IFERROR(H77*1000/$C77,"NA")</f>
        <v>87.114999999999995</v>
      </c>
      <c r="F77" s="1938">
        <f t="shared" si="40"/>
        <v>0.66666666666666663</v>
      </c>
      <c r="G77" s="1938">
        <f t="shared" si="40"/>
        <v>0.47619047619047616</v>
      </c>
      <c r="H77" s="3014">
        <v>6.6555859999999994E-2</v>
      </c>
      <c r="I77" s="3014">
        <v>5.0933333333333334E-7</v>
      </c>
      <c r="J77" s="3014">
        <v>3.6380952380952383E-7</v>
      </c>
      <c r="K77" s="3051" t="s">
        <v>199</v>
      </c>
    </row>
    <row r="78" spans="2:11" ht="18" customHeight="1" x14ac:dyDescent="0.2">
      <c r="B78" s="160" t="s">
        <v>246</v>
      </c>
      <c r="C78" s="3014">
        <v>394306.46499999991</v>
      </c>
      <c r="D78" s="3055" t="s">
        <v>97</v>
      </c>
      <c r="E78" s="1938">
        <f t="shared" si="41"/>
        <v>51.411918339265014</v>
      </c>
      <c r="F78" s="1938">
        <f t="shared" si="40"/>
        <v>32.64196901076123</v>
      </c>
      <c r="G78" s="1938">
        <f t="shared" si="40"/>
        <v>0.88481818181818195</v>
      </c>
      <c r="H78" s="3014">
        <v>20272.051779224254</v>
      </c>
      <c r="I78" s="3014">
        <v>12.870939411272804</v>
      </c>
      <c r="J78" s="3014">
        <v>0.34888952944045448</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136781.84300000002</v>
      </c>
      <c r="D82" s="3056" t="s">
        <v>97</v>
      </c>
      <c r="E82" s="615"/>
      <c r="F82" s="615"/>
      <c r="G82" s="615"/>
      <c r="H82" s="3065">
        <f>IF(SUM(H83:H87)=0,"NO",SUM(H83:H87))</f>
        <v>9446.3814317673714</v>
      </c>
      <c r="I82" s="3065">
        <f t="shared" ref="I82:K82" si="42">IF(SUM(I83:I88)=0,"NO",SUM(I83:I88))</f>
        <v>0.49083970397394644</v>
      </c>
      <c r="J82" s="3065">
        <f t="shared" si="42"/>
        <v>0.47410361084061181</v>
      </c>
      <c r="K82" s="3048" t="str">
        <f t="shared" si="42"/>
        <v>NO</v>
      </c>
    </row>
    <row r="83" spans="2:11" ht="18" customHeight="1" x14ac:dyDescent="0.2">
      <c r="B83" s="282" t="s">
        <v>243</v>
      </c>
      <c r="C83" s="3014">
        <v>130635.40700000002</v>
      </c>
      <c r="D83" s="3055" t="s">
        <v>97</v>
      </c>
      <c r="E83" s="1938">
        <f>IFERROR(H83*1000/$C83,"NA")</f>
        <v>69.901166898818005</v>
      </c>
      <c r="F83" s="1938">
        <f t="shared" ref="F83:G88" si="43">IFERROR(I83*1000000/$C83,"NA")</f>
        <v>3.5964681986143003</v>
      </c>
      <c r="G83" s="1938">
        <f t="shared" si="43"/>
        <v>3.5859660932766158</v>
      </c>
      <c r="H83" s="3014">
        <v>9131.567387602021</v>
      </c>
      <c r="I83" s="3014">
        <v>0.46982608688853605</v>
      </c>
      <c r="J83" s="3014">
        <v>0.46845414008339076</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6123.367000000002</v>
      </c>
      <c r="D85" s="3055" t="s">
        <v>97</v>
      </c>
      <c r="E85" s="1938">
        <f t="shared" si="44"/>
        <v>51.411918339264993</v>
      </c>
      <c r="F85" s="1938">
        <f t="shared" si="43"/>
        <v>3.4181561366780424</v>
      </c>
      <c r="G85" s="1938">
        <f t="shared" si="43"/>
        <v>0.90909047702024048</v>
      </c>
      <c r="H85" s="3014">
        <v>314.81404416535014</v>
      </c>
      <c r="I85" s="3014">
        <v>2.093062448818182E-2</v>
      </c>
      <c r="J85" s="3014">
        <v>5.566694627000001E-3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23.068999999999996</v>
      </c>
      <c r="D88" s="3063" t="s">
        <v>97</v>
      </c>
      <c r="E88" s="2891">
        <f t="shared" si="44"/>
        <v>68.109668109668092</v>
      </c>
      <c r="F88" s="2891">
        <f t="shared" si="43"/>
        <v>3.5975810493976872</v>
      </c>
      <c r="G88" s="2891">
        <f t="shared" si="43"/>
        <v>3.5881975907510708</v>
      </c>
      <c r="H88" s="3021">
        <v>1.5712219336219331</v>
      </c>
      <c r="I88" s="3021">
        <v>8.2992597228555233E-5</v>
      </c>
      <c r="J88" s="3021">
        <v>8.2776130221036436E-5</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40249926.568069361</v>
      </c>
      <c r="G10" s="4346" t="s">
        <v>205</v>
      </c>
      <c r="H10" s="4347">
        <f t="shared" ref="H10:H13" si="0">IF(SUM($F10)=0,"NA",K10*1000/$F10)</f>
        <v>1.2451940040197715E-2</v>
      </c>
      <c r="I10" s="4348">
        <f t="shared" ref="I10:I13" si="1">IF(SUM($F10)=0,"NA",L10*1000/$F10)</f>
        <v>2.7761282772163505E-4</v>
      </c>
      <c r="J10" s="4349" t="str">
        <f>IF(SUM(J11,J25,J36,J48,J59,J70,J76)=0,"IE",SUM(J11,J25,J36,J48,J59,J70,J76))</f>
        <v>IE</v>
      </c>
      <c r="K10" s="4350">
        <f>IF(SUM(K11,K25,K36,K48,K59,K70,K76)=0,"NO",SUM(K11,K25,K36,K48,K59,K70,K76))</f>
        <v>501.18967224796063</v>
      </c>
      <c r="L10" s="4351">
        <f>IF(SUM(L11,L25,L36,L48,L59,L70,L76)=0,"NO",SUM(L11,L25,L36,L48,L59,L70,L76))</f>
        <v>11.1738959301499</v>
      </c>
    </row>
    <row r="11" spans="2:13" ht="18" customHeight="1" x14ac:dyDescent="0.2">
      <c r="B11" s="934" t="s">
        <v>1662</v>
      </c>
      <c r="C11" s="4352"/>
      <c r="D11" s="4353"/>
      <c r="E11" s="2866" t="s">
        <v>1661</v>
      </c>
      <c r="F11" s="4354">
        <f>IF(SUM(F12,F19)=0,"NO",SUM(F12,F19))</f>
        <v>6939554.7038508588</v>
      </c>
      <c r="G11" s="4355" t="s">
        <v>205</v>
      </c>
      <c r="H11" s="4356">
        <f t="shared" si="0"/>
        <v>3.4908276628318913E-2</v>
      </c>
      <c r="I11" s="4357">
        <f t="shared" si="1"/>
        <v>5.7382390472062686E-4</v>
      </c>
      <c r="J11" s="4358" t="str">
        <f>IF(SUM(J12,J19)=0,"IE",SUM(J12,J19))</f>
        <v>IE</v>
      </c>
      <c r="K11" s="4359">
        <f>IF(SUM(K12,K19)=0,"NO",SUM(K12,K19))</f>
        <v>242.24789527937753</v>
      </c>
      <c r="L11" s="4360">
        <f>IF(SUM(L12,L19)=0,"NO",SUM(L12,L19))</f>
        <v>3.9820823771860931</v>
      </c>
      <c r="M11" s="472"/>
    </row>
    <row r="12" spans="2:13" ht="18" customHeight="1" x14ac:dyDescent="0.2">
      <c r="B12" s="906" t="s">
        <v>1663</v>
      </c>
      <c r="C12" s="4361"/>
      <c r="D12" s="4362"/>
      <c r="E12" s="4363" t="s">
        <v>1661</v>
      </c>
      <c r="F12" s="4364">
        <f>IF(SUM(F13,F17)=0,"NO",SUM(F13,F17))</f>
        <v>6933079.8147578659</v>
      </c>
      <c r="G12" s="4365" t="str">
        <f>IFERROR(IF(SUM($F12)=0,"NA",J12*1000/$F12),"NA")</f>
        <v>NA</v>
      </c>
      <c r="H12" s="4366">
        <f t="shared" si="0"/>
        <v>3.4004702347598434E-2</v>
      </c>
      <c r="I12" s="4367">
        <f t="shared" si="1"/>
        <v>5.6207849260211874E-4</v>
      </c>
      <c r="J12" s="4170" t="str">
        <f>IF(SUM(J13,J17)=0,"IE",SUM(J13,J17))</f>
        <v>IE</v>
      </c>
      <c r="K12" s="3057">
        <f>IF(SUM(K13,K17)=0,"NO",SUM(K13,K17))</f>
        <v>235.7573154529841</v>
      </c>
      <c r="L12" s="3106">
        <f>IF(SUM(L13,L17)=0,"NO",SUM(L13,L17))</f>
        <v>3.8969350513692778</v>
      </c>
    </row>
    <row r="13" spans="2:13" ht="18" customHeight="1" x14ac:dyDescent="0.2">
      <c r="B13" s="926" t="s">
        <v>1664</v>
      </c>
      <c r="C13" s="4361"/>
      <c r="D13" s="4362"/>
      <c r="E13" s="4363" t="s">
        <v>1661</v>
      </c>
      <c r="F13" s="4368">
        <f>IF(SUM(F14:F16)=0,"NO",SUM(F14:F16))</f>
        <v>6062656.3027447052</v>
      </c>
      <c r="G13" s="4369" t="str">
        <f t="shared" ref="G13:G76" si="2">IFERROR(IF(SUM($F13)=0,"NA",J13*1000/$F13),"NA")</f>
        <v>NA</v>
      </c>
      <c r="H13" s="4370">
        <f t="shared" si="0"/>
        <v>2.8410309285739312E-2</v>
      </c>
      <c r="I13" s="4371">
        <f t="shared" si="1"/>
        <v>5.4570492619186045E-4</v>
      </c>
      <c r="J13" s="4170" t="str">
        <f>IF(SUM(J14:J16)=0,"IE",SUM(J14:J16))</f>
        <v>IE</v>
      </c>
      <c r="K13" s="4170">
        <f>IF(SUM(K14:K16)=0,"NO",SUM(K14:K16))</f>
        <v>172.24194065411385</v>
      </c>
      <c r="L13" s="4372">
        <f>IF(SUM(L14:L16)=0,"NO",SUM(L14:L16))</f>
        <v>3.3084214102159173</v>
      </c>
      <c r="M13" s="472"/>
    </row>
    <row r="14" spans="2:13" ht="18" customHeight="1" x14ac:dyDescent="0.2">
      <c r="B14" s="926"/>
      <c r="C14" s="2864" t="s">
        <v>1665</v>
      </c>
      <c r="D14" s="4373" t="s">
        <v>1219</v>
      </c>
      <c r="E14" s="4374" t="s">
        <v>1661</v>
      </c>
      <c r="F14" s="4375">
        <v>317414.29262292793</v>
      </c>
      <c r="G14" s="4369" t="str">
        <f t="shared" si="2"/>
        <v>NA</v>
      </c>
      <c r="H14" s="4370">
        <f>IF(SUM($F14)=0,"NA",K14*1000/$F14)</f>
        <v>0.10880866798347416</v>
      </c>
      <c r="I14" s="4371">
        <f>IF(SUM($F14)=0,"NA",L14*1000/$F14)</f>
        <v>1.1169985105598523E-3</v>
      </c>
      <c r="J14" s="4376" t="s">
        <v>274</v>
      </c>
      <c r="K14" s="4377">
        <v>34.537426379217479</v>
      </c>
      <c r="L14" s="4378">
        <v>0.35455129209021963</v>
      </c>
      <c r="M14" s="472"/>
    </row>
    <row r="15" spans="2:13" ht="18" customHeight="1" x14ac:dyDescent="0.2">
      <c r="B15" s="926"/>
      <c r="C15" s="2864" t="s">
        <v>1666</v>
      </c>
      <c r="D15" s="4373" t="s">
        <v>1219</v>
      </c>
      <c r="E15" s="4379" t="s">
        <v>1661</v>
      </c>
      <c r="F15" s="4380">
        <v>4095.8432156553599</v>
      </c>
      <c r="G15" s="4369" t="str">
        <f t="shared" si="2"/>
        <v>NA</v>
      </c>
      <c r="H15" s="4370">
        <f t="shared" ref="H15:H77" si="3">IF(SUM($F15)=0,"NA",K15*1000/$F15)</f>
        <v>1.3390259551254244</v>
      </c>
      <c r="I15" s="4371">
        <f t="shared" ref="I15:I77" si="4">IF(SUM($F15)=0,"NA",L15*1000/$F15)</f>
        <v>2.4753382587110268E-2</v>
      </c>
      <c r="J15" s="4376" t="s">
        <v>274</v>
      </c>
      <c r="K15" s="4377">
        <v>5.4844403738869074</v>
      </c>
      <c r="L15" s="4381">
        <v>0.10138597413393712</v>
      </c>
      <c r="M15" s="472"/>
    </row>
    <row r="16" spans="2:13" ht="18" customHeight="1" x14ac:dyDescent="0.2">
      <c r="B16" s="926"/>
      <c r="C16" s="2864" t="s">
        <v>1342</v>
      </c>
      <c r="D16" s="4373" t="s">
        <v>1219</v>
      </c>
      <c r="E16" s="4379" t="s">
        <v>1661</v>
      </c>
      <c r="F16" s="4380">
        <v>5741146.1669061221</v>
      </c>
      <c r="G16" s="4369" t="str">
        <f t="shared" si="2"/>
        <v>NA</v>
      </c>
      <c r="H16" s="4370">
        <f t="shared" si="3"/>
        <v>2.3030257383651023E-2</v>
      </c>
      <c r="I16" s="4371">
        <f t="shared" si="4"/>
        <v>4.9684924596318911E-4</v>
      </c>
      <c r="J16" s="4376" t="s">
        <v>274</v>
      </c>
      <c r="K16" s="4377">
        <v>132.22007390100947</v>
      </c>
      <c r="L16" s="4381">
        <v>2.8524841439917603</v>
      </c>
      <c r="M16" s="472"/>
    </row>
    <row r="17" spans="2:13" ht="18" customHeight="1" x14ac:dyDescent="0.2">
      <c r="B17" s="926" t="s">
        <v>1667</v>
      </c>
      <c r="C17" s="4361"/>
      <c r="D17" s="4362"/>
      <c r="E17" s="4382" t="s">
        <v>1661</v>
      </c>
      <c r="F17" s="4368">
        <f>F18</f>
        <v>870423.51201316086</v>
      </c>
      <c r="G17" s="4369" t="str">
        <f t="shared" si="2"/>
        <v>NA</v>
      </c>
      <c r="H17" s="4370">
        <f t="shared" si="3"/>
        <v>7.2970656148716131E-2</v>
      </c>
      <c r="I17" s="4371">
        <f t="shared" si="4"/>
        <v>6.7612332735844367E-4</v>
      </c>
      <c r="J17" s="4170" t="str">
        <f>J18</f>
        <v>IE</v>
      </c>
      <c r="K17" s="4170">
        <f>K18</f>
        <v>63.515374798870248</v>
      </c>
      <c r="L17" s="4372">
        <f>L18</f>
        <v>0.58851364115336058</v>
      </c>
      <c r="M17" s="472"/>
    </row>
    <row r="18" spans="2:13" ht="18" customHeight="1" x14ac:dyDescent="0.2">
      <c r="B18" s="926"/>
      <c r="C18" s="2864" t="s">
        <v>1668</v>
      </c>
      <c r="D18" s="4373" t="s">
        <v>1219</v>
      </c>
      <c r="E18" s="4379" t="s">
        <v>1661</v>
      </c>
      <c r="F18" s="4375">
        <v>870423.51201316086</v>
      </c>
      <c r="G18" s="4369" t="str">
        <f t="shared" si="2"/>
        <v>NA</v>
      </c>
      <c r="H18" s="4370">
        <f t="shared" si="3"/>
        <v>7.2970656148716131E-2</v>
      </c>
      <c r="I18" s="4371">
        <f t="shared" si="4"/>
        <v>6.7612332735844367E-4</v>
      </c>
      <c r="J18" s="4376" t="s">
        <v>274</v>
      </c>
      <c r="K18" s="4377">
        <v>63.515374798870248</v>
      </c>
      <c r="L18" s="4378">
        <v>0.58851364115336058</v>
      </c>
      <c r="M18" s="472"/>
    </row>
    <row r="19" spans="2:13" ht="18" customHeight="1" x14ac:dyDescent="0.2">
      <c r="B19" s="906" t="s">
        <v>1669</v>
      </c>
      <c r="C19" s="4361"/>
      <c r="D19" s="4362"/>
      <c r="E19" s="4382" t="s">
        <v>1661</v>
      </c>
      <c r="F19" s="4383">
        <f>IF(SUM(F20,F23)=0,"NO",SUM(F20,F23))</f>
        <v>6474.8890929930249</v>
      </c>
      <c r="G19" s="4365" t="s">
        <v>205</v>
      </c>
      <c r="H19" s="4366">
        <f t="shared" si="3"/>
        <v>1.002423320797476</v>
      </c>
      <c r="I19" s="4367">
        <f t="shared" si="4"/>
        <v>1.3150391395732149E-2</v>
      </c>
      <c r="J19" s="4170" t="str">
        <f>IF(SUM(J20,J23)=0,"IE",SUM(J20,J23))</f>
        <v>IE</v>
      </c>
      <c r="K19" s="3057">
        <f>IF(SUM(K20,K23)=0,"NO",SUM(K20,K23))</f>
        <v>6.4905798263934251</v>
      </c>
      <c r="L19" s="3106">
        <f>IF(SUM(L20,L23)=0,"NO",SUM(L20,L23))</f>
        <v>8.5147325816815417E-2</v>
      </c>
    </row>
    <row r="20" spans="2:13" ht="18" customHeight="1" x14ac:dyDescent="0.2">
      <c r="B20" s="926" t="s">
        <v>1670</v>
      </c>
      <c r="C20" s="4361"/>
      <c r="D20" s="4362"/>
      <c r="E20" s="4382" t="s">
        <v>1661</v>
      </c>
      <c r="F20" s="4368">
        <f>IF(SUM(F21:F22)=0,"NO",SUM(F21:F22))</f>
        <v>3653.5627326882895</v>
      </c>
      <c r="G20" s="4369" t="str">
        <f t="shared" si="2"/>
        <v>NA</v>
      </c>
      <c r="H20" s="4370">
        <f t="shared" si="3"/>
        <v>0.72127971421300829</v>
      </c>
      <c r="I20" s="4371">
        <f t="shared" si="4"/>
        <v>1.342774500048664E-2</v>
      </c>
      <c r="J20" s="4170" t="str">
        <f>IF(SUM(J21:J22)=0,"IE",SUM(J21:J22))</f>
        <v>IE</v>
      </c>
      <c r="K20" s="4170">
        <f>IF(SUM(K21:K22)=0,"NO",SUM(K21:K22))</f>
        <v>2.6352406836927069</v>
      </c>
      <c r="L20" s="4372">
        <f>IF(SUM(L21:L22)=0,"NO",SUM(L21:L22))</f>
        <v>4.9059108717819482E-2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2.5526475329080864</v>
      </c>
      <c r="L21" s="4378">
        <v>4.718852592084255E-2</v>
      </c>
      <c r="M21" s="472"/>
    </row>
    <row r="22" spans="2:13" ht="18" customHeight="1" x14ac:dyDescent="0.2">
      <c r="B22" s="926"/>
      <c r="C22" s="2864" t="s">
        <v>1342</v>
      </c>
      <c r="D22" s="4373" t="s">
        <v>1219</v>
      </c>
      <c r="E22" s="4379" t="s">
        <v>1661</v>
      </c>
      <c r="F22" s="4380">
        <v>3653.5627326882895</v>
      </c>
      <c r="G22" s="4369" t="str">
        <f t="shared" si="2"/>
        <v>NA</v>
      </c>
      <c r="H22" s="4370">
        <f t="shared" si="3"/>
        <v>2.2606194782332011E-2</v>
      </c>
      <c r="I22" s="4371">
        <f t="shared" si="4"/>
        <v>5.1198868990010742E-4</v>
      </c>
      <c r="J22" s="4376" t="s">
        <v>274</v>
      </c>
      <c r="K22" s="4377">
        <v>8.2593150784620692E-2</v>
      </c>
      <c r="L22" s="4381">
        <v>1.8705827969769339E-3</v>
      </c>
      <c r="M22" s="472"/>
    </row>
    <row r="23" spans="2:13" ht="18" customHeight="1" x14ac:dyDescent="0.2">
      <c r="B23" s="926" t="s">
        <v>1671</v>
      </c>
      <c r="C23" s="4361"/>
      <c r="D23" s="4362"/>
      <c r="E23" s="4382" t="s">
        <v>1661</v>
      </c>
      <c r="F23" s="4368">
        <f>F24</f>
        <v>2821.3263603047353</v>
      </c>
      <c r="G23" s="4369" t="str">
        <f t="shared" si="2"/>
        <v>NA</v>
      </c>
      <c r="H23" s="4370">
        <f t="shared" si="3"/>
        <v>1.3664988201805544</v>
      </c>
      <c r="I23" s="4371">
        <f t="shared" si="4"/>
        <v>1.2791223874964255E-2</v>
      </c>
      <c r="J23" s="4170" t="str">
        <f>J24</f>
        <v>IE</v>
      </c>
      <c r="K23" s="4170">
        <f>K24</f>
        <v>3.8553391427007186</v>
      </c>
      <c r="L23" s="4372">
        <f>L24</f>
        <v>3.6088217098995935E-2</v>
      </c>
      <c r="M23" s="472"/>
    </row>
    <row r="24" spans="2:13" ht="18" customHeight="1" thickBot="1" x14ac:dyDescent="0.25">
      <c r="B24" s="936"/>
      <c r="C24" s="2865" t="s">
        <v>1672</v>
      </c>
      <c r="D24" s="4384" t="s">
        <v>1219</v>
      </c>
      <c r="E24" s="4385" t="s">
        <v>1661</v>
      </c>
      <c r="F24" s="4386">
        <v>2821.3263603047353</v>
      </c>
      <c r="G24" s="4387" t="str">
        <f t="shared" si="2"/>
        <v>NA</v>
      </c>
      <c r="H24" s="4388">
        <f t="shared" si="3"/>
        <v>1.3664988201805544</v>
      </c>
      <c r="I24" s="4389">
        <f t="shared" si="4"/>
        <v>1.2791223874964255E-2</v>
      </c>
      <c r="J24" s="4390" t="s">
        <v>274</v>
      </c>
      <c r="K24" s="4391">
        <v>3.8553391427007186</v>
      </c>
      <c r="L24" s="4392">
        <v>3.6088217098995935E-2</v>
      </c>
      <c r="M24" s="472"/>
    </row>
    <row r="25" spans="2:13" ht="18" customHeight="1" x14ac:dyDescent="0.2">
      <c r="B25" s="934" t="s">
        <v>1673</v>
      </c>
      <c r="C25" s="4352"/>
      <c r="D25" s="4353"/>
      <c r="E25" s="4393" t="s">
        <v>1661</v>
      </c>
      <c r="F25" s="4394">
        <f>IF(SUM(F26,F31)=0,"IE",SUM(F26,F31))</f>
        <v>12473.808720774095</v>
      </c>
      <c r="G25" s="4355" t="str">
        <f t="shared" si="2"/>
        <v>NA</v>
      </c>
      <c r="H25" s="4356">
        <f t="shared" si="3"/>
        <v>5.5063536171713341E-2</v>
      </c>
      <c r="I25" s="4357">
        <f t="shared" si="4"/>
        <v>1.0179106478409785E-3</v>
      </c>
      <c r="J25" s="4358" t="str">
        <f>IF(SUM(J26,J31)=0,"IE",SUM(J26,J31))</f>
        <v>IE</v>
      </c>
      <c r="K25" s="4359">
        <f>IF(SUM(K26,K31)=0,"IE",SUM(K26,K31))</f>
        <v>0.68685201769537774</v>
      </c>
      <c r="L25" s="4360">
        <f>IF(SUM(L26,L31)=0,"IE",SUM(L26,L31))</f>
        <v>1.2697222716007607E-2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12473.808720774095</v>
      </c>
      <c r="G31" s="4365" t="str">
        <f t="shared" si="2"/>
        <v>NA</v>
      </c>
      <c r="H31" s="4366">
        <f t="shared" si="3"/>
        <v>5.5063536171713341E-2</v>
      </c>
      <c r="I31" s="4367">
        <f t="shared" si="4"/>
        <v>1.0179106478409785E-3</v>
      </c>
      <c r="J31" s="4170" t="str">
        <f>IF(SUM(J32,J34)=0,"IE",SUM(J32,J34))</f>
        <v>IE</v>
      </c>
      <c r="K31" s="4170">
        <f t="shared" ref="K31:L31" si="6">IF(SUM(K32,K34)=0,"IE",SUM(K32,K34))</f>
        <v>0.68685201769537774</v>
      </c>
      <c r="L31" s="4372">
        <f t="shared" si="6"/>
        <v>1.2697222716007607E-2</v>
      </c>
    </row>
    <row r="32" spans="2:13" ht="18" customHeight="1" x14ac:dyDescent="0.2">
      <c r="B32" s="926" t="s">
        <v>1678</v>
      </c>
      <c r="C32" s="4361"/>
      <c r="D32" s="4362"/>
      <c r="E32" s="4382" t="s">
        <v>1661</v>
      </c>
      <c r="F32" s="4368">
        <f>F33</f>
        <v>12473.808720774095</v>
      </c>
      <c r="G32" s="4365" t="str">
        <f t="shared" si="2"/>
        <v>NA</v>
      </c>
      <c r="H32" s="4366">
        <f t="shared" si="3"/>
        <v>5.5063536171713341E-2</v>
      </c>
      <c r="I32" s="4367">
        <f t="shared" si="4"/>
        <v>1.0179106478409785E-3</v>
      </c>
      <c r="J32" s="4170" t="str">
        <f>J33</f>
        <v>IE</v>
      </c>
      <c r="K32" s="4170">
        <f>K33</f>
        <v>0.68685201769537774</v>
      </c>
      <c r="L32" s="4372">
        <f>L33</f>
        <v>1.2697222716007607E-2</v>
      </c>
      <c r="M32" s="472"/>
    </row>
    <row r="33" spans="2:13" ht="18" customHeight="1" x14ac:dyDescent="0.2">
      <c r="B33" s="926"/>
      <c r="C33" s="2864" t="s">
        <v>1679</v>
      </c>
      <c r="D33" s="4373" t="s">
        <v>1219</v>
      </c>
      <c r="E33" s="4379" t="s">
        <v>1661</v>
      </c>
      <c r="F33" s="4375">
        <v>12473.808720774095</v>
      </c>
      <c r="G33" s="4369" t="str">
        <f t="shared" si="2"/>
        <v>NA</v>
      </c>
      <c r="H33" s="4370">
        <f t="shared" si="3"/>
        <v>5.5063536171713341E-2</v>
      </c>
      <c r="I33" s="4371">
        <f t="shared" si="4"/>
        <v>1.0179106478409785E-3</v>
      </c>
      <c r="J33" s="4376" t="s">
        <v>274</v>
      </c>
      <c r="K33" s="4377">
        <v>0.68685201769537774</v>
      </c>
      <c r="L33" s="4378">
        <v>1.2697222716007607E-2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32618948.641622446</v>
      </c>
      <c r="G36" s="4355" t="str">
        <f t="shared" si="2"/>
        <v>NA</v>
      </c>
      <c r="H36" s="4356">
        <f t="shared" ref="H36" si="7">IF(SUM($F36)=0,"NA",K36*1000/$F36)</f>
        <v>7.3980047841901812E-3</v>
      </c>
      <c r="I36" s="4357">
        <f t="shared" ref="I36" si="8">IF(SUM($F36)=0,"NA",L36*1000/$F36)</f>
        <v>2.0882653058679139E-4</v>
      </c>
      <c r="J36" s="4358" t="str">
        <f>IF(SUM(J37,J42)=0,"IE",SUM(J37,J42))</f>
        <v>IE</v>
      </c>
      <c r="K36" s="4359">
        <f>IF(SUM(K37,K42)=0,"NO",SUM(K37,K42))</f>
        <v>241.31513810597667</v>
      </c>
      <c r="L36" s="4360">
        <f>IF(SUM(L37,L42)=0,"NO",SUM(L37,L42))</f>
        <v>6.8117018762187476</v>
      </c>
      <c r="M36" s="472"/>
    </row>
    <row r="37" spans="2:13" ht="18" customHeight="1" x14ac:dyDescent="0.2">
      <c r="B37" s="906" t="s">
        <v>1682</v>
      </c>
      <c r="C37" s="4361"/>
      <c r="D37" s="4362"/>
      <c r="E37" s="4382" t="s">
        <v>1661</v>
      </c>
      <c r="F37" s="4364">
        <f>IF(SUM(F38,F40)=0,"NO",SUM(F38,F40))</f>
        <v>32255966.37974342</v>
      </c>
      <c r="G37" s="4369" t="str">
        <f t="shared" si="2"/>
        <v>NA</v>
      </c>
      <c r="H37" s="4366">
        <f t="shared" si="3"/>
        <v>6.3704850545788496E-3</v>
      </c>
      <c r="I37" s="4367">
        <f t="shared" si="4"/>
        <v>1.9050558165218705E-4</v>
      </c>
      <c r="J37" s="4170" t="str">
        <f>IF(SUM(J38,J40)=0,"IE",SUM(J38,J40))</f>
        <v>IE</v>
      </c>
      <c r="K37" s="3057">
        <f>IF(SUM(K38,K40)=0,"NO",SUM(K38,K40))</f>
        <v>205.48615174315327</v>
      </c>
      <c r="L37" s="3106">
        <f>IF(SUM(L38,L40)=0,"NO",SUM(L38,L40))</f>
        <v>6.1449416369264096</v>
      </c>
    </row>
    <row r="38" spans="2:13" ht="18" customHeight="1" x14ac:dyDescent="0.2">
      <c r="B38" s="926" t="s">
        <v>1683</v>
      </c>
      <c r="C38" s="4361"/>
      <c r="D38" s="4362"/>
      <c r="E38" s="4382" t="s">
        <v>1661</v>
      </c>
      <c r="F38" s="4368">
        <f>F39</f>
        <v>32255966.37974342</v>
      </c>
      <c r="G38" s="4369" t="str">
        <f t="shared" si="2"/>
        <v>NA</v>
      </c>
      <c r="H38" s="4370">
        <f t="shared" si="3"/>
        <v>6.3704850545788496E-3</v>
      </c>
      <c r="I38" s="4371">
        <f t="shared" si="4"/>
        <v>1.9050558165218705E-4</v>
      </c>
      <c r="J38" s="4170" t="str">
        <f>J39</f>
        <v>IE</v>
      </c>
      <c r="K38" s="4170">
        <f>K39</f>
        <v>205.48615174315327</v>
      </c>
      <c r="L38" s="4372">
        <f>L39</f>
        <v>6.1449416369264096</v>
      </c>
      <c r="M38" s="472"/>
    </row>
    <row r="39" spans="2:13" ht="18" customHeight="1" x14ac:dyDescent="0.2">
      <c r="B39" s="926"/>
      <c r="C39" s="2864" t="s">
        <v>1342</v>
      </c>
      <c r="D39" s="4373" t="s">
        <v>1219</v>
      </c>
      <c r="E39" s="4379" t="s">
        <v>1661</v>
      </c>
      <c r="F39" s="4380">
        <v>32255966.37974342</v>
      </c>
      <c r="G39" s="4369" t="str">
        <f t="shared" si="2"/>
        <v>NA</v>
      </c>
      <c r="H39" s="4370">
        <f t="shared" ref="H39:H40" si="9">IF(SUM($F39)=0,"NA",K39*1000/$F39)</f>
        <v>6.3704850545788496E-3</v>
      </c>
      <c r="I39" s="4371">
        <f t="shared" ref="I39:I40" si="10">IF(SUM($F39)=0,"NA",L39*1000/$F39)</f>
        <v>1.9050558165218705E-4</v>
      </c>
      <c r="J39" s="4376" t="s">
        <v>274</v>
      </c>
      <c r="K39" s="4377">
        <v>205.48615174315327</v>
      </c>
      <c r="L39" s="4381">
        <v>6.1449416369264096</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362982.26187902567</v>
      </c>
      <c r="G42" s="4365" t="str">
        <f t="shared" si="2"/>
        <v>NA</v>
      </c>
      <c r="H42" s="4366">
        <f t="shared" si="11"/>
        <v>9.870726513562926E-2</v>
      </c>
      <c r="I42" s="4367">
        <f t="shared" si="12"/>
        <v>1.8368948274242525E-3</v>
      </c>
      <c r="J42" s="4170" t="str">
        <f>IF(SUM(J43,J46)=0,"IE",SUM(J43,J46))</f>
        <v>IE</v>
      </c>
      <c r="K42" s="3057">
        <f>IF(SUM(K43,K46)=0,"NO",SUM(K43,K46))</f>
        <v>35.8289863628234</v>
      </c>
      <c r="L42" s="3106">
        <f>IF(SUM(L43,L46)=0,"NO",SUM(L43,L46))</f>
        <v>0.66676023929233774</v>
      </c>
    </row>
    <row r="43" spans="2:13" ht="18" customHeight="1" x14ac:dyDescent="0.2">
      <c r="B43" s="926" t="s">
        <v>1686</v>
      </c>
      <c r="C43" s="4361"/>
      <c r="D43" s="4362"/>
      <c r="E43" s="4382" t="s">
        <v>1661</v>
      </c>
      <c r="F43" s="4368">
        <f>IF(SUM(F44:F45)=0,"NO",SUM(F44:F45))</f>
        <v>362982.26187902567</v>
      </c>
      <c r="G43" s="4369" t="str">
        <f t="shared" si="2"/>
        <v>NA</v>
      </c>
      <c r="H43" s="4370">
        <f t="shared" ref="H43" si="13">IF(SUM($F43)=0,"NA",K43*1000/$F43)</f>
        <v>9.870726513562926E-2</v>
      </c>
      <c r="I43" s="4371">
        <f t="shared" ref="I43" si="14">IF(SUM($F43)=0,"NA",L43*1000/$F43)</f>
        <v>1.8368948274242525E-3</v>
      </c>
      <c r="J43" s="4170" t="str">
        <f>IF(SUM(J44:J45)=0,"IE",SUM(J44:J45))</f>
        <v>IE</v>
      </c>
      <c r="K43" s="4170">
        <f>IF(SUM(K44:K45)=0,"NO",SUM(K44:K45))</f>
        <v>35.8289863628234</v>
      </c>
      <c r="L43" s="4372">
        <f>IF(SUM(L44:L45)=0,"NO",SUM(L44:L45))</f>
        <v>0.66676023929233774</v>
      </c>
      <c r="M43" s="472"/>
    </row>
    <row r="44" spans="2:13" ht="18" customHeight="1" x14ac:dyDescent="0.2">
      <c r="B44" s="926"/>
      <c r="C44" s="2864" t="s">
        <v>1679</v>
      </c>
      <c r="D44" s="4373" t="s">
        <v>1219</v>
      </c>
      <c r="E44" s="4379" t="s">
        <v>1661</v>
      </c>
      <c r="F44" s="4380">
        <v>324199.90271392249</v>
      </c>
      <c r="G44" s="4369" t="str">
        <f t="shared" si="2"/>
        <v>NA</v>
      </c>
      <c r="H44" s="4370">
        <f t="shared" ref="H44:H46" si="15">IF(SUM($F44)=0,"NA",K44*1000/$F44)</f>
        <v>0.1072207401140448</v>
      </c>
      <c r="I44" s="4371">
        <f t="shared" ref="I44:I46" si="16">IF(SUM($F44)=0,"NA",L44*1000/$F44)</f>
        <v>1.9820945151637999E-3</v>
      </c>
      <c r="J44" s="4376" t="s">
        <v>274</v>
      </c>
      <c r="K44" s="4377">
        <v>34.76095351388809</v>
      </c>
      <c r="L44" s="4381">
        <v>0.64259484898590324</v>
      </c>
      <c r="M44" s="472"/>
    </row>
    <row r="45" spans="2:13" ht="18" customHeight="1" x14ac:dyDescent="0.2">
      <c r="B45" s="926"/>
      <c r="C45" s="2864" t="s">
        <v>1342</v>
      </c>
      <c r="D45" s="4373" t="s">
        <v>1219</v>
      </c>
      <c r="E45" s="4379" t="s">
        <v>1661</v>
      </c>
      <c r="F45" s="4380">
        <v>38782.359165103153</v>
      </c>
      <c r="G45" s="4369" t="str">
        <f t="shared" si="2"/>
        <v>NA</v>
      </c>
      <c r="H45" s="4370">
        <f t="shared" si="15"/>
        <v>2.7539140782759354E-2</v>
      </c>
      <c r="I45" s="4371">
        <f t="shared" si="16"/>
        <v>6.231026380720745E-4</v>
      </c>
      <c r="J45" s="4376" t="s">
        <v>274</v>
      </c>
      <c r="K45" s="4377">
        <v>1.0680328489353133</v>
      </c>
      <c r="L45" s="4381">
        <v>2.416539030643447E-2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672984.96180031344</v>
      </c>
      <c r="G48" s="4355" t="str">
        <f t="shared" si="2"/>
        <v>NA</v>
      </c>
      <c r="H48" s="4356">
        <f t="shared" si="17"/>
        <v>2.4002055074419812E-2</v>
      </c>
      <c r="I48" s="4357">
        <f t="shared" si="18"/>
        <v>5.2433598651859567E-4</v>
      </c>
      <c r="J48" s="4358" t="str">
        <f>IF(SUM(J49,J54)=0,"IE",SUM(J49,J54))</f>
        <v>IE</v>
      </c>
      <c r="K48" s="4359">
        <f>IF(SUM(K49,K54)=0,"NO",SUM(K49,K54))</f>
        <v>16.153022117387437</v>
      </c>
      <c r="L48" s="4360">
        <f>IF(SUM(L49,L54)=0,"NO",SUM(L49,L54))</f>
        <v>0.3528702338577468</v>
      </c>
      <c r="M48" s="472"/>
    </row>
    <row r="49" spans="2:13" ht="18" customHeight="1" x14ac:dyDescent="0.2">
      <c r="B49" s="906" t="s">
        <v>1689</v>
      </c>
      <c r="C49" s="4361"/>
      <c r="D49" s="4362"/>
      <c r="E49" s="4382" t="s">
        <v>1661</v>
      </c>
      <c r="F49" s="4364">
        <f>IF(SUM(F50,F52)=0,"NO",SUM(F50,F52))</f>
        <v>672984.96180031344</v>
      </c>
      <c r="G49" s="4365" t="str">
        <f t="shared" si="2"/>
        <v>NA</v>
      </c>
      <c r="H49" s="4366">
        <f t="shared" si="17"/>
        <v>2.4002055074419812E-2</v>
      </c>
      <c r="I49" s="4367">
        <f t="shared" si="18"/>
        <v>5.2433598651859567E-4</v>
      </c>
      <c r="J49" s="4170" t="str">
        <f>IF(SUM(J50,J52)=0,"IE",SUM(J50,J52))</f>
        <v>IE</v>
      </c>
      <c r="K49" s="3057">
        <f>IF(SUM(K50,K52)=0,"NO",SUM(K50,K52))</f>
        <v>16.153022117387437</v>
      </c>
      <c r="L49" s="3106">
        <f>IF(SUM(L50,L52)=0,"NO",SUM(L50,L52))</f>
        <v>0.3528702338577468</v>
      </c>
    </row>
    <row r="50" spans="2:13" ht="18" customHeight="1" x14ac:dyDescent="0.2">
      <c r="B50" s="926" t="s">
        <v>1690</v>
      </c>
      <c r="C50" s="4361"/>
      <c r="D50" s="4362"/>
      <c r="E50" s="4382" t="s">
        <v>1661</v>
      </c>
      <c r="F50" s="4368">
        <f>F51</f>
        <v>672984.96180031344</v>
      </c>
      <c r="G50" s="4369" t="str">
        <f t="shared" si="2"/>
        <v>NA</v>
      </c>
      <c r="H50" s="4370">
        <f t="shared" si="17"/>
        <v>2.4002055074419812E-2</v>
      </c>
      <c r="I50" s="4371">
        <f t="shared" si="18"/>
        <v>5.2433598651859567E-4</v>
      </c>
      <c r="J50" s="4170" t="str">
        <f>J51</f>
        <v>IE</v>
      </c>
      <c r="K50" s="4170">
        <f>K51</f>
        <v>16.153022117387437</v>
      </c>
      <c r="L50" s="4372">
        <f>L51</f>
        <v>0.3528702338577468</v>
      </c>
      <c r="M50" s="472"/>
    </row>
    <row r="51" spans="2:13" ht="18" customHeight="1" x14ac:dyDescent="0.2">
      <c r="B51" s="926"/>
      <c r="C51" s="2864" t="s">
        <v>1342</v>
      </c>
      <c r="D51" s="4373" t="s">
        <v>1219</v>
      </c>
      <c r="E51" s="4379" t="s">
        <v>1661</v>
      </c>
      <c r="F51" s="4380">
        <v>672984.96180031344</v>
      </c>
      <c r="G51" s="4369" t="str">
        <f t="shared" si="2"/>
        <v>NA</v>
      </c>
      <c r="H51" s="4370">
        <f t="shared" si="17"/>
        <v>2.4002055074419812E-2</v>
      </c>
      <c r="I51" s="4371">
        <f t="shared" si="18"/>
        <v>5.2433598651859567E-4</v>
      </c>
      <c r="J51" s="4376" t="s">
        <v>274</v>
      </c>
      <c r="K51" s="4377">
        <v>16.153022117387437</v>
      </c>
      <c r="L51" s="4381">
        <v>0.3528702338577468</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5964.4520749672602</v>
      </c>
      <c r="G59" s="4355" t="str">
        <f t="shared" si="2"/>
        <v>NA</v>
      </c>
      <c r="H59" s="4356">
        <f t="shared" si="3"/>
        <v>0.13190896961444032</v>
      </c>
      <c r="I59" s="4357">
        <f t="shared" si="4"/>
        <v>2.4384838688447227E-3</v>
      </c>
      <c r="J59" s="4358" t="str">
        <f>IF(SUM(J60,J65)=0,"IE",SUM(J60,J65))</f>
        <v>IE</v>
      </c>
      <c r="K59" s="4359">
        <f>IF(SUM(K60,K65)=0,"NO",SUM(K60,K65))</f>
        <v>0.78676472752364179</v>
      </c>
      <c r="L59" s="4360">
        <f>IF(SUM(L60,L65)=0,"NO",SUM(L60,L65))</f>
        <v>1.4544220171305099E-2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5964.4520749672602</v>
      </c>
      <c r="G65" s="4365" t="str">
        <f t="shared" si="2"/>
        <v>NA</v>
      </c>
      <c r="H65" s="4366">
        <f t="shared" si="3"/>
        <v>0.13190896961444032</v>
      </c>
      <c r="I65" s="4367">
        <f t="shared" si="4"/>
        <v>2.4384838688447227E-3</v>
      </c>
      <c r="J65" s="4170" t="str">
        <f>IF(SUM(J66,J68)=0,"IE",SUM(J66,J68))</f>
        <v>IE</v>
      </c>
      <c r="K65" s="3057">
        <f>IF(SUM(K66,K68)=0,"NO",SUM(K66,K68))</f>
        <v>0.78676472752364179</v>
      </c>
      <c r="L65" s="3106">
        <f>IF(SUM(L66,L68)=0,"NO",SUM(L66,L68))</f>
        <v>1.4544220171305099E-2</v>
      </c>
    </row>
    <row r="66" spans="2:13" ht="18" customHeight="1" x14ac:dyDescent="0.2">
      <c r="B66" s="926" t="s">
        <v>1700</v>
      </c>
      <c r="C66" s="4361"/>
      <c r="D66" s="4362"/>
      <c r="E66" s="4382" t="s">
        <v>1661</v>
      </c>
      <c r="F66" s="4368">
        <f>F67</f>
        <v>5964.4520749672602</v>
      </c>
      <c r="G66" s="4369" t="str">
        <f t="shared" si="2"/>
        <v>NA</v>
      </c>
      <c r="H66" s="4370">
        <f t="shared" si="3"/>
        <v>0.13190896961444032</v>
      </c>
      <c r="I66" s="4371">
        <f t="shared" si="4"/>
        <v>2.4384838688447227E-3</v>
      </c>
      <c r="J66" s="4170" t="str">
        <f>J67</f>
        <v>IE</v>
      </c>
      <c r="K66" s="4170">
        <f>K67</f>
        <v>0.78676472752364179</v>
      </c>
      <c r="L66" s="4372">
        <f>L67</f>
        <v>1.4544220171305099E-2</v>
      </c>
      <c r="M66" s="472"/>
    </row>
    <row r="67" spans="2:13" ht="18" customHeight="1" x14ac:dyDescent="0.2">
      <c r="B67" s="926"/>
      <c r="C67" s="2864" t="s">
        <v>1679</v>
      </c>
      <c r="D67" s="4373" t="s">
        <v>1219</v>
      </c>
      <c r="E67" s="4379" t="s">
        <v>1661</v>
      </c>
      <c r="F67" s="4380">
        <v>5964.4520749672602</v>
      </c>
      <c r="G67" s="4369" t="str">
        <f t="shared" si="2"/>
        <v>NA</v>
      </c>
      <c r="H67" s="4370">
        <f t="shared" ref="H67:H68" si="23">IF(SUM($F67)=0,"NA",K67*1000/$F67)</f>
        <v>0.13190896961444032</v>
      </c>
      <c r="I67" s="4371">
        <f t="shared" ref="I67:I68" si="24">IF(SUM($F67)=0,"NA",L67*1000/$F67)</f>
        <v>2.4384838688447227E-3</v>
      </c>
      <c r="J67" s="4376" t="s">
        <v>274</v>
      </c>
      <c r="K67" s="4377">
        <v>0.78676472752364179</v>
      </c>
      <c r="L67" s="4381">
        <v>1.4544220171305099E-2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6" t="s">
        <v>1707</v>
      </c>
      <c r="C95" s="4507"/>
      <c r="D95" s="4507"/>
      <c r="E95" s="4507"/>
      <c r="F95" s="4507"/>
      <c r="G95" s="4507"/>
      <c r="H95" s="4507"/>
      <c r="I95" s="4507"/>
      <c r="J95" s="4507"/>
      <c r="K95" s="4507"/>
      <c r="L95" s="4508"/>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4273.0486125332154</v>
      </c>
      <c r="D10" s="3463">
        <f>IF(SUM(D11,D16:D17)=0,"NO",SUM(D11,D16:D17))</f>
        <v>-2922.388935682889</v>
      </c>
      <c r="E10" s="3464"/>
      <c r="F10" s="3465">
        <f>IF(SUM(F11,F16:F17)=0,"NO",SUM(F11,F16:F17))</f>
        <v>1350.6596768503266</v>
      </c>
      <c r="G10" s="3466">
        <f>IF(SUM(G11,G16:G17)=0,"NO",SUM(G11,G16:G17))</f>
        <v>-4952.4188151178632</v>
      </c>
      <c r="H10" s="226"/>
      <c r="I10" s="2"/>
      <c r="J10" s="2"/>
    </row>
    <row r="11" spans="1:10" ht="18" customHeight="1" x14ac:dyDescent="0.2">
      <c r="B11" s="592" t="s">
        <v>1722</v>
      </c>
      <c r="C11" s="3467">
        <f>IF(SUM(C13:C15)=0,"NO",SUM(C13:C15))</f>
        <v>1712.6580715617906</v>
      </c>
      <c r="D11" s="3468">
        <f>IF(SUM(D13:D15)=0,"NO",SUM(D13:D15))</f>
        <v>-731.54962218496757</v>
      </c>
      <c r="E11" s="3469"/>
      <c r="F11" s="3470">
        <f>IF(SUM(F13:F15)=0,"NO",SUM(F13:F15))</f>
        <v>981.10844937682305</v>
      </c>
      <c r="G11" s="3471">
        <f>IF(SUM(G13:G15)=0,"NO",SUM(G13:G15))</f>
        <v>-3597.3976477150172</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1117.2359750826793</v>
      </c>
      <c r="D13" s="3476">
        <f>F13-C13</f>
        <v>-442.69000053384593</v>
      </c>
      <c r="E13" s="3477" t="s">
        <v>205</v>
      </c>
      <c r="F13" s="3478">
        <f>G13/(-44/12)</f>
        <v>674.54597454883333</v>
      </c>
      <c r="G13" s="3479">
        <v>-2473.3352400123886</v>
      </c>
      <c r="H13" s="226"/>
      <c r="I13" s="2"/>
      <c r="J13" s="2"/>
    </row>
    <row r="14" spans="1:10" ht="18" customHeight="1" x14ac:dyDescent="0.2">
      <c r="B14" s="1192" t="s">
        <v>1724</v>
      </c>
      <c r="C14" s="3480">
        <v>595.42209647911136</v>
      </c>
      <c r="D14" s="3481">
        <f>F14-C14</f>
        <v>-288.85962165112164</v>
      </c>
      <c r="E14" s="3202" t="s">
        <v>205</v>
      </c>
      <c r="F14" s="3482">
        <f>G14/(-44/12)</f>
        <v>306.56247482798972</v>
      </c>
      <c r="G14" s="3479">
        <v>-1124.0624077026289</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1739.8249392355015</v>
      </c>
      <c r="D16" s="3481">
        <f>F16-C16</f>
        <v>-1747.5098198038431</v>
      </c>
      <c r="E16" s="3202" t="s">
        <v>205</v>
      </c>
      <c r="F16" s="3482">
        <f>G16/(-44/12)</f>
        <v>-7.6848805683415549</v>
      </c>
      <c r="G16" s="3479">
        <v>28.177895417252365</v>
      </c>
      <c r="H16" s="226"/>
      <c r="I16" s="2"/>
      <c r="J16" s="2"/>
    </row>
    <row r="17" spans="2:10" ht="18" customHeight="1" x14ac:dyDescent="0.2">
      <c r="B17" s="1196" t="s">
        <v>1727</v>
      </c>
      <c r="C17" s="3484">
        <f>C18</f>
        <v>820.56560173592345</v>
      </c>
      <c r="D17" s="3485">
        <f t="shared" ref="D17:F17" si="0">D18</f>
        <v>-443.32949369407839</v>
      </c>
      <c r="E17" s="3486"/>
      <c r="F17" s="3193">
        <f t="shared" si="0"/>
        <v>377.23610804184506</v>
      </c>
      <c r="G17" s="3479">
        <f>-F17*44/12</f>
        <v>-1383.1990628200986</v>
      </c>
      <c r="H17" s="226"/>
      <c r="I17" s="2"/>
      <c r="J17" s="2"/>
    </row>
    <row r="18" spans="2:10" ht="18" customHeight="1" thickBot="1" x14ac:dyDescent="0.25">
      <c r="B18" s="547" t="s">
        <v>1728</v>
      </c>
      <c r="C18" s="3487">
        <v>820.56560173592345</v>
      </c>
      <c r="D18" s="3488">
        <f>F18-C18</f>
        <v>-443.32949369407839</v>
      </c>
      <c r="E18" s="3205" t="s">
        <v>205</v>
      </c>
      <c r="F18" s="3489">
        <f>G18/(-44/12)</f>
        <v>377.23610804184506</v>
      </c>
      <c r="G18" s="3490">
        <v>-1383.1990628200986</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1" t="s">
        <v>1764</v>
      </c>
      <c r="C99" s="4532"/>
      <c r="D99" s="4532"/>
      <c r="E99" s="4532"/>
      <c r="F99" s="4532"/>
      <c r="G99" s="4533"/>
      <c r="H99" s="2"/>
      <c r="I99" s="2"/>
    </row>
    <row r="100" spans="2:10" ht="26.25" customHeight="1" thickBot="1" x14ac:dyDescent="0.25">
      <c r="B100" s="4534"/>
      <c r="C100" s="4535"/>
      <c r="D100" s="4535"/>
      <c r="E100" s="4535"/>
      <c r="F100" s="4535"/>
      <c r="G100" s="4536"/>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1" t="s">
        <v>1793</v>
      </c>
      <c r="C85" s="4532"/>
      <c r="D85" s="4532"/>
      <c r="E85" s="4532"/>
      <c r="F85" s="4532"/>
      <c r="G85" s="4532"/>
      <c r="H85" s="4532"/>
      <c r="I85" s="4532"/>
      <c r="J85" s="4532"/>
      <c r="K85" s="4532"/>
      <c r="L85" s="4532"/>
      <c r="M85" s="4532"/>
      <c r="N85" s="4533"/>
    </row>
    <row r="86" spans="2:14" ht="13.5" thickBot="1" x14ac:dyDescent="0.25">
      <c r="B86" s="4534"/>
      <c r="C86" s="4535"/>
      <c r="D86" s="4535"/>
      <c r="E86" s="4535"/>
      <c r="F86" s="4535"/>
      <c r="G86" s="4535"/>
      <c r="H86" s="4535"/>
      <c r="I86" s="4535"/>
      <c r="J86" s="4535"/>
      <c r="K86" s="4535"/>
      <c r="L86" s="4535"/>
      <c r="M86" s="4535"/>
      <c r="N86" s="4536"/>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7"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38"/>
      <c r="C9" s="1879" t="s">
        <v>171</v>
      </c>
      <c r="D9" s="1880"/>
      <c r="E9" s="1880"/>
      <c r="F9" s="1880"/>
      <c r="G9" s="1880"/>
      <c r="H9" s="1880"/>
      <c r="I9" s="1881"/>
      <c r="J9" s="1803" t="s">
        <v>921</v>
      </c>
    </row>
    <row r="10" spans="1:10" ht="18" customHeight="1" thickTop="1" thickBot="1" x14ac:dyDescent="0.25">
      <c r="B10" s="1502" t="s">
        <v>1799</v>
      </c>
      <c r="C10" s="1882">
        <f>IF(SUM(C11,C15,C18,C21)=0,"NO",SUM(C11,C15,C18,C21))</f>
        <v>31.383403080597994</v>
      </c>
      <c r="D10" s="1882">
        <f t="shared" ref="D10:I10" si="0">IF(SUM(D11,D15,D18,D21)=0,"NO",SUM(D11,D15,D18,D21))</f>
        <v>459.13423565516041</v>
      </c>
      <c r="E10" s="1882">
        <f t="shared" si="0"/>
        <v>1.3393262904371759</v>
      </c>
      <c r="F10" s="1882" t="str">
        <f t="shared" si="0"/>
        <v>NO</v>
      </c>
      <c r="G10" s="1882" t="str">
        <f t="shared" si="0"/>
        <v>NO</v>
      </c>
      <c r="H10" s="1882">
        <f t="shared" si="0"/>
        <v>222.84781458873604</v>
      </c>
      <c r="I10" s="1883" t="str">
        <f t="shared" si="0"/>
        <v>NO</v>
      </c>
      <c r="J10" s="4487">
        <f>IF(SUM(C10:E10)=0,"NO",SUM(C10,IFERROR(28*D10,0),IFERROR(265*E10,0)))</f>
        <v>13242.063468390941</v>
      </c>
    </row>
    <row r="11" spans="1:10" ht="18" customHeight="1" x14ac:dyDescent="0.2">
      <c r="B11" s="1503" t="s">
        <v>1800</v>
      </c>
      <c r="C11" s="2893"/>
      <c r="D11" s="2894">
        <f>IF(SUM(D12:D14)=0,"NO",SUM(D12:D14))</f>
        <v>363.97022387146808</v>
      </c>
      <c r="E11" s="2893"/>
      <c r="F11" s="1886" t="str">
        <f>IF(SUM(F12:F14)=0,"NO",SUM(F12:F14))</f>
        <v>NO</v>
      </c>
      <c r="G11" s="1886" t="str">
        <f t="shared" ref="G11:H11" si="1">IF(SUM(G12:G14)=0,"NO",SUM(G12:G14))</f>
        <v>NO</v>
      </c>
      <c r="H11" s="1886">
        <f t="shared" si="1"/>
        <v>2.9888637294935041</v>
      </c>
      <c r="I11" s="2994"/>
      <c r="J11" s="1886">
        <f t="shared" ref="J11:J18" si="2">IF(SUM(C11:E11)=0,"NO",SUM(C11,IFERROR(28*D11,0),IFERROR(265*E11,0)))</f>
        <v>10191.166268401106</v>
      </c>
    </row>
    <row r="12" spans="1:10" ht="18" customHeight="1" x14ac:dyDescent="0.2">
      <c r="B12" s="1269" t="s">
        <v>1801</v>
      </c>
      <c r="C12" s="1885"/>
      <c r="D12" s="1884">
        <f>IF(SUM(Table5.A!F10:H10)=0,"NO",SUM(Table5.A!F10))</f>
        <v>363.97022387146808</v>
      </c>
      <c r="E12" s="1885"/>
      <c r="F12" s="2916" t="s">
        <v>205</v>
      </c>
      <c r="G12" s="2916" t="s">
        <v>205</v>
      </c>
      <c r="H12" s="2916">
        <v>2.9888637294935041</v>
      </c>
      <c r="I12" s="2940"/>
      <c r="J12" s="1887">
        <f t="shared" si="2"/>
        <v>10191.166268401106</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4.4898423234669931</v>
      </c>
      <c r="E15" s="2892">
        <f t="shared" ref="E15" si="3">IF(SUM(E16:E17)=0,"NO",SUM(E16:E17))</f>
        <v>0.57469981740377529</v>
      </c>
      <c r="F15" s="2892" t="s">
        <v>1805</v>
      </c>
      <c r="G15" s="2892" t="s">
        <v>1805</v>
      </c>
      <c r="H15" s="2892" t="s">
        <v>1805</v>
      </c>
      <c r="I15" s="2997"/>
      <c r="J15" s="2884">
        <f t="shared" si="2"/>
        <v>278.01103666907625</v>
      </c>
    </row>
    <row r="16" spans="1:10" ht="18" customHeight="1" x14ac:dyDescent="0.2">
      <c r="B16" s="1891" t="s">
        <v>1806</v>
      </c>
      <c r="C16" s="2998"/>
      <c r="D16" s="1884">
        <f>Table5.B!F10</f>
        <v>4.4898423234669931</v>
      </c>
      <c r="E16" s="1884">
        <f>Table5.B!G10</f>
        <v>0.57469981740377529</v>
      </c>
      <c r="F16" s="699" t="s">
        <v>205</v>
      </c>
      <c r="G16" s="699" t="s">
        <v>205</v>
      </c>
      <c r="H16" s="699" t="s">
        <v>205</v>
      </c>
      <c r="I16" s="2940"/>
      <c r="J16" s="1887">
        <f t="shared" si="2"/>
        <v>278.01103666907625</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31.383403080597994</v>
      </c>
      <c r="D18" s="2883" t="str">
        <f>IF(SUM(D19:D20)=0,"NO,NE",SUM(D19:D20))</f>
        <v>NO,NE</v>
      </c>
      <c r="E18" s="2883" t="str">
        <f>IF(SUM(E19:E20)=0,"NO,NE",SUM(E19:E20))</f>
        <v>NO,NE</v>
      </c>
      <c r="F18" s="2883" t="s">
        <v>205</v>
      </c>
      <c r="G18" s="2883" t="s">
        <v>205</v>
      </c>
      <c r="H18" s="2883" t="s">
        <v>205</v>
      </c>
      <c r="I18" s="2883" t="s">
        <v>205</v>
      </c>
      <c r="J18" s="2885">
        <f t="shared" si="2"/>
        <v>31.383403080597994</v>
      </c>
    </row>
    <row r="19" spans="2:12" ht="18" customHeight="1" x14ac:dyDescent="0.2">
      <c r="B19" s="1269" t="s">
        <v>1809</v>
      </c>
      <c r="C19" s="1884">
        <f>Table5.C!G10</f>
        <v>31.383403080597994</v>
      </c>
      <c r="D19" s="1884" t="str">
        <f>Table5.C!H10</f>
        <v>NO,NE</v>
      </c>
      <c r="E19" s="1884" t="str">
        <f>Table5.C!I10</f>
        <v>NO,NE</v>
      </c>
      <c r="F19" s="700" t="s">
        <v>205</v>
      </c>
      <c r="G19" s="700" t="s">
        <v>205</v>
      </c>
      <c r="H19" s="700" t="s">
        <v>205</v>
      </c>
      <c r="I19" s="700" t="s">
        <v>205</v>
      </c>
      <c r="J19" s="1887">
        <f>IF(SUM(C19:E19)=0,"NO",SUM(C19,IFERROR(28*D19,0),IFERROR(265*E19,0)))</f>
        <v>31.383403080597994</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90.674169460225343</v>
      </c>
      <c r="E21" s="2883">
        <f t="shared" ref="E21:H21" si="5">IF(SUM(E22:E24)=0,"NO",SUM(E22:E24))</f>
        <v>0.76462647303340059</v>
      </c>
      <c r="F21" s="2883" t="str">
        <f t="shared" si="5"/>
        <v>NO</v>
      </c>
      <c r="G21" s="2883" t="str">
        <f t="shared" si="5"/>
        <v>NO</v>
      </c>
      <c r="H21" s="2883">
        <f t="shared" si="5"/>
        <v>219.85895085924253</v>
      </c>
      <c r="I21" s="3000"/>
      <c r="J21" s="2885">
        <f t="shared" si="4"/>
        <v>2741.5027602401606</v>
      </c>
    </row>
    <row r="22" spans="2:12" ht="18" customHeight="1" x14ac:dyDescent="0.2">
      <c r="B22" s="1269" t="s">
        <v>1812</v>
      </c>
      <c r="C22" s="1894"/>
      <c r="D22" s="1884">
        <f>IF(SUM(Table5.D!H10)=0,"NO",SUM(Table5.D!H10))</f>
        <v>51.768794640985888</v>
      </c>
      <c r="E22" s="1884">
        <f>IF(SUM(Table5.D!I10:J10)=0,"NO",SUM(Table5.D!I10:J10))</f>
        <v>0.76462647303340059</v>
      </c>
      <c r="F22" s="2916" t="s">
        <v>205</v>
      </c>
      <c r="G22" s="2916" t="s">
        <v>205</v>
      </c>
      <c r="H22" s="2916">
        <v>8.3401178243210445</v>
      </c>
      <c r="I22" s="2940"/>
      <c r="J22" s="1887">
        <f t="shared" si="4"/>
        <v>1652.1522653014561</v>
      </c>
    </row>
    <row r="23" spans="2:12" ht="18" customHeight="1" x14ac:dyDescent="0.2">
      <c r="B23" s="1269" t="s">
        <v>1813</v>
      </c>
      <c r="C23" s="1894"/>
      <c r="D23" s="1884">
        <f>IF(SUM(Table5.D!H11)=0,"NO",SUM(Table5.D!H11))</f>
        <v>38.905374819239455</v>
      </c>
      <c r="E23" s="1884" t="str">
        <f>IF(SUM(Table5.D!I11:J11)=0,"IE",SUM(Table5.D!I11:J11))</f>
        <v>IE</v>
      </c>
      <c r="F23" s="2916" t="s">
        <v>205</v>
      </c>
      <c r="G23" s="2916" t="s">
        <v>205</v>
      </c>
      <c r="H23" s="2916">
        <v>211.51883303492147</v>
      </c>
      <c r="I23" s="2940"/>
      <c r="J23" s="1887">
        <f t="shared" si="4"/>
        <v>1089.3504949387047</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315106.42824677972</v>
      </c>
      <c r="D28" s="1903"/>
      <c r="E28" s="1903"/>
      <c r="F28" s="1903"/>
      <c r="G28" s="1903"/>
      <c r="H28" s="1903"/>
      <c r="I28" s="1904"/>
      <c r="J28" s="1907"/>
      <c r="K28"/>
      <c r="L28"/>
    </row>
    <row r="29" spans="2:12" ht="18" customHeight="1" x14ac:dyDescent="0.2">
      <c r="B29" s="4215" t="s">
        <v>1819</v>
      </c>
      <c r="C29" s="1905">
        <v>4226.1943576784934</v>
      </c>
      <c r="D29" s="1906"/>
      <c r="E29" s="1906"/>
      <c r="F29" s="1906"/>
      <c r="G29" s="1906"/>
      <c r="H29" s="1906"/>
      <c r="I29" s="1907"/>
      <c r="J29" s="1907"/>
      <c r="K29"/>
      <c r="L29"/>
    </row>
    <row r="30" spans="2:12" ht="18" customHeight="1" thickBot="1" x14ac:dyDescent="0.25">
      <c r="B30" s="4216" t="s">
        <v>1820</v>
      </c>
      <c r="C30" s="1899">
        <v>1918.0892158734448</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N13" sqref="N13"/>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19741.678555758241</v>
      </c>
      <c r="D10" s="3678"/>
      <c r="E10" s="4121">
        <f>IF(SUM(C10)=0,"NA",(F10-G10-H10)/C10)</f>
        <v>3.4064699069871446E-2</v>
      </c>
      <c r="F10" s="3679">
        <f>F11</f>
        <v>363.97022387146808</v>
      </c>
      <c r="G10" s="3679">
        <f>G11</f>
        <v>-56.991113546306309</v>
      </c>
      <c r="H10" s="3680">
        <f>H11</f>
        <v>-251.53300171826433</v>
      </c>
      <c r="I10" s="44"/>
    </row>
    <row r="11" spans="1:13" ht="18" customHeight="1" x14ac:dyDescent="0.2">
      <c r="B11" s="1753" t="s">
        <v>1834</v>
      </c>
      <c r="C11" s="3681">
        <f>IF(SUM(C13:C16)=0,"NO",SUM(C13:C16))</f>
        <v>19741.678555758241</v>
      </c>
      <c r="D11" s="3681">
        <v>1</v>
      </c>
      <c r="E11" s="4121">
        <f>IF(SUM(C11)=0,"NA",(F11-G11-H11)/C11)</f>
        <v>3.4064699069871446E-2</v>
      </c>
      <c r="F11" s="4227">
        <f>IF(SUM(F13:F16)=0,"NO",SUM(F13:F16))</f>
        <v>363.97022387146808</v>
      </c>
      <c r="G11" s="3682">
        <v>-56.991113546306309</v>
      </c>
      <c r="H11" s="3683">
        <v>-251.53300171826433</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11463.398828678395</v>
      </c>
      <c r="D13" s="3688">
        <v>1</v>
      </c>
      <c r="E13" s="4218" t="s">
        <v>274</v>
      </c>
      <c r="F13" s="3688">
        <v>14.910638634637889</v>
      </c>
      <c r="G13" s="3689"/>
      <c r="H13" s="3690"/>
      <c r="I13" s="44"/>
    </row>
    <row r="14" spans="1:13" ht="18" customHeight="1" x14ac:dyDescent="0.2">
      <c r="B14" s="1754" t="s">
        <v>1837</v>
      </c>
      <c r="C14" s="3688">
        <v>1977.7978491337244</v>
      </c>
      <c r="D14" s="3688">
        <v>1</v>
      </c>
      <c r="E14" s="3681" t="s">
        <v>274</v>
      </c>
      <c r="F14" s="3688">
        <v>131.88223944512274</v>
      </c>
      <c r="G14" s="3689"/>
      <c r="H14" s="3690"/>
      <c r="I14" s="44"/>
    </row>
    <row r="15" spans="1:13" ht="18" customHeight="1" x14ac:dyDescent="0.2">
      <c r="B15" s="1754" t="s">
        <v>1838</v>
      </c>
      <c r="C15" s="3688">
        <v>6300.4818779461211</v>
      </c>
      <c r="D15" s="3688">
        <v>1</v>
      </c>
      <c r="E15" s="4121" t="s">
        <v>274</v>
      </c>
      <c r="F15" s="3688">
        <v>217.17734579170747</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5986.4564312893226</v>
      </c>
      <c r="D10" s="1938">
        <f>IF(SUM($C10)=0,"NA",F10*1000/$C10)</f>
        <v>0.75000000000000011</v>
      </c>
      <c r="E10" s="1938">
        <f>IF(SUM($C10)=0,"NA",G10*1000/$C10)</f>
        <v>9.6000000000000058E-2</v>
      </c>
      <c r="F10" s="1934">
        <f>IF(SUM(F11:F12)=0,"NO",SUM(F11:F12))</f>
        <v>4.4898423234669931</v>
      </c>
      <c r="G10" s="1934">
        <f>IF(SUM(G11:G12)=0,"NO",SUM(G11:G12))</f>
        <v>0.57469981740377529</v>
      </c>
      <c r="H10" s="1935"/>
      <c r="I10" s="1936"/>
    </row>
    <row r="11" spans="1:9" ht="18" customHeight="1" x14ac:dyDescent="0.2">
      <c r="B11" s="1525" t="s">
        <v>1851</v>
      </c>
      <c r="C11" s="1937">
        <v>5986.4564312893226</v>
      </c>
      <c r="D11" s="1938">
        <f>IF(SUM($C11)=0,"NA",F11*1000/$C11)</f>
        <v>0.75000000000000011</v>
      </c>
      <c r="E11" s="1938">
        <f>IF(SUM($C11)=0,"NA",G11*1000/$C11)</f>
        <v>9.6000000000000058E-2</v>
      </c>
      <c r="F11" s="1937">
        <v>4.4898423234669931</v>
      </c>
      <c r="G11" s="1937">
        <v>0.57469981740377529</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21.711371390316344</v>
      </c>
      <c r="D10" s="2898">
        <f t="shared" ref="D10:D20" si="0">IF(SUM(G10)=0,"NA",G10*1000/$C10)</f>
        <v>1445.4823012513868</v>
      </c>
      <c r="E10" s="2898" t="str">
        <f t="shared" ref="E10:E20" si="1">IF(SUM(H10)=0,"NA",H10*1000/$C10)</f>
        <v>NA</v>
      </c>
      <c r="F10" s="2898" t="str">
        <f t="shared" ref="F10:F20" si="2">IF(SUM(I10)=0,"NA",I10*1000/$C10)</f>
        <v>NA</v>
      </c>
      <c r="G10" s="2898">
        <f>IF(SUM(G11,G21)=0,"NO",SUM(G11,G21))</f>
        <v>31.383403080597994</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21.711371390316344</v>
      </c>
      <c r="D21" s="116">
        <f>IF(SUM(G21)=0,"NA",G21*1000/$C21)</f>
        <v>1445.4823012513868</v>
      </c>
      <c r="E21" s="116" t="str">
        <f t="shared" ref="E21:F21" si="3">IF(SUM(H21)=0,"NA",H21*1000/$C21)</f>
        <v>NA</v>
      </c>
      <c r="F21" s="116" t="str">
        <f t="shared" si="3"/>
        <v>NA</v>
      </c>
      <c r="G21" s="2900">
        <f>IF(SUM(G22:G23)=0,"NO",SUM(G22:G23))</f>
        <v>31.383403080597994</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21.711371390316344</v>
      </c>
      <c r="D23" s="116">
        <f t="shared" si="4"/>
        <v>1445.4823012513868</v>
      </c>
      <c r="E23" s="151" t="str">
        <f t="shared" si="5"/>
        <v>NA</v>
      </c>
      <c r="F23" s="151" t="str">
        <f t="shared" si="6"/>
        <v>NA</v>
      </c>
      <c r="G23" s="151">
        <f>IF(SUM(G25:G30)=0,"NO",SUM(G25:G30))</f>
        <v>31.383403080597994</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16.097050804474197</v>
      </c>
      <c r="D27" s="116">
        <f t="shared" si="4"/>
        <v>880.00000000000023</v>
      </c>
      <c r="E27" s="116" t="str">
        <f t="shared" si="5"/>
        <v>NA</v>
      </c>
      <c r="F27" s="116" t="str">
        <f t="shared" si="6"/>
        <v>NA</v>
      </c>
      <c r="G27" s="2908">
        <v>14.165404707937297</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L11" sqref="L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25365.743999999999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32.459458740009616</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1478.7011449822419</v>
      </c>
      <c r="D10" s="3399">
        <v>1154.0430143336873</v>
      </c>
      <c r="E10" s="3399">
        <v>129.85712095231753</v>
      </c>
      <c r="F10" s="3400">
        <f>(SUM(H10)-SUM(K10:L10))/C10</f>
        <v>7.9064930972636158E-2</v>
      </c>
      <c r="G10" s="3400">
        <f>SUM(I10:J10)/E10/(44/28)</f>
        <v>3.7470450543725291E-3</v>
      </c>
      <c r="H10" s="3398">
        <v>51.768794640985888</v>
      </c>
      <c r="I10" s="3190">
        <v>0.76462647303340059</v>
      </c>
      <c r="J10" s="3190" t="s">
        <v>274</v>
      </c>
      <c r="K10" s="3401">
        <v>-15.953177025952002</v>
      </c>
      <c r="L10" s="2921">
        <v>-49.191432290241124</v>
      </c>
      <c r="M10"/>
      <c r="N10" s="1773" t="s">
        <v>1910</v>
      </c>
      <c r="O10" s="3403">
        <v>1</v>
      </c>
    </row>
    <row r="11" spans="1:15" ht="18" customHeight="1" x14ac:dyDescent="0.2">
      <c r="A11"/>
      <c r="B11" s="1752" t="s">
        <v>1813</v>
      </c>
      <c r="C11" s="3399">
        <v>705.06277678307163</v>
      </c>
      <c r="D11" s="3399">
        <v>130.55006522880765</v>
      </c>
      <c r="E11" s="699" t="s">
        <v>274</v>
      </c>
      <c r="F11" s="3134">
        <f>(SUM(H11)-SUM(K11:L11))/C11</f>
        <v>7.5650066179088649E-2</v>
      </c>
      <c r="G11" s="3134" t="s">
        <v>205</v>
      </c>
      <c r="H11" s="699">
        <v>38.905374819239455</v>
      </c>
      <c r="I11" s="699" t="s">
        <v>274</v>
      </c>
      <c r="J11" s="699" t="s">
        <v>274</v>
      </c>
      <c r="K11" s="3125" t="s">
        <v>274</v>
      </c>
      <c r="L11" s="2921">
        <v>-14.432670904811919</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39"/>
      <c r="C33" s="4540"/>
      <c r="D33" s="4540"/>
      <c r="E33" s="4540"/>
      <c r="F33" s="4540"/>
      <c r="G33" s="4540"/>
      <c r="H33" s="4540"/>
      <c r="I33" s="4540"/>
      <c r="J33" s="4540"/>
      <c r="K33" s="4540"/>
      <c r="L33" s="4541"/>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333156.89432967268</v>
      </c>
      <c r="D10" s="3798">
        <f t="shared" si="0"/>
        <v>4554.2619903454033</v>
      </c>
      <c r="E10" s="3798">
        <f t="shared" si="0"/>
        <v>71.466451863967137</v>
      </c>
      <c r="F10" s="3798">
        <f t="shared" si="0"/>
        <v>10688.479613937492</v>
      </c>
      <c r="G10" s="3798">
        <f t="shared" si="0"/>
        <v>273.50220639665866</v>
      </c>
      <c r="H10" s="3798" t="str">
        <f>IF(SUM(H11,H22,H31,H42,H51)=0,"NO",SUM(H11,H22,H31,H42,H51))</f>
        <v>NO</v>
      </c>
      <c r="I10" s="3798">
        <f t="shared" ref="I10:N10" si="1">IF(SUM(I11,I22,I31,I42,I51)=0,"NO",SUM(I11,I22,I31,I42,I51))</f>
        <v>5.4874417897203421E-3</v>
      </c>
      <c r="J10" s="3826" t="str">
        <f t="shared" si="1"/>
        <v>NO</v>
      </c>
      <c r="K10" s="3798">
        <f t="shared" si="1"/>
        <v>3456.5841609780791</v>
      </c>
      <c r="L10" s="3798">
        <f t="shared" si="1"/>
        <v>21257.552678294669</v>
      </c>
      <c r="M10" s="3798">
        <f t="shared" si="1"/>
        <v>1698.3269363632726</v>
      </c>
      <c r="N10" s="3799">
        <f t="shared" si="1"/>
        <v>2198.9770666080403</v>
      </c>
      <c r="O10" s="3800">
        <f>IF(SUM(C10:J10)=0,"NO",SUM(C10,F10:H10)+28*SUM(D10)+265*SUM(E10)+23500*SUM(I10)+16100*SUM(J10))</f>
        <v>490705.77650568786</v>
      </c>
    </row>
    <row r="11" spans="1:15" ht="18" customHeight="1" x14ac:dyDescent="0.25">
      <c r="B11" s="1116" t="s">
        <v>1921</v>
      </c>
      <c r="C11" s="2572">
        <f>Table1!C10</f>
        <v>393703.19259955682</v>
      </c>
      <c r="D11" s="3766">
        <f>Table1!D10</f>
        <v>1368.6661423837359</v>
      </c>
      <c r="E11" s="3766">
        <f>Table1!E10</f>
        <v>10.026258337755554</v>
      </c>
      <c r="F11" s="1553"/>
      <c r="G11" s="1553"/>
      <c r="H11" s="3714"/>
      <c r="I11" s="1553"/>
      <c r="J11" s="98"/>
      <c r="K11" s="3766">
        <f>Table1!F10</f>
        <v>2710.4931605129618</v>
      </c>
      <c r="L11" s="3713">
        <f>Table1!G10</f>
        <v>2169.3204007238619</v>
      </c>
      <c r="M11" s="3713">
        <f>Table1!H10</f>
        <v>760.956983223061</v>
      </c>
      <c r="N11" s="960">
        <f>Table1!I10</f>
        <v>630.56569130451521</v>
      </c>
      <c r="O11" s="3715">
        <f t="shared" ref="O11:O58" si="2">IF(SUM(C11:J11)=0,"NO",SUM(C11,F11:H11)+28*SUM(D11)+265*SUM(E11)+23500*SUM(I11)+16100*SUM(J11))</f>
        <v>434682.80304580665</v>
      </c>
    </row>
    <row r="12" spans="1:15" ht="18" customHeight="1" x14ac:dyDescent="0.25">
      <c r="B12" s="1369" t="s">
        <v>1922</v>
      </c>
      <c r="C12" s="3794">
        <f>Table1!C11</f>
        <v>373491.22235545854</v>
      </c>
      <c r="D12" s="617">
        <f>Table1!D11</f>
        <v>85.615374726864431</v>
      </c>
      <c r="E12" s="617">
        <f>Table1!E11</f>
        <v>9.7215363563324484</v>
      </c>
      <c r="F12" s="69"/>
      <c r="G12" s="69"/>
      <c r="H12" s="69"/>
      <c r="I12" s="69"/>
      <c r="J12" s="69"/>
      <c r="K12" s="617">
        <f>Table1!F11</f>
        <v>2705.7083695567908</v>
      </c>
      <c r="L12" s="617">
        <f>Table1!G11</f>
        <v>2141.7506372530693</v>
      </c>
      <c r="M12" s="617">
        <f>Table1!H11</f>
        <v>522.66171377907335</v>
      </c>
      <c r="N12" s="619">
        <f>Table1!I11</f>
        <v>630.56569130451521</v>
      </c>
      <c r="O12" s="3716">
        <f t="shared" si="2"/>
        <v>378464.65998223884</v>
      </c>
    </row>
    <row r="13" spans="1:15" ht="18" customHeight="1" x14ac:dyDescent="0.25">
      <c r="B13" s="1370" t="s">
        <v>1923</v>
      </c>
      <c r="C13" s="3794">
        <f>Table1!C12</f>
        <v>211944.24017957889</v>
      </c>
      <c r="D13" s="617">
        <f>Table1!D12</f>
        <v>34.757911031528934</v>
      </c>
      <c r="E13" s="617">
        <f>Table1!E12</f>
        <v>3.0053656507787929</v>
      </c>
      <c r="F13" s="69"/>
      <c r="G13" s="69"/>
      <c r="H13" s="69"/>
      <c r="I13" s="69"/>
      <c r="J13" s="69"/>
      <c r="K13" s="617">
        <f>Table1!F12</f>
        <v>1218.3187593919799</v>
      </c>
      <c r="L13" s="617">
        <f>Table1!G12</f>
        <v>296.25013628483714</v>
      </c>
      <c r="M13" s="617">
        <f>Table1!H12</f>
        <v>80.80667684250534</v>
      </c>
      <c r="N13" s="619">
        <f>Table1!I12</f>
        <v>531.22658146534889</v>
      </c>
      <c r="O13" s="3717">
        <f t="shared" si="2"/>
        <v>213713.88358591808</v>
      </c>
    </row>
    <row r="14" spans="1:15" ht="18" customHeight="1" x14ac:dyDescent="0.25">
      <c r="B14" s="1370" t="s">
        <v>1924</v>
      </c>
      <c r="C14" s="3794">
        <f>Table1!C16</f>
        <v>41337.502229621896</v>
      </c>
      <c r="D14" s="3718">
        <f>Table1!D16</f>
        <v>2.3274254706323974</v>
      </c>
      <c r="E14" s="3718">
        <f>Table1!E16</f>
        <v>1.4719252359707578</v>
      </c>
      <c r="F14" s="3719"/>
      <c r="G14" s="3719"/>
      <c r="H14" s="3719"/>
      <c r="I14" s="3719"/>
      <c r="J14" s="69"/>
      <c r="K14" s="3718">
        <f>Table1!F16</f>
        <v>806.3016843929845</v>
      </c>
      <c r="L14" s="3718">
        <f>Table1!G16</f>
        <v>255.37399400296394</v>
      </c>
      <c r="M14" s="3718">
        <f>Table1!H16</f>
        <v>106.50277110439154</v>
      </c>
      <c r="N14" s="3720">
        <f>Table1!I16</f>
        <v>61.739283122959691</v>
      </c>
      <c r="O14" s="3721">
        <f t="shared" si="2"/>
        <v>41792.730330331855</v>
      </c>
    </row>
    <row r="15" spans="1:15" ht="18" customHeight="1" x14ac:dyDescent="0.25">
      <c r="B15" s="1370" t="s">
        <v>1925</v>
      </c>
      <c r="C15" s="3794">
        <f>Table1!C24</f>
        <v>98631.003512585303</v>
      </c>
      <c r="D15" s="617">
        <f>Table1!D24</f>
        <v>13.003303367485842</v>
      </c>
      <c r="E15" s="617">
        <f>Table1!E24</f>
        <v>4.563109897918153</v>
      </c>
      <c r="F15" s="69"/>
      <c r="G15" s="69"/>
      <c r="H15" s="69"/>
      <c r="I15" s="69"/>
      <c r="J15" s="69"/>
      <c r="K15" s="617">
        <f>Table1!F24</f>
        <v>305.61359938368622</v>
      </c>
      <c r="L15" s="617">
        <f>Table1!G24</f>
        <v>958.36775639184611</v>
      </c>
      <c r="M15" s="617">
        <f>Table1!H24</f>
        <v>223.76744491015717</v>
      </c>
      <c r="N15" s="619">
        <f>Table1!I24</f>
        <v>29.560236696188021</v>
      </c>
      <c r="O15" s="3717">
        <f t="shared" si="2"/>
        <v>100204.32012982322</v>
      </c>
    </row>
    <row r="16" spans="1:15" ht="18" customHeight="1" x14ac:dyDescent="0.25">
      <c r="B16" s="1370" t="s">
        <v>1926</v>
      </c>
      <c r="C16" s="3794">
        <f>Table1!C30</f>
        <v>20793.450536002136</v>
      </c>
      <c r="D16" s="617">
        <f>Table1!D30</f>
        <v>35.494594631743318</v>
      </c>
      <c r="E16" s="617">
        <f>Table1!E30</f>
        <v>0.65923467600729879</v>
      </c>
      <c r="F16" s="69"/>
      <c r="G16" s="69"/>
      <c r="H16" s="69"/>
      <c r="I16" s="69"/>
      <c r="J16" s="69"/>
      <c r="K16" s="617">
        <f>Table1!F30</f>
        <v>368.55016100658901</v>
      </c>
      <c r="L16" s="617">
        <f>Table1!G30</f>
        <v>628.65583388107166</v>
      </c>
      <c r="M16" s="617">
        <f>Table1!H30</f>
        <v>111.09558853778998</v>
      </c>
      <c r="N16" s="619">
        <f>Table1!I30</f>
        <v>7.7725082251718858</v>
      </c>
      <c r="O16" s="3717">
        <f t="shared" si="2"/>
        <v>21961.996374832885</v>
      </c>
    </row>
    <row r="17" spans="2:15" ht="18" customHeight="1" x14ac:dyDescent="0.25">
      <c r="B17" s="1370" t="s">
        <v>1927</v>
      </c>
      <c r="C17" s="3794">
        <f>Table1!C34</f>
        <v>785.02589767037421</v>
      </c>
      <c r="D17" s="617">
        <f>Table1!D34</f>
        <v>3.2140225473938654E-2</v>
      </c>
      <c r="E17" s="617">
        <f>Table1!E34</f>
        <v>2.1900895657446368E-2</v>
      </c>
      <c r="F17" s="69"/>
      <c r="G17" s="69"/>
      <c r="H17" s="69"/>
      <c r="I17" s="69"/>
      <c r="J17" s="69"/>
      <c r="K17" s="617">
        <f>Table1!F34</f>
        <v>6.924165381551175</v>
      </c>
      <c r="L17" s="617">
        <f>Table1!G34</f>
        <v>3.1029166923502141</v>
      </c>
      <c r="M17" s="617">
        <f>Table1!H34</f>
        <v>0.48923238422931581</v>
      </c>
      <c r="N17" s="619">
        <f>Table1!I34</f>
        <v>0.26708179484671674</v>
      </c>
      <c r="O17" s="3717">
        <f t="shared" si="2"/>
        <v>791.72956133286777</v>
      </c>
    </row>
    <row r="18" spans="2:15" ht="18" customHeight="1" x14ac:dyDescent="0.25">
      <c r="B18" s="1369" t="s">
        <v>201</v>
      </c>
      <c r="C18" s="3711">
        <f>Table1!C37</f>
        <v>20211.970244098262</v>
      </c>
      <c r="D18" s="3795">
        <f>Table1!D37</f>
        <v>1283.0507676568714</v>
      </c>
      <c r="E18" s="3795">
        <f>Table1!E37</f>
        <v>0.30472198142310525</v>
      </c>
      <c r="F18" s="69"/>
      <c r="G18" s="69"/>
      <c r="H18" s="69"/>
      <c r="I18" s="69"/>
      <c r="J18" s="69"/>
      <c r="K18" s="3795">
        <f>Table1!F37</f>
        <v>4.7847909561711077</v>
      </c>
      <c r="L18" s="617">
        <f>Table1!G37</f>
        <v>27.569763470792427</v>
      </c>
      <c r="M18" s="617">
        <f>Table1!H37</f>
        <v>238.29526944398768</v>
      </c>
      <c r="N18" s="619" t="str">
        <f>Table1!I37</f>
        <v>NO</v>
      </c>
      <c r="O18" s="3717">
        <f t="shared" si="2"/>
        <v>56218.14306356779</v>
      </c>
    </row>
    <row r="19" spans="2:15" ht="18" customHeight="1" x14ac:dyDescent="0.25">
      <c r="B19" s="1370" t="s">
        <v>1928</v>
      </c>
      <c r="C19" s="3712">
        <f>Table1!C38</f>
        <v>2062.3470403633114</v>
      </c>
      <c r="D19" s="3722">
        <f>Table1!D38</f>
        <v>976.07213624065889</v>
      </c>
      <c r="E19" s="3795">
        <f>Table1!E38</f>
        <v>1.327348684102706E-3</v>
      </c>
      <c r="F19" s="69"/>
      <c r="G19" s="69"/>
      <c r="H19" s="69"/>
      <c r="I19" s="69"/>
      <c r="J19" s="69"/>
      <c r="K19" s="3795" t="str">
        <f>Table1!F38</f>
        <v>NO</v>
      </c>
      <c r="L19" s="617" t="str">
        <f>Table1!G38</f>
        <v>NO</v>
      </c>
      <c r="M19" s="617" t="str">
        <f>Table1!H38</f>
        <v>NO</v>
      </c>
      <c r="N19" s="619" t="str">
        <f>Table1!I38</f>
        <v>NO</v>
      </c>
      <c r="O19" s="3717">
        <f t="shared" si="2"/>
        <v>29392.71860250305</v>
      </c>
    </row>
    <row r="20" spans="2:15" ht="18" customHeight="1" x14ac:dyDescent="0.25">
      <c r="B20" s="1371" t="s">
        <v>1929</v>
      </c>
      <c r="C20" s="3712">
        <f>Table1!C42</f>
        <v>18149.623203734951</v>
      </c>
      <c r="D20" s="3796">
        <f>Table1!D42</f>
        <v>306.97863141621258</v>
      </c>
      <c r="E20" s="3795">
        <f>Table1!E42</f>
        <v>0.30339463273900252</v>
      </c>
      <c r="F20" s="3719"/>
      <c r="G20" s="3719"/>
      <c r="H20" s="3719"/>
      <c r="I20" s="3719"/>
      <c r="J20" s="69"/>
      <c r="K20" s="3795">
        <f>Table1!F42</f>
        <v>4.7847909561711077</v>
      </c>
      <c r="L20" s="3718">
        <f>Table1!G42</f>
        <v>27.569763470792427</v>
      </c>
      <c r="M20" s="3718">
        <f>Table1!H42</f>
        <v>238.29526944398768</v>
      </c>
      <c r="N20" s="3720" t="str">
        <f>Table1!I42</f>
        <v>NO</v>
      </c>
      <c r="O20" s="3721">
        <f t="shared" si="2"/>
        <v>26825.42446106474</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19369.841919175869</v>
      </c>
      <c r="D22" s="3727">
        <f>'Table2(I)'!D10</f>
        <v>2.8812401145691959</v>
      </c>
      <c r="E22" s="3728">
        <f>'Table2(I)'!E10</f>
        <v>7.5315206750354031</v>
      </c>
      <c r="F22" s="3713">
        <f>'Table2(I)'!F10</f>
        <v>10688.479613937492</v>
      </c>
      <c r="G22" s="3713">
        <f>'Table2(I)'!G10</f>
        <v>273.50220639665866</v>
      </c>
      <c r="H22" s="3713" t="str">
        <f>'Table2(I)'!H10</f>
        <v>NO</v>
      </c>
      <c r="I22" s="3713">
        <f>'Table2(I)'!I10</f>
        <v>5.4874417897203421E-3</v>
      </c>
      <c r="J22" s="3713" t="str">
        <f>'Table2(I)'!J10</f>
        <v>NO</v>
      </c>
      <c r="K22" s="3713">
        <f>'Table2(I)'!K10</f>
        <v>7.2729915811877968</v>
      </c>
      <c r="L22" s="3713">
        <f>'Table2(I)'!L10</f>
        <v>17.286302902719687</v>
      </c>
      <c r="M22" s="3713">
        <f>'Table2(I)'!M10</f>
        <v>248.34587350446003</v>
      </c>
      <c r="N22" s="960">
        <f>'Table2(I)'!N10</f>
        <v>1568.4113753035251</v>
      </c>
      <c r="O22" s="3715">
        <f t="shared" si="2"/>
        <v>32537.306323660763</v>
      </c>
    </row>
    <row r="23" spans="2:15" ht="18" customHeight="1" x14ac:dyDescent="0.25">
      <c r="B23" s="1129" t="s">
        <v>1932</v>
      </c>
      <c r="C23" s="3729">
        <f>'Table2(I)'!C11</f>
        <v>5588.8987343287281</v>
      </c>
      <c r="D23" s="3730"/>
      <c r="E23" s="98"/>
      <c r="F23" s="98"/>
      <c r="G23" s="98"/>
      <c r="H23" s="98"/>
      <c r="I23" s="98"/>
      <c r="J23" s="69"/>
      <c r="K23" s="620" t="str">
        <f>'Table2(I)'!K11</f>
        <v>NO</v>
      </c>
      <c r="L23" s="620" t="str">
        <f>'Table2(I)'!L11</f>
        <v>NO</v>
      </c>
      <c r="M23" s="620" t="str">
        <f>'Table2(I)'!M11</f>
        <v>NO</v>
      </c>
      <c r="N23" s="622" t="str">
        <f>'Table2(I)'!N11</f>
        <v>NO</v>
      </c>
      <c r="O23" s="3716">
        <f t="shared" si="2"/>
        <v>5588.8987343287281</v>
      </c>
    </row>
    <row r="24" spans="2:15" ht="18" customHeight="1" x14ac:dyDescent="0.25">
      <c r="B24" s="1129" t="s">
        <v>846</v>
      </c>
      <c r="C24" s="3729">
        <f>'Table2(I)'!C16</f>
        <v>2820.7714109988174</v>
      </c>
      <c r="D24" s="3731">
        <f>'Table2(I)'!D16</f>
        <v>0.43359999999999999</v>
      </c>
      <c r="E24" s="3732">
        <f>'Table2(I)'!E16</f>
        <v>7.4754004933564833</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4813.893341738285</v>
      </c>
    </row>
    <row r="25" spans="2:15" ht="18" customHeight="1" x14ac:dyDescent="0.25">
      <c r="B25" s="1129" t="s">
        <v>637</v>
      </c>
      <c r="C25" s="3729">
        <f>'Table2(I)'!C27</f>
        <v>10558.578640061036</v>
      </c>
      <c r="D25" s="3731">
        <f>'Table2(I)'!D27</f>
        <v>2.4476401145691962</v>
      </c>
      <c r="E25" s="3732">
        <f>'Table2(I)'!E27</f>
        <v>5.6120181678920168E-2</v>
      </c>
      <c r="F25" s="617" t="str">
        <f>'Table2(I)'!F27</f>
        <v>NO</v>
      </c>
      <c r="G25" s="617">
        <f>'Table2(I)'!G27</f>
        <v>273.50220639665866</v>
      </c>
      <c r="H25" s="617" t="str">
        <f>'Table2(I)'!H27</f>
        <v>NO</v>
      </c>
      <c r="I25" s="617" t="str">
        <f>'Table2(I)'!I27</f>
        <v>NO</v>
      </c>
      <c r="J25" s="617" t="str">
        <f>'Table2(I)'!J27</f>
        <v>NO</v>
      </c>
      <c r="K25" s="617">
        <f>'Table2(I)'!K27</f>
        <v>7.2729915811877968</v>
      </c>
      <c r="L25" s="617">
        <f>'Table2(I)'!L27</f>
        <v>17.286302902719687</v>
      </c>
      <c r="M25" s="617">
        <f>'Table2(I)'!M27</f>
        <v>6.8354071844901304E-2</v>
      </c>
      <c r="N25" s="619">
        <f>'Table2(I)'!N27</f>
        <v>1568.4113753035251</v>
      </c>
      <c r="O25" s="3717">
        <f t="shared" si="2"/>
        <v>10915.486617810546</v>
      </c>
    </row>
    <row r="26" spans="2:15" ht="18" customHeight="1" x14ac:dyDescent="0.25">
      <c r="B26" s="1129" t="s">
        <v>1933</v>
      </c>
      <c r="C26" s="3729">
        <f>'Table2(I)'!C35</f>
        <v>182.59849860500003</v>
      </c>
      <c r="D26" s="3733" t="str">
        <f>'Table2(I)'!D35</f>
        <v>NO</v>
      </c>
      <c r="E26" s="602" t="str">
        <f>'Table2(I)'!E35</f>
        <v>NO</v>
      </c>
      <c r="F26" s="69"/>
      <c r="G26" s="69"/>
      <c r="H26" s="69"/>
      <c r="I26" s="69"/>
      <c r="J26" s="69"/>
      <c r="K26" s="602" t="str">
        <f>'Table2(I)'!K35</f>
        <v>NO</v>
      </c>
      <c r="L26" s="3732" t="str">
        <f>'Table2(I)'!L35</f>
        <v>NO</v>
      </c>
      <c r="M26" s="3732">
        <f>'Table2(I)'!M35</f>
        <v>193.44068575921932</v>
      </c>
      <c r="N26" s="3734" t="str">
        <f>'Table2(I)'!N35</f>
        <v>NO</v>
      </c>
      <c r="O26" s="3717">
        <f t="shared" si="2"/>
        <v>182.59849860500003</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10688.479613937492</v>
      </c>
      <c r="G28" s="3718" t="str">
        <f>'Table2(I)'!G45</f>
        <v>NO</v>
      </c>
      <c r="H28" s="3718" t="str">
        <f>'Table2(I)'!H45</f>
        <v>NO</v>
      </c>
      <c r="I28" s="3718" t="str">
        <f>'Table2(I)'!I45</f>
        <v>NO</v>
      </c>
      <c r="J28" s="3718" t="str">
        <f>'Table2(I)'!J45</f>
        <v>NO</v>
      </c>
      <c r="K28" s="3719"/>
      <c r="L28" s="3719"/>
      <c r="M28" s="3719"/>
      <c r="N28" s="3738"/>
      <c r="O28" s="3721">
        <f t="shared" si="2"/>
        <v>10688.479613937492</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5.4874417897203421E-3</v>
      </c>
      <c r="J29" s="602" t="str">
        <f>'Table2(I)'!J52</f>
        <v>NO</v>
      </c>
      <c r="K29" s="3741" t="str">
        <f>'Table2(I)'!K52</f>
        <v>NO</v>
      </c>
      <c r="L29" s="3741" t="str">
        <f>'Table2(I)'!L52</f>
        <v>NO</v>
      </c>
      <c r="M29" s="3741" t="str">
        <f>'Table2(I)'!M52</f>
        <v>NO</v>
      </c>
      <c r="N29" s="3742" t="str">
        <f>'Table2(I)'!N52</f>
        <v>NO</v>
      </c>
      <c r="O29" s="3721">
        <f t="shared" si="2"/>
        <v>128.95488205842804</v>
      </c>
    </row>
    <row r="30" spans="2:15" ht="18" customHeight="1" thickBot="1" x14ac:dyDescent="0.3">
      <c r="B30" s="1374" t="s">
        <v>1936</v>
      </c>
      <c r="C30" s="3743">
        <f>'Table2(I)'!C57</f>
        <v>218.99463518228731</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51.994272992695819</v>
      </c>
      <c r="N30" s="3746" t="str">
        <f>'Table2(I)'!N57</f>
        <v>NA</v>
      </c>
      <c r="O30" s="3747">
        <f t="shared" si="2"/>
        <v>218.99463518228731</v>
      </c>
    </row>
    <row r="31" spans="2:15" ht="18" customHeight="1" x14ac:dyDescent="0.25">
      <c r="B31" s="1130" t="s">
        <v>1937</v>
      </c>
      <c r="C31" s="3789">
        <f>Table3!C10</f>
        <v>2665.3844979798414</v>
      </c>
      <c r="D31" s="3748">
        <f>Table3!D10</f>
        <v>2164.8090834433206</v>
      </c>
      <c r="E31" s="3749">
        <f>Table3!E10</f>
        <v>39.497358895608237</v>
      </c>
      <c r="F31" s="3750"/>
      <c r="G31" s="3750"/>
      <c r="H31" s="3750"/>
      <c r="I31" s="3750"/>
      <c r="J31" s="3750"/>
      <c r="K31" s="3751">
        <f>Table3!F10</f>
        <v>13.120419457069287</v>
      </c>
      <c r="L31" s="3751">
        <f>Table3!G10</f>
        <v>212.86515801270244</v>
      </c>
      <c r="M31" s="3751">
        <f>Table3!H10</f>
        <v>12.417134217407639</v>
      </c>
      <c r="N31" s="3752" t="str">
        <f>Table3!I10</f>
        <v>NO</v>
      </c>
      <c r="O31" s="3716">
        <f t="shared" si="2"/>
        <v>73746.838941729002</v>
      </c>
    </row>
    <row r="32" spans="2:15" ht="18" customHeight="1" x14ac:dyDescent="0.25">
      <c r="B32" s="1131" t="s">
        <v>1938</v>
      </c>
      <c r="C32" s="3735"/>
      <c r="D32" s="3753">
        <f>Table3!D11</f>
        <v>1928.3744257651504</v>
      </c>
      <c r="E32" s="98"/>
      <c r="F32" s="3754"/>
      <c r="G32" s="3754"/>
      <c r="H32" s="3730"/>
      <c r="I32" s="3754"/>
      <c r="J32" s="3730"/>
      <c r="K32" s="98"/>
      <c r="L32" s="98"/>
      <c r="M32" s="98"/>
      <c r="N32" s="3755"/>
      <c r="O32" s="3716">
        <f t="shared" si="2"/>
        <v>53994.483921424209</v>
      </c>
    </row>
    <row r="33" spans="2:15" ht="18" customHeight="1" x14ac:dyDescent="0.25">
      <c r="B33" s="1131" t="s">
        <v>1939</v>
      </c>
      <c r="C33" s="3735"/>
      <c r="D33" s="3722">
        <f>Table3!D21</f>
        <v>229.71581398064342</v>
      </c>
      <c r="E33" s="3722">
        <f>Table3!E21</f>
        <v>2.3463281826165221</v>
      </c>
      <c r="F33" s="3754"/>
      <c r="G33" s="3754"/>
      <c r="H33" s="3754"/>
      <c r="I33" s="3754"/>
      <c r="J33" s="3754"/>
      <c r="K33" s="69"/>
      <c r="L33" s="69"/>
      <c r="M33" s="3756" t="str">
        <f>Table3!H21</f>
        <v>NE</v>
      </c>
      <c r="N33" s="3757"/>
      <c r="O33" s="3717">
        <f t="shared" si="2"/>
        <v>7053.8197598513943</v>
      </c>
    </row>
    <row r="34" spans="2:15" ht="18" customHeight="1" x14ac:dyDescent="0.25">
      <c r="B34" s="1131" t="s">
        <v>1940</v>
      </c>
      <c r="C34" s="3735"/>
      <c r="D34" s="3722">
        <f>Table3!D32</f>
        <v>1.2607627228417353</v>
      </c>
      <c r="E34" s="69"/>
      <c r="F34" s="3754"/>
      <c r="G34" s="3754"/>
      <c r="H34" s="3754"/>
      <c r="I34" s="3754"/>
      <c r="J34" s="3754"/>
      <c r="K34" s="69"/>
      <c r="L34" s="69"/>
      <c r="M34" s="3756" t="str">
        <f>Table3!H32</f>
        <v>NE</v>
      </c>
      <c r="N34" s="3757"/>
      <c r="O34" s="3717">
        <f t="shared" si="2"/>
        <v>35.301356239568591</v>
      </c>
    </row>
    <row r="35" spans="2:15" ht="18" customHeight="1" x14ac:dyDescent="0.25">
      <c r="B35" s="1131" t="s">
        <v>1941</v>
      </c>
      <c r="C35" s="3758"/>
      <c r="D35" s="3722" t="str">
        <f>Table3!D33</f>
        <v>NE</v>
      </c>
      <c r="E35" s="3722">
        <f>Table3!E33</f>
        <v>36.923936082223392</v>
      </c>
      <c r="F35" s="3754"/>
      <c r="G35" s="3754"/>
      <c r="H35" s="3754"/>
      <c r="I35" s="3754"/>
      <c r="J35" s="3754"/>
      <c r="K35" s="3756" t="str">
        <f>Table3!F33</f>
        <v>NO</v>
      </c>
      <c r="L35" s="3756" t="str">
        <f>Table3!G33</f>
        <v>NO</v>
      </c>
      <c r="M35" s="3756" t="str">
        <f>Table3!H33</f>
        <v>NO</v>
      </c>
      <c r="N35" s="3757"/>
      <c r="O35" s="3717">
        <f t="shared" si="2"/>
        <v>9784.8430617891991</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5.4580809746846759</v>
      </c>
      <c r="E37" s="3722">
        <f>Table3!E44</f>
        <v>0.22709463076832143</v>
      </c>
      <c r="F37" s="3754"/>
      <c r="G37" s="3754"/>
      <c r="H37" s="3754"/>
      <c r="I37" s="3754"/>
      <c r="J37" s="3754"/>
      <c r="K37" s="3756">
        <f>Table3!F44</f>
        <v>13.120419457069287</v>
      </c>
      <c r="L37" s="3756">
        <f>Table3!G44</f>
        <v>212.86515801270244</v>
      </c>
      <c r="M37" s="3756">
        <f>Table3!H44</f>
        <v>12.417134217407639</v>
      </c>
      <c r="N37" s="3756" t="str">
        <f>Table3!I44</f>
        <v>NO</v>
      </c>
      <c r="O37" s="3717">
        <f t="shared" si="2"/>
        <v>213.00634444477609</v>
      </c>
    </row>
    <row r="38" spans="2:15" ht="18" customHeight="1" x14ac:dyDescent="0.25">
      <c r="B38" s="1132" t="s">
        <v>955</v>
      </c>
      <c r="C38" s="3739">
        <f>Table3!C45</f>
        <v>1318.3866247265748</v>
      </c>
      <c r="D38" s="3759"/>
      <c r="E38" s="3759"/>
      <c r="F38" s="3736"/>
      <c r="G38" s="3736"/>
      <c r="H38" s="3736"/>
      <c r="I38" s="3736"/>
      <c r="J38" s="3736"/>
      <c r="K38" s="3760"/>
      <c r="L38" s="3760"/>
      <c r="M38" s="3760"/>
      <c r="N38" s="3738"/>
      <c r="O38" s="3721">
        <f t="shared" si="2"/>
        <v>1318.3866247265748</v>
      </c>
    </row>
    <row r="39" spans="2:15" ht="18" customHeight="1" x14ac:dyDescent="0.25">
      <c r="B39" s="1132" t="s">
        <v>956</v>
      </c>
      <c r="C39" s="3761">
        <f>Table3!C46</f>
        <v>1346.9978732532668</v>
      </c>
      <c r="D39" s="3759"/>
      <c r="E39" s="3759"/>
      <c r="F39" s="3736"/>
      <c r="G39" s="3736"/>
      <c r="H39" s="3736"/>
      <c r="I39" s="3736"/>
      <c r="J39" s="3736"/>
      <c r="K39" s="3760"/>
      <c r="L39" s="3760"/>
      <c r="M39" s="3760"/>
      <c r="N39" s="3738"/>
      <c r="O39" s="3721">
        <f t="shared" si="2"/>
        <v>1346.9978732532668</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-82612.9080901204</v>
      </c>
      <c r="D42" s="3765">
        <f>Table4!D10</f>
        <v>558.77128874861694</v>
      </c>
      <c r="E42" s="3766">
        <f>Table4!E10</f>
        <v>13.071987665130774</v>
      </c>
      <c r="F42" s="3750"/>
      <c r="G42" s="3750"/>
      <c r="H42" s="3750"/>
      <c r="I42" s="3750"/>
      <c r="J42" s="3750"/>
      <c r="K42" s="3767">
        <f>Table4!F10</f>
        <v>725.69758942686053</v>
      </c>
      <c r="L42" s="3767">
        <f>Table4!G10</f>
        <v>18858.080816655383</v>
      </c>
      <c r="M42" s="3767">
        <f>Table4!H10</f>
        <v>453.75913082960778</v>
      </c>
      <c r="N42" s="3768" t="str">
        <f>N50</f>
        <v>NO</v>
      </c>
      <c r="O42" s="3715">
        <f t="shared" si="2"/>
        <v>-63503.235273899467</v>
      </c>
    </row>
    <row r="43" spans="2:15" ht="18" customHeight="1" x14ac:dyDescent="0.25">
      <c r="B43" s="1131" t="s">
        <v>1947</v>
      </c>
      <c r="C43" s="3769">
        <f>Table4!C11</f>
        <v>-76411.357434243488</v>
      </c>
      <c r="D43" s="3770">
        <f>Table4!D11</f>
        <v>242.24789527937753</v>
      </c>
      <c r="E43" s="3771">
        <f>Table4!E11</f>
        <v>4.9559777685075073</v>
      </c>
      <c r="F43" s="3736"/>
      <c r="G43" s="3736"/>
      <c r="H43" s="3736"/>
      <c r="I43" s="3736"/>
      <c r="J43" s="3736"/>
      <c r="K43" s="3756">
        <f>Table4!F11</f>
        <v>252.92293556624912</v>
      </c>
      <c r="L43" s="3756">
        <f>Table4!G11</f>
        <v>6764.2519223103154</v>
      </c>
      <c r="M43" s="3756">
        <f>Table4!H11</f>
        <v>221.22487751522758</v>
      </c>
      <c r="N43" s="3772"/>
      <c r="O43" s="3773">
        <f t="shared" si="2"/>
        <v>-68315.082257766437</v>
      </c>
    </row>
    <row r="44" spans="2:15" ht="18" customHeight="1" x14ac:dyDescent="0.25">
      <c r="B44" s="1131" t="s">
        <v>1948</v>
      </c>
      <c r="C44" s="3769">
        <f>Table4!C14</f>
        <v>-6646.2328176163528</v>
      </c>
      <c r="D44" s="3774">
        <f>Table4!D14</f>
        <v>0.68685201769537774</v>
      </c>
      <c r="E44" s="3774">
        <f>Table4!E14</f>
        <v>8.0246418046379928E-2</v>
      </c>
      <c r="F44" s="3754"/>
      <c r="G44" s="3754"/>
      <c r="H44" s="3754"/>
      <c r="I44" s="3754"/>
      <c r="J44" s="3754"/>
      <c r="K44" s="3756">
        <f>Table4!F14</f>
        <v>0.51718321570515047</v>
      </c>
      <c r="L44" s="3756">
        <f>Table4!G14</f>
        <v>20.255774781109057</v>
      </c>
      <c r="M44" s="3756">
        <f>Table4!H14</f>
        <v>2.4485002482659293</v>
      </c>
      <c r="N44" s="3775"/>
      <c r="O44" s="3717">
        <f t="shared" si="2"/>
        <v>-6605.7356603385915</v>
      </c>
    </row>
    <row r="45" spans="2:15" ht="18" customHeight="1" x14ac:dyDescent="0.25">
      <c r="B45" s="1131" t="s">
        <v>1949</v>
      </c>
      <c r="C45" s="3769">
        <f>Table4!C17</f>
        <v>2761.1416737145264</v>
      </c>
      <c r="D45" s="3774">
        <f>Table4!D17</f>
        <v>241.31513810597667</v>
      </c>
      <c r="E45" s="3774">
        <f>Table4!E17</f>
        <v>7.4557664762049276</v>
      </c>
      <c r="F45" s="3754"/>
      <c r="G45" s="3754"/>
      <c r="H45" s="3754"/>
      <c r="I45" s="3754"/>
      <c r="J45" s="3754"/>
      <c r="K45" s="3756">
        <f>Table4!F17</f>
        <v>446.25464441805866</v>
      </c>
      <c r="L45" s="3756">
        <f>Table4!G17</f>
        <v>11441.056638932689</v>
      </c>
      <c r="M45" s="3756">
        <f>Table4!H17</f>
        <v>226.8901058941297</v>
      </c>
      <c r="N45" s="3775"/>
      <c r="O45" s="3717">
        <f t="shared" si="2"/>
        <v>11493.743656876179</v>
      </c>
    </row>
    <row r="46" spans="2:15" ht="18" customHeight="1" x14ac:dyDescent="0.25">
      <c r="B46" s="1131" t="s">
        <v>1950</v>
      </c>
      <c r="C46" s="3769">
        <f>Table4!C20</f>
        <v>-501.11408142992371</v>
      </c>
      <c r="D46" s="3774">
        <f>Table4!D20</f>
        <v>73.734638618043761</v>
      </c>
      <c r="E46" s="3774">
        <f>Table4!E20</f>
        <v>0.3528702338577468</v>
      </c>
      <c r="F46" s="3754"/>
      <c r="G46" s="3754"/>
      <c r="H46" s="3754"/>
      <c r="I46" s="3754"/>
      <c r="J46" s="3754"/>
      <c r="K46" s="3756">
        <f>Table4!F20</f>
        <v>25.410411119515736</v>
      </c>
      <c r="L46" s="3756">
        <f>Table4!G20</f>
        <v>609.31420602791366</v>
      </c>
      <c r="M46" s="3756">
        <f>Table4!H20</f>
        <v>0.39097661553457802</v>
      </c>
      <c r="N46" s="3775"/>
      <c r="O46" s="3717">
        <f t="shared" si="2"/>
        <v>1656.9664118476046</v>
      </c>
    </row>
    <row r="47" spans="2:15" ht="18" customHeight="1" x14ac:dyDescent="0.25">
      <c r="B47" s="1131" t="s">
        <v>1951</v>
      </c>
      <c r="C47" s="3769">
        <f>Table4!C23</f>
        <v>3137.0733845727173</v>
      </c>
      <c r="D47" s="3774">
        <f>Table4!D23</f>
        <v>0.78676472752364179</v>
      </c>
      <c r="E47" s="3776">
        <f>Table4!E23</f>
        <v>2.9538969942783842E-2</v>
      </c>
      <c r="F47" s="3754"/>
      <c r="G47" s="3754"/>
      <c r="H47" s="3754"/>
      <c r="I47" s="3754"/>
      <c r="J47" s="3754"/>
      <c r="K47" s="3756">
        <f>Table4!F23</f>
        <v>0.59241510733178981</v>
      </c>
      <c r="L47" s="3756">
        <f>Table4!G23</f>
        <v>23.202274603359253</v>
      </c>
      <c r="M47" s="3756">
        <f>Table4!H23</f>
        <v>2.8046705564500192</v>
      </c>
      <c r="N47" s="1842"/>
      <c r="O47" s="3717">
        <f t="shared" si="2"/>
        <v>3166.9306239782172</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-4952.4188151178632</v>
      </c>
      <c r="D49" s="3736"/>
      <c r="E49" s="3736"/>
      <c r="F49" s="3736"/>
      <c r="G49" s="3736"/>
      <c r="H49" s="3736"/>
      <c r="I49" s="3736"/>
      <c r="J49" s="3736"/>
      <c r="K49" s="3736"/>
      <c r="L49" s="3736"/>
      <c r="M49" s="3736"/>
      <c r="N49" s="3781"/>
      <c r="O49" s="3721">
        <f t="shared" si="2"/>
        <v>-4952.4188151178632</v>
      </c>
    </row>
    <row r="50" spans="2:15" ht="18" customHeight="1" thickBot="1" x14ac:dyDescent="0.3">
      <c r="B50" s="1375" t="s">
        <v>1954</v>
      </c>
      <c r="C50" s="3782" t="str">
        <f>Table4!C30</f>
        <v>NO</v>
      </c>
      <c r="D50" s="3783" t="str">
        <f>Table4!D30</f>
        <v>NO</v>
      </c>
      <c r="E50" s="3783">
        <f>Table4!E30</f>
        <v>0.19758779857142855</v>
      </c>
      <c r="F50" s="3762"/>
      <c r="G50" s="3762"/>
      <c r="H50" s="3762"/>
      <c r="I50" s="3762"/>
      <c r="J50" s="3762"/>
      <c r="K50" s="3784" t="str">
        <f>Table4!F30</f>
        <v>NO</v>
      </c>
      <c r="L50" s="3784" t="str">
        <f>Table4!G30</f>
        <v>NO</v>
      </c>
      <c r="M50" s="3784" t="str">
        <f>Table4!H30</f>
        <v>NO</v>
      </c>
      <c r="N50" s="3785" t="s">
        <v>199</v>
      </c>
      <c r="O50" s="3747">
        <f t="shared" si="2"/>
        <v>52.360766621428567</v>
      </c>
    </row>
    <row r="51" spans="2:15" ht="18" customHeight="1" x14ac:dyDescent="0.25">
      <c r="B51" s="1376" t="s">
        <v>1955</v>
      </c>
      <c r="C51" s="3786">
        <f>Table5!C10</f>
        <v>31.383403080597994</v>
      </c>
      <c r="D51" s="3748">
        <f>Table5!D10</f>
        <v>459.13423565516041</v>
      </c>
      <c r="E51" s="3749">
        <f>Table5!E10</f>
        <v>1.3393262904371759</v>
      </c>
      <c r="F51" s="3750"/>
      <c r="G51" s="3750"/>
      <c r="H51" s="3750"/>
      <c r="I51" s="3750"/>
      <c r="J51" s="3750"/>
      <c r="K51" s="3751" t="str">
        <f>Table5!F10</f>
        <v>NO</v>
      </c>
      <c r="L51" s="3751" t="str">
        <f>Table5!G10</f>
        <v>NO</v>
      </c>
      <c r="M51" s="3751">
        <f>Table5!H10</f>
        <v>222.84781458873604</v>
      </c>
      <c r="N51" s="3752" t="str">
        <f>Table5!I10</f>
        <v>NO</v>
      </c>
      <c r="O51" s="3787">
        <f t="shared" si="2"/>
        <v>13242.063468390941</v>
      </c>
    </row>
    <row r="52" spans="2:15" ht="18" customHeight="1" x14ac:dyDescent="0.25">
      <c r="B52" s="1131" t="s">
        <v>1956</v>
      </c>
      <c r="C52" s="3758"/>
      <c r="D52" s="3753">
        <f>Table5!D11</f>
        <v>363.97022387146808</v>
      </c>
      <c r="E52" s="3788"/>
      <c r="F52" s="3750"/>
      <c r="G52" s="3750"/>
      <c r="H52" s="3750"/>
      <c r="I52" s="3750"/>
      <c r="J52" s="3750"/>
      <c r="K52" s="3756" t="str">
        <f>Table5!F11</f>
        <v>NO</v>
      </c>
      <c r="L52" s="3756" t="str">
        <f>Table5!G11</f>
        <v>NO</v>
      </c>
      <c r="M52" s="3756">
        <f>Table5!H11</f>
        <v>2.9888637294935041</v>
      </c>
      <c r="N52" s="3755"/>
      <c r="O52" s="3787">
        <f t="shared" si="2"/>
        <v>10191.166268401106</v>
      </c>
    </row>
    <row r="53" spans="2:15" ht="18" customHeight="1" x14ac:dyDescent="0.25">
      <c r="B53" s="1131" t="s">
        <v>1957</v>
      </c>
      <c r="C53" s="3758"/>
      <c r="D53" s="3753">
        <f>Table5!D15</f>
        <v>4.4898423234669931</v>
      </c>
      <c r="E53" s="3753">
        <f>Table5!E15</f>
        <v>0.57469981740377529</v>
      </c>
      <c r="F53" s="3754"/>
      <c r="G53" s="3754"/>
      <c r="H53" s="3754"/>
      <c r="I53" s="3754"/>
      <c r="J53" s="3754"/>
      <c r="K53" s="3756" t="str">
        <f>Table5!F15</f>
        <v>NA,NE</v>
      </c>
      <c r="L53" s="3756" t="str">
        <f>Table5!G15</f>
        <v>NA,NE</v>
      </c>
      <c r="M53" s="3756" t="str">
        <f>Table5!H15</f>
        <v>NA,NE</v>
      </c>
      <c r="N53" s="3755"/>
      <c r="O53" s="3716">
        <f t="shared" si="2"/>
        <v>278.01103666907625</v>
      </c>
    </row>
    <row r="54" spans="2:15" ht="18" customHeight="1" x14ac:dyDescent="0.25">
      <c r="B54" s="1131" t="s">
        <v>1958</v>
      </c>
      <c r="C54" s="3817">
        <f>Table5!C18</f>
        <v>31.383403080597994</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31.383403080597994</v>
      </c>
    </row>
    <row r="55" spans="2:15" ht="18" customHeight="1" x14ac:dyDescent="0.25">
      <c r="B55" s="1131" t="s">
        <v>1959</v>
      </c>
      <c r="C55" s="3735"/>
      <c r="D55" s="3722">
        <f>Table5!D21</f>
        <v>90.674169460225343</v>
      </c>
      <c r="E55" s="3722">
        <f>Table5!E21</f>
        <v>0.76462647303340059</v>
      </c>
      <c r="F55" s="3754"/>
      <c r="G55" s="3754"/>
      <c r="H55" s="3754"/>
      <c r="I55" s="3754"/>
      <c r="J55" s="3754"/>
      <c r="K55" s="3756" t="str">
        <f>Table5!F21</f>
        <v>NO</v>
      </c>
      <c r="L55" s="3756" t="str">
        <f>Table5!G21</f>
        <v>NO</v>
      </c>
      <c r="M55" s="3756">
        <f>Table5!H21</f>
        <v>219.85895085924253</v>
      </c>
      <c r="N55" s="3755"/>
      <c r="O55" s="3791">
        <f t="shared" si="2"/>
        <v>2741.5027602401606</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17720.414028928801</v>
      </c>
      <c r="D61" s="3802">
        <f>Table1!D52</f>
        <v>0.26214537886272099</v>
      </c>
      <c r="E61" s="3802">
        <f>Table1!E52</f>
        <v>0.13952382496329768</v>
      </c>
      <c r="F61" s="615"/>
      <c r="G61" s="615"/>
      <c r="H61" s="615"/>
      <c r="I61" s="615"/>
      <c r="J61" s="615"/>
      <c r="K61" s="3802">
        <f>Table1!F52</f>
        <v>143.94189207436415</v>
      </c>
      <c r="L61" s="3802">
        <f>Table1!G52</f>
        <v>25.985172532516827</v>
      </c>
      <c r="M61" s="3802">
        <f>Table1!H52</f>
        <v>13.90473391333532</v>
      </c>
      <c r="N61" s="3803">
        <f>Table1!I52</f>
        <v>39.236159767957751</v>
      </c>
      <c r="O61" s="3787">
        <f t="shared" ref="O61:O67" si="4">IF(SUM(C61:J61)=0,"NO",SUM(C61,F61:H61)+28*SUM(D61)+265*SUM(E61)+23500*SUM(I61)+16100*SUM(J61))</f>
        <v>17764.72791315223</v>
      </c>
    </row>
    <row r="62" spans="2:15" ht="18" customHeight="1" x14ac:dyDescent="0.25">
      <c r="B62" s="1370" t="s">
        <v>218</v>
      </c>
      <c r="C62" s="3804">
        <f>Table1!C53</f>
        <v>15338.494217949599</v>
      </c>
      <c r="D62" s="620">
        <f>Table1!D53</f>
        <v>3.437243488372093E-2</v>
      </c>
      <c r="E62" s="620">
        <f>Table1!E53</f>
        <v>7.4445840969297669E-2</v>
      </c>
      <c r="F62" s="615"/>
      <c r="G62" s="615"/>
      <c r="H62" s="615"/>
      <c r="I62" s="615"/>
      <c r="J62" s="2161"/>
      <c r="K62" s="620">
        <f>Table1!F53</f>
        <v>80.333908080364154</v>
      </c>
      <c r="L62" s="620">
        <f>Table1!G53</f>
        <v>24.136956884648828</v>
      </c>
      <c r="M62" s="620">
        <f>Table1!H53</f>
        <v>11.914277417524321</v>
      </c>
      <c r="N62" s="622">
        <f>Table1!I53</f>
        <v>1.8071214452182003</v>
      </c>
      <c r="O62" s="3716">
        <f t="shared" si="4"/>
        <v>15359.184793983208</v>
      </c>
    </row>
    <row r="63" spans="2:15" ht="18" customHeight="1" x14ac:dyDescent="0.25">
      <c r="B63" s="1379" t="s">
        <v>1963</v>
      </c>
      <c r="C63" s="3804">
        <f>Table1!C54</f>
        <v>2381.9198109792001</v>
      </c>
      <c r="D63" s="617">
        <f>Table1!D54</f>
        <v>0.22777294397900005</v>
      </c>
      <c r="E63" s="617">
        <f>Table1!E54</f>
        <v>6.5077983994000013E-2</v>
      </c>
      <c r="F63" s="615"/>
      <c r="G63" s="615"/>
      <c r="H63" s="615"/>
      <c r="I63" s="615"/>
      <c r="J63" s="615"/>
      <c r="K63" s="617">
        <f>Table1!F54</f>
        <v>63.607983994000008</v>
      </c>
      <c r="L63" s="617">
        <f>Table1!G54</f>
        <v>1.8482156478680001</v>
      </c>
      <c r="M63" s="617">
        <f>Table1!H54</f>
        <v>1.9904564958110003</v>
      </c>
      <c r="N63" s="619">
        <f>Table1!I54</f>
        <v>37.429038322739551</v>
      </c>
      <c r="O63" s="3717">
        <f t="shared" si="4"/>
        <v>2405.5431191690218</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15553.661457119631</v>
      </c>
      <c r="D65" s="3806"/>
      <c r="E65" s="3806"/>
      <c r="F65" s="3807"/>
      <c r="G65" s="3807"/>
      <c r="H65" s="3807"/>
      <c r="I65" s="3807"/>
      <c r="J65" s="3806"/>
      <c r="K65" s="3806"/>
      <c r="L65" s="3806"/>
      <c r="M65" s="3806"/>
      <c r="N65" s="3808"/>
      <c r="O65" s="3773">
        <f t="shared" si="4"/>
        <v>15553.661457119631</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315106.42824677972</v>
      </c>
      <c r="D67" s="3807"/>
      <c r="E67" s="3807"/>
      <c r="F67" s="3811"/>
      <c r="G67" s="3807"/>
      <c r="H67" s="3807"/>
      <c r="I67" s="3807"/>
      <c r="J67" s="3807"/>
      <c r="K67" s="3807"/>
      <c r="L67" s="3807"/>
      <c r="M67" s="3807"/>
      <c r="N67" s="3812"/>
      <c r="O67" s="3721">
        <f t="shared" si="4"/>
        <v>315106.42824677972</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333156.89432967268</v>
      </c>
      <c r="D10" s="3798">
        <f>IFERROR(Summary1!D10*28,Summary1!D10)</f>
        <v>127519.33572967129</v>
      </c>
      <c r="E10" s="3798">
        <f>IFERROR(Summary1!E10*265,Summary1!E10)</f>
        <v>18938.609743951292</v>
      </c>
      <c r="F10" s="3798">
        <f>Summary1!F10</f>
        <v>10688.479613937492</v>
      </c>
      <c r="G10" s="3798">
        <f>Summary1!G10</f>
        <v>273.50220639665866</v>
      </c>
      <c r="H10" s="3798" t="str">
        <f>Summary1!H10</f>
        <v>NO</v>
      </c>
      <c r="I10" s="3827">
        <f>IFERROR(Summary1!I10*23500,Summary1!I10)</f>
        <v>128.95488205842804</v>
      </c>
      <c r="J10" s="4181" t="str">
        <f>IFERROR(Summary1!J10*16100,Summary1!J10)</f>
        <v>NO</v>
      </c>
      <c r="K10" s="3799">
        <f>IF(SUM(C10:J10)=0,"NO",SUM(C10:J10))</f>
        <v>490705.77650568786</v>
      </c>
    </row>
    <row r="11" spans="2:12" ht="18" customHeight="1" x14ac:dyDescent="0.2">
      <c r="B11" s="1549" t="s">
        <v>1921</v>
      </c>
      <c r="C11" s="3767">
        <f>Summary1!C11</f>
        <v>393703.19259955682</v>
      </c>
      <c r="D11" s="3767">
        <f>IFERROR(Summary1!D11*28,Summary1!D11)</f>
        <v>38322.651986744604</v>
      </c>
      <c r="E11" s="3767">
        <f>IFERROR(Summary1!E11*265,Summary1!E11)</f>
        <v>2656.9584595052215</v>
      </c>
      <c r="F11" s="1550"/>
      <c r="G11" s="1550"/>
      <c r="H11" s="1551"/>
      <c r="I11" s="1551"/>
      <c r="J11" s="613"/>
      <c r="K11" s="3828">
        <f t="shared" ref="K11:K55" si="0">IF(SUM(C11:J11)=0,"NO",SUM(C11:J11))</f>
        <v>434682.80304580665</v>
      </c>
      <c r="L11" s="19"/>
    </row>
    <row r="12" spans="2:12" ht="18" customHeight="1" x14ac:dyDescent="0.2">
      <c r="B12" s="606" t="s">
        <v>242</v>
      </c>
      <c r="C12" s="3756">
        <f>Summary1!C12</f>
        <v>373491.22235545854</v>
      </c>
      <c r="D12" s="3756">
        <f>IFERROR(Summary1!D12*28,Summary1!D12)</f>
        <v>2397.2304923522042</v>
      </c>
      <c r="E12" s="3756">
        <f>IFERROR(Summary1!E12*265,Summary1!E12)</f>
        <v>2576.2071344280989</v>
      </c>
      <c r="F12" s="615"/>
      <c r="G12" s="615"/>
      <c r="H12" s="615"/>
      <c r="I12" s="69"/>
      <c r="J12" s="69"/>
      <c r="K12" s="3829">
        <f t="shared" si="0"/>
        <v>378464.65998223884</v>
      </c>
      <c r="L12" s="19"/>
    </row>
    <row r="13" spans="2:12" ht="18" customHeight="1" x14ac:dyDescent="0.2">
      <c r="B13" s="1391" t="s">
        <v>1923</v>
      </c>
      <c r="C13" s="3756">
        <f>Summary1!C13</f>
        <v>211944.24017957889</v>
      </c>
      <c r="D13" s="3756">
        <f>IFERROR(Summary1!D13*28,Summary1!D13)</f>
        <v>973.22150888281021</v>
      </c>
      <c r="E13" s="3756">
        <f>IFERROR(Summary1!E13*265,Summary1!E13)</f>
        <v>796.42189745638018</v>
      </c>
      <c r="F13" s="615"/>
      <c r="G13" s="615"/>
      <c r="H13" s="615"/>
      <c r="I13" s="69"/>
      <c r="J13" s="69"/>
      <c r="K13" s="3829">
        <f t="shared" si="0"/>
        <v>213713.88358591808</v>
      </c>
      <c r="L13" s="19"/>
    </row>
    <row r="14" spans="2:12" ht="18" customHeight="1" x14ac:dyDescent="0.2">
      <c r="B14" s="1391" t="s">
        <v>1976</v>
      </c>
      <c r="C14" s="3756">
        <f>Summary1!C14</f>
        <v>41337.502229621896</v>
      </c>
      <c r="D14" s="3756">
        <f>IFERROR(Summary1!D14*28,Summary1!D14)</f>
        <v>65.167913177707121</v>
      </c>
      <c r="E14" s="3756">
        <f>IFERROR(Summary1!E14*265,Summary1!E14)</f>
        <v>390.06018753225078</v>
      </c>
      <c r="F14" s="615"/>
      <c r="G14" s="615"/>
      <c r="H14" s="615"/>
      <c r="I14" s="69"/>
      <c r="J14" s="69"/>
      <c r="K14" s="3829">
        <f t="shared" si="0"/>
        <v>41792.730330331855</v>
      </c>
      <c r="L14" s="19"/>
    </row>
    <row r="15" spans="2:12" ht="18" customHeight="1" x14ac:dyDescent="0.2">
      <c r="B15" s="1391" t="s">
        <v>1925</v>
      </c>
      <c r="C15" s="3756">
        <f>Summary1!C15</f>
        <v>98631.003512585303</v>
      </c>
      <c r="D15" s="3756">
        <f>IFERROR(Summary1!D15*28,Summary1!D15)</f>
        <v>364.09249428960356</v>
      </c>
      <c r="E15" s="3756">
        <f>IFERROR(Summary1!E15*265,Summary1!E15)</f>
        <v>1209.2241229483107</v>
      </c>
      <c r="F15" s="615"/>
      <c r="G15" s="615"/>
      <c r="H15" s="615"/>
      <c r="I15" s="69"/>
      <c r="J15" s="69"/>
      <c r="K15" s="3829">
        <f t="shared" si="0"/>
        <v>100204.32012982322</v>
      </c>
      <c r="L15" s="19"/>
    </row>
    <row r="16" spans="2:12" ht="18" customHeight="1" x14ac:dyDescent="0.2">
      <c r="B16" s="1391" t="s">
        <v>1926</v>
      </c>
      <c r="C16" s="3756">
        <f>Summary1!C16</f>
        <v>20793.450536002136</v>
      </c>
      <c r="D16" s="3756">
        <f>IFERROR(Summary1!D16*28,Summary1!D16)</f>
        <v>993.84864968881288</v>
      </c>
      <c r="E16" s="3756">
        <f>IFERROR(Summary1!E16*265,Summary1!E16)</f>
        <v>174.69718914193419</v>
      </c>
      <c r="F16" s="615"/>
      <c r="G16" s="615"/>
      <c r="H16" s="615"/>
      <c r="I16" s="69"/>
      <c r="J16" s="69"/>
      <c r="K16" s="3829">
        <f t="shared" si="0"/>
        <v>21961.996374832885</v>
      </c>
      <c r="L16" s="19"/>
    </row>
    <row r="17" spans="2:12" ht="18" customHeight="1" x14ac:dyDescent="0.2">
      <c r="B17" s="1391" t="s">
        <v>1927</v>
      </c>
      <c r="C17" s="3756">
        <f>Summary1!C17</f>
        <v>785.02589767037421</v>
      </c>
      <c r="D17" s="3756">
        <f>IFERROR(Summary1!D17*28,Summary1!D17)</f>
        <v>0.89992631327028227</v>
      </c>
      <c r="E17" s="3756">
        <f>IFERROR(Summary1!E17*265,Summary1!E17)</f>
        <v>5.8037373492232875</v>
      </c>
      <c r="F17" s="615"/>
      <c r="G17" s="615"/>
      <c r="H17" s="615"/>
      <c r="I17" s="69"/>
      <c r="J17" s="69"/>
      <c r="K17" s="3829">
        <f t="shared" si="0"/>
        <v>791.72956133286777</v>
      </c>
      <c r="L17" s="19"/>
    </row>
    <row r="18" spans="2:12" ht="18" customHeight="1" x14ac:dyDescent="0.2">
      <c r="B18" s="606" t="s">
        <v>201</v>
      </c>
      <c r="C18" s="3756">
        <f>Summary1!C18</f>
        <v>20211.970244098262</v>
      </c>
      <c r="D18" s="3756">
        <f>IFERROR(Summary1!D18*28,Summary1!D18)</f>
        <v>35925.421494392402</v>
      </c>
      <c r="E18" s="3756">
        <f>IFERROR(Summary1!E18*265,Summary1!E18)</f>
        <v>80.751325077122885</v>
      </c>
      <c r="F18" s="615"/>
      <c r="G18" s="615"/>
      <c r="H18" s="615"/>
      <c r="I18" s="69"/>
      <c r="J18" s="69"/>
      <c r="K18" s="3829">
        <f t="shared" si="0"/>
        <v>56218.14306356779</v>
      </c>
      <c r="L18" s="19"/>
    </row>
    <row r="19" spans="2:12" ht="18" customHeight="1" x14ac:dyDescent="0.2">
      <c r="B19" s="1391" t="s">
        <v>1928</v>
      </c>
      <c r="C19" s="3756">
        <f>Summary1!C19</f>
        <v>2062.3470403633114</v>
      </c>
      <c r="D19" s="3756">
        <f>IFERROR(Summary1!D19*28,Summary1!D19)</f>
        <v>27330.019814738451</v>
      </c>
      <c r="E19" s="3756">
        <f>IFERROR(Summary1!E19*265,Summary1!E19)</f>
        <v>0.3517474012872171</v>
      </c>
      <c r="F19" s="615"/>
      <c r="G19" s="615"/>
      <c r="H19" s="615"/>
      <c r="I19" s="69"/>
      <c r="J19" s="69"/>
      <c r="K19" s="3829">
        <f t="shared" si="0"/>
        <v>29392.71860250305</v>
      </c>
      <c r="L19" s="19"/>
    </row>
    <row r="20" spans="2:12" ht="18" customHeight="1" x14ac:dyDescent="0.2">
      <c r="B20" s="1392" t="s">
        <v>1929</v>
      </c>
      <c r="C20" s="3756">
        <f>Summary1!C20</f>
        <v>18149.623203734951</v>
      </c>
      <c r="D20" s="3756">
        <f>IFERROR(Summary1!D20*28,Summary1!D20)</f>
        <v>8595.4016796539527</v>
      </c>
      <c r="E20" s="3756">
        <f>IFERROR(Summary1!E20*265,Summary1!E20)</f>
        <v>80.399577675835673</v>
      </c>
      <c r="F20" s="615"/>
      <c r="G20" s="615"/>
      <c r="H20" s="615"/>
      <c r="I20" s="69"/>
      <c r="J20" s="69"/>
      <c r="K20" s="3829">
        <f t="shared" si="0"/>
        <v>26825.42446106474</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19369.841919175869</v>
      </c>
      <c r="D22" s="3767">
        <f>IFERROR(Summary1!D22*28,Summary1!D22)</f>
        <v>80.67472320793749</v>
      </c>
      <c r="E22" s="3767">
        <f>IFERROR(Summary1!E22*265,Summary1!E22)</f>
        <v>1995.8529788843819</v>
      </c>
      <c r="F22" s="3767">
        <f>Summary1!F22</f>
        <v>10688.479613937492</v>
      </c>
      <c r="G22" s="3767">
        <f>Summary1!G22</f>
        <v>273.50220639665866</v>
      </c>
      <c r="H22" s="3767" t="str">
        <f>Summary1!H22</f>
        <v>NO</v>
      </c>
      <c r="I22" s="3767">
        <f>IFERROR(Summary1!I22*23500,Summary1!I22)</f>
        <v>128.95488205842804</v>
      </c>
      <c r="J22" s="3831" t="str">
        <f>IFERROR(Summary1!J22*16100,Summary1!J22)</f>
        <v>NO</v>
      </c>
      <c r="K22" s="3828">
        <f t="shared" si="0"/>
        <v>32537.306323660763</v>
      </c>
      <c r="L22" s="19"/>
    </row>
    <row r="23" spans="2:12" ht="18" customHeight="1" x14ac:dyDescent="0.2">
      <c r="B23" s="1393" t="s">
        <v>1932</v>
      </c>
      <c r="C23" s="3756">
        <f>Summary1!C23</f>
        <v>5588.8987343287281</v>
      </c>
      <c r="D23" s="615"/>
      <c r="E23" s="615"/>
      <c r="F23" s="615"/>
      <c r="G23" s="615"/>
      <c r="H23" s="615"/>
      <c r="I23" s="69"/>
      <c r="J23" s="69"/>
      <c r="K23" s="3829">
        <f t="shared" si="0"/>
        <v>5588.8987343287281</v>
      </c>
      <c r="L23" s="19"/>
    </row>
    <row r="24" spans="2:12" ht="18" customHeight="1" x14ac:dyDescent="0.2">
      <c r="B24" s="1393" t="s">
        <v>846</v>
      </c>
      <c r="C24" s="3756">
        <f>Summary1!C24</f>
        <v>2820.7714109988174</v>
      </c>
      <c r="D24" s="3756">
        <f>IFERROR(Summary1!D24*28,Summary1!D24)</f>
        <v>12.140799999999999</v>
      </c>
      <c r="E24" s="3756">
        <f>IFERROR(Summary1!E24*265,Summary1!E24)</f>
        <v>1980.981130739468</v>
      </c>
      <c r="F24" s="1949" t="str">
        <f>Summary1!F24</f>
        <v>NO</v>
      </c>
      <c r="G24" s="1949" t="str">
        <f>Summary1!G24</f>
        <v>NO</v>
      </c>
      <c r="H24" s="1949" t="str">
        <f>Summary1!H24</f>
        <v>NO</v>
      </c>
      <c r="I24" s="602" t="str">
        <f>IFERROR(Summary1!I24*23500,Summary1!I24)</f>
        <v>NO</v>
      </c>
      <c r="J24" s="602" t="str">
        <f>IFERROR(Summary1!J24*16100,Summary1!J24)</f>
        <v>NO</v>
      </c>
      <c r="K24" s="3829">
        <f t="shared" si="0"/>
        <v>4813.893341738285</v>
      </c>
      <c r="L24" s="19"/>
    </row>
    <row r="25" spans="2:12" ht="18" customHeight="1" x14ac:dyDescent="0.2">
      <c r="B25" s="1393" t="s">
        <v>637</v>
      </c>
      <c r="C25" s="3756">
        <f>Summary1!C25</f>
        <v>10558.578640061036</v>
      </c>
      <c r="D25" s="3756">
        <f>IFERROR(Summary1!D25*28,Summary1!D25)</f>
        <v>68.533923207937491</v>
      </c>
      <c r="E25" s="3756">
        <f>IFERROR(Summary1!E25*265,Summary1!E25)</f>
        <v>14.871848144913844</v>
      </c>
      <c r="F25" s="1949" t="str">
        <f>Summary1!F25</f>
        <v>NO</v>
      </c>
      <c r="G25" s="3756">
        <f>Summary1!G25</f>
        <v>273.50220639665866</v>
      </c>
      <c r="H25" s="3756" t="str">
        <f>Summary1!H25</f>
        <v>NO</v>
      </c>
      <c r="I25" s="3756" t="str">
        <f>IFERROR(Summary1!I25*23500,Summary1!I25)</f>
        <v>NO</v>
      </c>
      <c r="J25" s="3756" t="str">
        <f>IFERROR(Summary1!J25*16100,Summary1!J25)</f>
        <v>NO</v>
      </c>
      <c r="K25" s="3829">
        <f t="shared" si="0"/>
        <v>10915.486617810546</v>
      </c>
      <c r="L25" s="19"/>
    </row>
    <row r="26" spans="2:12" ht="18" customHeight="1" x14ac:dyDescent="0.2">
      <c r="B26" s="1394" t="s">
        <v>1978</v>
      </c>
      <c r="C26" s="3756">
        <f>Summary1!C26</f>
        <v>182.59849860500003</v>
      </c>
      <c r="D26" s="3756" t="str">
        <f>IFERROR(Summary1!D26*28,Summary1!D26)</f>
        <v>NO</v>
      </c>
      <c r="E26" s="3756" t="str">
        <f>IFERROR(Summary1!E26*265,Summary1!E26)</f>
        <v>NO</v>
      </c>
      <c r="F26" s="615"/>
      <c r="G26" s="615"/>
      <c r="H26" s="615"/>
      <c r="I26" s="69"/>
      <c r="J26" s="69"/>
      <c r="K26" s="3829">
        <f t="shared" si="0"/>
        <v>182.59849860500003</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10688.479613937492</v>
      </c>
      <c r="G28" s="3756" t="str">
        <f>Summary1!G28</f>
        <v>NO</v>
      </c>
      <c r="H28" s="3756" t="str">
        <f>Summary1!H28</f>
        <v>NO</v>
      </c>
      <c r="I28" s="3756" t="str">
        <f>IFERROR(Summary1!I28*23500,Summary1!I28)</f>
        <v>NO</v>
      </c>
      <c r="J28" s="3756" t="str">
        <f>IFERROR(Summary1!J28*16100,Summary1!J28)</f>
        <v>NO</v>
      </c>
      <c r="K28" s="3829">
        <f t="shared" si="0"/>
        <v>10688.479613937492</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128.95488205842804</v>
      </c>
      <c r="J29" s="3756" t="str">
        <f>IFERROR(Summary1!J29*16100,Summary1!J29)</f>
        <v>NO</v>
      </c>
      <c r="K29" s="3829">
        <f t="shared" si="0"/>
        <v>128.95488205842804</v>
      </c>
      <c r="L29" s="19"/>
    </row>
    <row r="30" spans="2:12" ht="18" customHeight="1" thickBot="1" x14ac:dyDescent="0.25">
      <c r="B30" s="1406" t="s">
        <v>1982</v>
      </c>
      <c r="C30" s="3784">
        <f>Summary1!C30</f>
        <v>218.99463518228731</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218.99463518228731</v>
      </c>
      <c r="L30" s="19"/>
    </row>
    <row r="31" spans="2:12" ht="18" customHeight="1" x14ac:dyDescent="0.2">
      <c r="B31" s="780" t="s">
        <v>1937</v>
      </c>
      <c r="C31" s="3767">
        <f>Summary1!C31</f>
        <v>2665.3844979798414</v>
      </c>
      <c r="D31" s="3767">
        <f>IFERROR(Summary1!D31*28,Summary1!D31)</f>
        <v>60614.654336412976</v>
      </c>
      <c r="E31" s="3767">
        <f>IFERROR(Summary1!E31*265,Summary1!E31)</f>
        <v>10466.800107336183</v>
      </c>
      <c r="F31" s="1550"/>
      <c r="G31" s="1550"/>
      <c r="H31" s="1550"/>
      <c r="I31" s="1553"/>
      <c r="J31" s="613"/>
      <c r="K31" s="3828">
        <f t="shared" si="0"/>
        <v>73746.838941729002</v>
      </c>
      <c r="L31" s="19"/>
    </row>
    <row r="32" spans="2:12" ht="18" customHeight="1" x14ac:dyDescent="0.2">
      <c r="B32" s="606" t="s">
        <v>1938</v>
      </c>
      <c r="C32" s="615"/>
      <c r="D32" s="3756">
        <f>IFERROR(Summary1!D32*28,Summary1!D32)</f>
        <v>53994.483921424209</v>
      </c>
      <c r="E32" s="615"/>
      <c r="F32" s="615"/>
      <c r="G32" s="615"/>
      <c r="H32" s="615"/>
      <c r="I32" s="69"/>
      <c r="J32" s="69"/>
      <c r="K32" s="3829">
        <f t="shared" si="0"/>
        <v>53994.483921424209</v>
      </c>
      <c r="L32" s="19"/>
    </row>
    <row r="33" spans="2:12" ht="18" customHeight="1" x14ac:dyDescent="0.2">
      <c r="B33" s="606" t="s">
        <v>1939</v>
      </c>
      <c r="C33" s="615"/>
      <c r="D33" s="3756">
        <f>IFERROR(Summary1!D33*28,Summary1!D33)</f>
        <v>6432.0427914580159</v>
      </c>
      <c r="E33" s="3756">
        <f>IFERROR(Summary1!E33*265,Summary1!E33)</f>
        <v>621.77696839337841</v>
      </c>
      <c r="F33" s="615"/>
      <c r="G33" s="615"/>
      <c r="H33" s="615"/>
      <c r="I33" s="69"/>
      <c r="J33" s="69"/>
      <c r="K33" s="3829">
        <f t="shared" si="0"/>
        <v>7053.8197598513943</v>
      </c>
      <c r="L33" s="19"/>
    </row>
    <row r="34" spans="2:12" ht="18" customHeight="1" x14ac:dyDescent="0.2">
      <c r="B34" s="606" t="s">
        <v>1940</v>
      </c>
      <c r="C34" s="615"/>
      <c r="D34" s="3756">
        <f>IFERROR(Summary1!D34*28,Summary1!D34)</f>
        <v>35.301356239568591</v>
      </c>
      <c r="E34" s="615"/>
      <c r="F34" s="615"/>
      <c r="G34" s="615"/>
      <c r="H34" s="615"/>
      <c r="I34" s="69"/>
      <c r="J34" s="69"/>
      <c r="K34" s="3829">
        <f t="shared" si="0"/>
        <v>35.301356239568591</v>
      </c>
      <c r="L34" s="19"/>
    </row>
    <row r="35" spans="2:12" ht="18" customHeight="1" x14ac:dyDescent="0.2">
      <c r="B35" s="606" t="s">
        <v>1941</v>
      </c>
      <c r="C35" s="1950"/>
      <c r="D35" s="3756" t="str">
        <f>IFERROR(Summary1!D35*28,Summary1!D35)</f>
        <v>NE</v>
      </c>
      <c r="E35" s="3756">
        <f>IFERROR(Summary1!E35*265,Summary1!E35)</f>
        <v>9784.8430617891991</v>
      </c>
      <c r="F35" s="615"/>
      <c r="G35" s="615"/>
      <c r="H35" s="615"/>
      <c r="I35" s="69"/>
      <c r="J35" s="69"/>
      <c r="K35" s="3829">
        <f t="shared" si="0"/>
        <v>9784.8430617891991</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152.82626729117092</v>
      </c>
      <c r="E37" s="3756">
        <f>IFERROR(Summary1!E37*265,Summary1!E37)</f>
        <v>60.180077153605176</v>
      </c>
      <c r="F37" s="615"/>
      <c r="G37" s="615"/>
      <c r="H37" s="615"/>
      <c r="I37" s="69"/>
      <c r="J37" s="69"/>
      <c r="K37" s="3829">
        <f t="shared" si="0"/>
        <v>213.00634444477609</v>
      </c>
      <c r="L37" s="19"/>
    </row>
    <row r="38" spans="2:12" ht="18" customHeight="1" x14ac:dyDescent="0.2">
      <c r="B38" s="606" t="s">
        <v>955</v>
      </c>
      <c r="C38" s="1949">
        <f>Summary1!C38</f>
        <v>1318.3866247265748</v>
      </c>
      <c r="D38" s="3832"/>
      <c r="E38" s="3832"/>
      <c r="F38" s="615"/>
      <c r="G38" s="615"/>
      <c r="H38" s="615"/>
      <c r="I38" s="69"/>
      <c r="J38" s="69"/>
      <c r="K38" s="3829">
        <f t="shared" si="0"/>
        <v>1318.3866247265748</v>
      </c>
      <c r="L38" s="19"/>
    </row>
    <row r="39" spans="2:12" ht="18" customHeight="1" x14ac:dyDescent="0.2">
      <c r="B39" s="606" t="s">
        <v>956</v>
      </c>
      <c r="C39" s="1949">
        <f>Summary1!C39</f>
        <v>1346.9978732532668</v>
      </c>
      <c r="D39" s="3832"/>
      <c r="E39" s="3832"/>
      <c r="F39" s="615"/>
      <c r="G39" s="615"/>
      <c r="H39" s="615"/>
      <c r="I39" s="69"/>
      <c r="J39" s="69"/>
      <c r="K39" s="3829">
        <f t="shared" si="0"/>
        <v>1346.9978732532668</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-82612.9080901204</v>
      </c>
      <c r="D42" s="1952">
        <f>IFERROR(Summary1!D42*28,Summary1!D42)</f>
        <v>15645.596084961275</v>
      </c>
      <c r="E42" s="1952">
        <f>IFERROR(Summary1!E42*265,Summary1!E42)</f>
        <v>3464.0767312596549</v>
      </c>
      <c r="F42" s="1550"/>
      <c r="G42" s="1550"/>
      <c r="H42" s="1550"/>
      <c r="I42" s="1553"/>
      <c r="J42" s="613"/>
      <c r="K42" s="3828">
        <f t="shared" si="0"/>
        <v>-63503.235273899467</v>
      </c>
      <c r="L42" s="19"/>
    </row>
    <row r="43" spans="2:12" ht="18" customHeight="1" x14ac:dyDescent="0.2">
      <c r="B43" s="606" t="s">
        <v>1252</v>
      </c>
      <c r="C43" s="1949">
        <f>Summary1!C43</f>
        <v>-76411.357434243488</v>
      </c>
      <c r="D43" s="1949">
        <f>IFERROR(Summary1!D43*28,Summary1!D43)</f>
        <v>6782.9410678225704</v>
      </c>
      <c r="E43" s="1949">
        <f>IFERROR(Summary1!E43*265,Summary1!E43)</f>
        <v>1313.3341086544895</v>
      </c>
      <c r="F43" s="627"/>
      <c r="G43" s="627"/>
      <c r="H43" s="627"/>
      <c r="I43" s="614"/>
      <c r="J43" s="69"/>
      <c r="K43" s="3829">
        <f t="shared" si="0"/>
        <v>-68315.082257766437</v>
      </c>
      <c r="L43" s="19"/>
    </row>
    <row r="44" spans="2:12" ht="18" customHeight="1" x14ac:dyDescent="0.2">
      <c r="B44" s="606" t="s">
        <v>1255</v>
      </c>
      <c r="C44" s="1949">
        <f>Summary1!C44</f>
        <v>-6646.2328176163528</v>
      </c>
      <c r="D44" s="1949">
        <f>IFERROR(Summary1!D44*28,Summary1!D44)</f>
        <v>19.231856495470577</v>
      </c>
      <c r="E44" s="1949">
        <f>IFERROR(Summary1!E44*265,Summary1!E44)</f>
        <v>21.26530078229068</v>
      </c>
      <c r="F44" s="627"/>
      <c r="G44" s="627"/>
      <c r="H44" s="627"/>
      <c r="I44" s="614"/>
      <c r="J44" s="69"/>
      <c r="K44" s="3829">
        <f t="shared" si="0"/>
        <v>-6605.7356603385915</v>
      </c>
      <c r="L44" s="19"/>
    </row>
    <row r="45" spans="2:12" ht="18" customHeight="1" x14ac:dyDescent="0.2">
      <c r="B45" s="606" t="s">
        <v>1258</v>
      </c>
      <c r="C45" s="1949">
        <f>Summary1!C45</f>
        <v>2761.1416737145264</v>
      </c>
      <c r="D45" s="1949">
        <f>IFERROR(Summary1!D45*28,Summary1!D45)</f>
        <v>6756.8238669673465</v>
      </c>
      <c r="E45" s="1949">
        <f>IFERROR(Summary1!E45*265,Summary1!E45)</f>
        <v>1975.7781161943058</v>
      </c>
      <c r="F45" s="627"/>
      <c r="G45" s="627"/>
      <c r="H45" s="627"/>
      <c r="I45" s="614"/>
      <c r="J45" s="69"/>
      <c r="K45" s="3829">
        <f t="shared" si="0"/>
        <v>11493.743656876179</v>
      </c>
      <c r="L45" s="19"/>
    </row>
    <row r="46" spans="2:12" ht="18" customHeight="1" x14ac:dyDescent="0.2">
      <c r="B46" s="606" t="s">
        <v>1984</v>
      </c>
      <c r="C46" s="1949">
        <f>Summary1!C46</f>
        <v>-501.11408142992371</v>
      </c>
      <c r="D46" s="1949">
        <f>IFERROR(Summary1!D46*28,Summary1!D46)</f>
        <v>2064.5698813052254</v>
      </c>
      <c r="E46" s="1949">
        <f>IFERROR(Summary1!E46*265,Summary1!E46)</f>
        <v>93.510611972302897</v>
      </c>
      <c r="F46" s="627"/>
      <c r="G46" s="627"/>
      <c r="H46" s="627"/>
      <c r="I46" s="614"/>
      <c r="J46" s="69"/>
      <c r="K46" s="3829">
        <f t="shared" si="0"/>
        <v>1656.9664118476046</v>
      </c>
      <c r="L46" s="19"/>
    </row>
    <row r="47" spans="2:12" ht="18" customHeight="1" x14ac:dyDescent="0.2">
      <c r="B47" s="606" t="s">
        <v>1985</v>
      </c>
      <c r="C47" s="1949">
        <f>Summary1!C47</f>
        <v>3137.0733845727173</v>
      </c>
      <c r="D47" s="1949">
        <f>IFERROR(Summary1!D47*28,Summary1!D47)</f>
        <v>22.029412370661969</v>
      </c>
      <c r="E47" s="1949">
        <f>IFERROR(Summary1!E47*265,Summary1!E47)</f>
        <v>7.8278270348377186</v>
      </c>
      <c r="F47" s="627"/>
      <c r="G47" s="627"/>
      <c r="H47" s="627"/>
      <c r="I47" s="614"/>
      <c r="J47" s="69"/>
      <c r="K47" s="3829">
        <f t="shared" si="0"/>
        <v>3166.9306239782172</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-4952.4188151178632</v>
      </c>
      <c r="D49" s="3833"/>
      <c r="E49" s="3833"/>
      <c r="F49" s="627"/>
      <c r="G49" s="627"/>
      <c r="H49" s="627"/>
      <c r="I49" s="614"/>
      <c r="J49" s="69"/>
      <c r="K49" s="3829">
        <f t="shared" si="0"/>
        <v>-4952.4188151178632</v>
      </c>
      <c r="L49" s="19"/>
    </row>
    <row r="50" spans="2:12" ht="18" customHeight="1" thickBot="1" x14ac:dyDescent="0.25">
      <c r="B50" s="1554" t="s">
        <v>1988</v>
      </c>
      <c r="C50" s="1951" t="str">
        <f>Summary1!C50</f>
        <v>NO</v>
      </c>
      <c r="D50" s="1951" t="str">
        <f>IFERROR(Summary1!D50*28,Summary1!D50)</f>
        <v>NO</v>
      </c>
      <c r="E50" s="1951">
        <f>IFERROR(Summary1!E50*265,Summary1!E50)</f>
        <v>52.360766621428567</v>
      </c>
      <c r="F50" s="1953"/>
      <c r="G50" s="1953"/>
      <c r="H50" s="1953"/>
      <c r="I50" s="1555"/>
      <c r="J50" s="87"/>
      <c r="K50" s="3830">
        <f t="shared" si="0"/>
        <v>52.360766621428567</v>
      </c>
      <c r="L50" s="19"/>
    </row>
    <row r="51" spans="2:12" ht="18" customHeight="1" x14ac:dyDescent="0.2">
      <c r="B51" s="1549" t="s">
        <v>1955</v>
      </c>
      <c r="C51" s="1952">
        <f>Summary1!C51</f>
        <v>31.383403080597994</v>
      </c>
      <c r="D51" s="1952">
        <f>IFERROR(Summary1!D51*28,Summary1!D51)</f>
        <v>12855.758598344491</v>
      </c>
      <c r="E51" s="1952">
        <f>IFERROR(Summary1!E51*265,Summary1!E51)</f>
        <v>354.92146696585161</v>
      </c>
      <c r="F51" s="1550"/>
      <c r="G51" s="1550"/>
      <c r="H51" s="1550"/>
      <c r="I51" s="1553"/>
      <c r="J51" s="613"/>
      <c r="K51" s="3828">
        <f t="shared" si="0"/>
        <v>13242.063468390941</v>
      </c>
      <c r="L51" s="19"/>
    </row>
    <row r="52" spans="2:12" ht="18" customHeight="1" x14ac:dyDescent="0.2">
      <c r="B52" s="606" t="s">
        <v>1989</v>
      </c>
      <c r="C52" s="615"/>
      <c r="D52" s="1949">
        <f>IFERROR(Summary1!D52*28,Summary1!D52)</f>
        <v>10191.166268401106</v>
      </c>
      <c r="E52" s="627"/>
      <c r="F52" s="615"/>
      <c r="G52" s="615"/>
      <c r="H52" s="615"/>
      <c r="I52" s="69"/>
      <c r="J52" s="69"/>
      <c r="K52" s="3829">
        <f t="shared" si="0"/>
        <v>10191.166268401106</v>
      </c>
      <c r="L52" s="19"/>
    </row>
    <row r="53" spans="2:12" ht="18" customHeight="1" x14ac:dyDescent="0.2">
      <c r="B53" s="1395" t="s">
        <v>1990</v>
      </c>
      <c r="C53" s="615"/>
      <c r="D53" s="1949">
        <f>IFERROR(Summary1!D53*28,Summary1!D53)</f>
        <v>125.7155850570758</v>
      </c>
      <c r="E53" s="1949">
        <f>IFERROR(Summary1!E53*265,Summary1!E53)</f>
        <v>152.29545161200045</v>
      </c>
      <c r="F53" s="615"/>
      <c r="G53" s="615"/>
      <c r="H53" s="615"/>
      <c r="I53" s="69"/>
      <c r="J53" s="69"/>
      <c r="K53" s="3829">
        <f t="shared" si="0"/>
        <v>278.01103666907625</v>
      </c>
      <c r="L53" s="19"/>
    </row>
    <row r="54" spans="2:12" ht="18" customHeight="1" x14ac:dyDescent="0.2">
      <c r="B54" s="1396" t="s">
        <v>1991</v>
      </c>
      <c r="C54" s="1949">
        <f>Summary1!C54</f>
        <v>31.383403080597994</v>
      </c>
      <c r="D54" s="1949" t="str">
        <f>IFERROR(Summary1!D54*28,Summary1!D54)</f>
        <v>NO,NE</v>
      </c>
      <c r="E54" s="1949" t="str">
        <f>IFERROR(Summary1!E54*265,Summary1!E54)</f>
        <v>NO,NE</v>
      </c>
      <c r="F54" s="615"/>
      <c r="G54" s="615"/>
      <c r="H54" s="615"/>
      <c r="I54" s="69"/>
      <c r="J54" s="69"/>
      <c r="K54" s="3829">
        <f t="shared" si="0"/>
        <v>31.383403080597994</v>
      </c>
      <c r="L54" s="19"/>
    </row>
    <row r="55" spans="2:12" ht="18" customHeight="1" x14ac:dyDescent="0.2">
      <c r="B55" s="606" t="s">
        <v>1992</v>
      </c>
      <c r="C55" s="615"/>
      <c r="D55" s="1949">
        <f>IFERROR(Summary1!D55*28,Summary1!D55)</f>
        <v>2538.8767448863096</v>
      </c>
      <c r="E55" s="1949">
        <f>IFERROR(Summary1!E55*265,Summary1!E55)</f>
        <v>202.62601535385116</v>
      </c>
      <c r="F55" s="615"/>
      <c r="G55" s="615"/>
      <c r="H55" s="615"/>
      <c r="I55" s="69"/>
      <c r="J55" s="69"/>
      <c r="K55" s="3829">
        <f t="shared" si="0"/>
        <v>2741.5027602401606</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17720.414028928801</v>
      </c>
      <c r="D60" s="617">
        <f>IFERROR(Summary1!D61*28,Summary1!D61)</f>
        <v>7.3400706081561875</v>
      </c>
      <c r="E60" s="617">
        <f>IFERROR(Summary1!E61*265,Summary1!E61)</f>
        <v>36.973813615273883</v>
      </c>
      <c r="F60" s="1957"/>
      <c r="G60" s="1957"/>
      <c r="H60" s="1958"/>
      <c r="I60" s="618"/>
      <c r="J60" s="618"/>
      <c r="K60" s="619">
        <f t="shared" ref="K60:K66" si="2">IF(SUM(C60:J60)=0,"NO",SUM(C60:J60))</f>
        <v>17764.72791315223</v>
      </c>
    </row>
    <row r="61" spans="2:12" ht="18" customHeight="1" x14ac:dyDescent="0.2">
      <c r="B61" s="1385" t="s">
        <v>218</v>
      </c>
      <c r="C61" s="617">
        <f>Summary1!C62</f>
        <v>15338.494217949599</v>
      </c>
      <c r="D61" s="617">
        <f>IFERROR(Summary1!D62*28,Summary1!D62)</f>
        <v>0.96242817674418601</v>
      </c>
      <c r="E61" s="617">
        <f>IFERROR(Summary1!E62*265,Summary1!E62)</f>
        <v>19.728147856863881</v>
      </c>
      <c r="F61" s="615"/>
      <c r="G61" s="615"/>
      <c r="H61" s="615"/>
      <c r="I61" s="621"/>
      <c r="J61" s="621"/>
      <c r="K61" s="622">
        <f t="shared" si="2"/>
        <v>15359.184793983208</v>
      </c>
    </row>
    <row r="62" spans="2:12" ht="18" customHeight="1" x14ac:dyDescent="0.2">
      <c r="B62" s="1386" t="s">
        <v>1963</v>
      </c>
      <c r="C62" s="617">
        <f>Summary1!C63</f>
        <v>2381.9198109792001</v>
      </c>
      <c r="D62" s="617">
        <f>IFERROR(Summary1!D63*28,Summary1!D63)</f>
        <v>6.377642431412001</v>
      </c>
      <c r="E62" s="617">
        <f>IFERROR(Summary1!E63*265,Summary1!E63)</f>
        <v>17.245665758410002</v>
      </c>
      <c r="F62" s="615"/>
      <c r="G62" s="615"/>
      <c r="H62" s="615"/>
      <c r="I62" s="623"/>
      <c r="J62" s="623"/>
      <c r="K62" s="619">
        <f t="shared" si="2"/>
        <v>2405.5431191690218</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15553.661457119631</v>
      </c>
      <c r="D64" s="627"/>
      <c r="E64" s="627"/>
      <c r="F64" s="627"/>
      <c r="G64" s="627"/>
      <c r="H64" s="627"/>
      <c r="I64" s="614"/>
      <c r="J64" s="614"/>
      <c r="K64" s="628">
        <f t="shared" si="2"/>
        <v>15553.661457119631</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315106.42824677972</v>
      </c>
      <c r="D66" s="631"/>
      <c r="E66" s="631"/>
      <c r="F66" s="631"/>
      <c r="G66" s="631"/>
      <c r="H66" s="631"/>
      <c r="I66" s="630"/>
      <c r="J66" s="630"/>
      <c r="K66" s="632">
        <f t="shared" si="2"/>
        <v>315106.42824677972</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554209.01177958737</v>
      </c>
      <c r="N71" s="1122"/>
    </row>
    <row r="72" spans="2:14" s="636" customFormat="1" ht="18" customHeight="1" x14ac:dyDescent="0.25">
      <c r="B72" s="640"/>
      <c r="C72" s="641"/>
      <c r="D72" s="641"/>
      <c r="E72" s="641"/>
      <c r="F72" s="641"/>
      <c r="G72" s="641"/>
      <c r="H72" s="641"/>
      <c r="I72" s="641"/>
      <c r="J72" s="2573" t="s">
        <v>1999</v>
      </c>
      <c r="K72" s="628">
        <f>K10</f>
        <v>490705.77650568786</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758305.9599098349</v>
      </c>
      <c r="D10" s="3055" t="s">
        <v>97</v>
      </c>
      <c r="E10" s="615"/>
      <c r="F10" s="615"/>
      <c r="G10" s="615"/>
      <c r="H10" s="4219">
        <f>IF(SUM(H11:H15)=0,"NO",SUM(H11:H15))</f>
        <v>41337.502229621896</v>
      </c>
      <c r="I10" s="4219">
        <f t="shared" ref="I10:K10" si="0">IF(SUM(I11:I16)=0,"NO",SUM(I11:I16))</f>
        <v>2.3274254706323974</v>
      </c>
      <c r="J10" s="4226">
        <f t="shared" si="0"/>
        <v>1.4719252359707578</v>
      </c>
      <c r="K10" s="3044" t="str">
        <f t="shared" si="0"/>
        <v>NO</v>
      </c>
    </row>
    <row r="11" spans="2:11" ht="18" customHeight="1" x14ac:dyDescent="0.2">
      <c r="B11" s="282" t="s">
        <v>243</v>
      </c>
      <c r="C11" s="1938">
        <f>IF(SUM(C18,C25,C32,C39,C46,C53,C68,C75,C82,C89,C96,C103,C120,C110:C113)=0,"NO",SUM(C18,C25,C32,C39,C46,C53,C68,C75,C82,C89,C96,C103,C120,C110:C113))</f>
        <v>238963.56927997939</v>
      </c>
      <c r="D11" s="3056" t="s">
        <v>97</v>
      </c>
      <c r="E11" s="1938">
        <f>IFERROR(H11*1000/$C11,"NA")</f>
        <v>68.8991206487201</v>
      </c>
      <c r="F11" s="1938">
        <f t="shared" ref="F11:G16" si="1">IFERROR(I11*1000000/$C11,"NA")</f>
        <v>4.1056938647617551</v>
      </c>
      <c r="G11" s="1938">
        <f t="shared" si="1"/>
        <v>2.6180043541588058</v>
      </c>
      <c r="H11" s="1938">
        <f>IF(SUM(H18,H25,H32,H39,H46,H53,H68,H75,H82,H89,H96,H103,H120,H110:H113)=0,"NO",SUM(H18,H25,H32,H39,H46,H53,H68,H75,H82,H89,H96,H103,H120,H110:H113))</f>
        <v>16464.379790470084</v>
      </c>
      <c r="I11" s="1938">
        <f>IF(SUM(I18,I25,I32,I39,I46,I53,I68,I75,I82,I89,I96,I103,I120,I110:I113)=0,"NO",SUM(I18,I25,I32,I39,I46,I53,I68,I75,I82,I89,I96,I103,I120,I110:I113))</f>
        <v>0.98111126029438211</v>
      </c>
      <c r="J11" s="1938">
        <f>IF(SUM(J18,J25,J32,J39,J46,J53,J68,J75,J82,J89,J96,J103,J120,J110:J113)=0,"NO",SUM(J18,J25,J32,J39,J46,J53,J68,J75,J82,J89,J96,J103,J120,J110:J113))</f>
        <v>0.62560766486031549</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113832.78154296943</v>
      </c>
      <c r="D12" s="3056" t="s">
        <v>97</v>
      </c>
      <c r="E12" s="1938">
        <f t="shared" ref="E12:E16" si="2">IFERROR(H12*1000/$C12,"NA")</f>
        <v>82.652313706851842</v>
      </c>
      <c r="F12" s="1938">
        <f t="shared" si="1"/>
        <v>0.94789119573937297</v>
      </c>
      <c r="G12" s="1938">
        <f t="shared" si="1"/>
        <v>0.70071811872228129</v>
      </c>
      <c r="H12" s="1938">
        <f>IF(SUM(H19,H26,H33,H40,H47,H54,H69,H76,H83,H90,H97,H104,H121)=0,"NO",SUM(H19,H26,H33,H40,H47,H54,H69,H76,H83,H90,H97,H104,H121))</f>
        <v>9408.5427702130437</v>
      </c>
      <c r="I12" s="1938">
        <f>IF(SUM(I19,I26,I33,I40,I47,I54,I69,I76,I83,I90,I97,I104,I121)=0,"NO",SUM(I19,I26,I33,I40,I47,I54,I69,I76,I83,I90,I97,I104,I121))</f>
        <v>0.10790109141110411</v>
      </c>
      <c r="J12" s="1938">
        <f>IF(SUM(J19,J26,J33,J40,J47,J54,J69,J76,J83,J90,J97,J104,J121)=0,"NO",SUM(J19,J26,J33,J40,J47,J54,J69,J76,J83,J90,J97,J104,J121))</f>
        <v>7.9764692531713963E-2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300791.20034424542</v>
      </c>
      <c r="D13" s="3056" t="s">
        <v>97</v>
      </c>
      <c r="E13" s="1938">
        <f t="shared" si="2"/>
        <v>51.413005604020569</v>
      </c>
      <c r="F13" s="1938">
        <f t="shared" si="1"/>
        <v>0.97457937101706382</v>
      </c>
      <c r="G13" s="1938">
        <f t="shared" si="1"/>
        <v>0.54385939068288092</v>
      </c>
      <c r="H13" s="1938">
        <f t="shared" ref="H13:K14" si="3">IF(SUM(H20,H27,H34,H41,H48,H55,H70,H77,H84,H91,H98,H105,H122,H115)=0,"NO",SUM(H20,H27,H34,H41,H48,H55,H70,H77,H84,H91,H98,H105,H122,H115))</f>
        <v>15464.579668938764</v>
      </c>
      <c r="I13" s="1938">
        <f t="shared" si="3"/>
        <v>0.29314489883896233</v>
      </c>
      <c r="J13" s="1938">
        <f t="shared" si="3"/>
        <v>0.16358811894199365</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104718.40874264068</v>
      </c>
      <c r="D16" s="3071" t="s">
        <v>97</v>
      </c>
      <c r="E16" s="1938">
        <f t="shared" si="2"/>
        <v>94.189980905197871</v>
      </c>
      <c r="F16" s="1938">
        <f t="shared" si="1"/>
        <v>9.0267626431477801</v>
      </c>
      <c r="G16" s="1938">
        <f t="shared" si="1"/>
        <v>5.7579633502510559</v>
      </c>
      <c r="H16" s="1938">
        <f>IF(SUM(H23,H30,H37,H44,H51,H58,H73,H80,H87,H94,H101,H108,H125,H117)=0,"NO",SUM(H23,H30,H37,H44,H51,H58,H73,H80,H87,H94,H101,H108,H125,H117))</f>
        <v>9863.4249198920315</v>
      </c>
      <c r="I16" s="1938">
        <f>IF(SUM(I23,I30,I37,I44,I51,I58,I73,I80,I87,I94,I101,I108,I125,I117)=0,"NO",SUM(I23,I30,I37,I44,I51,I58,I73,I80,I87,I94,I101,I108,I125,I117))</f>
        <v>0.94526822008794886</v>
      </c>
      <c r="J16" s="1938">
        <f>IF(SUM(J23,J30,J37,J44,J51,J58,J73,J80,J87,J94,J101,J108,J125,J117)=0,"NO",SUM(J23,J30,J37,J44,J51,J58,J73,J80,J87,J94,J101,J108,J125,J117))</f>
        <v>0.60296475963673468</v>
      </c>
      <c r="K16" s="3044" t="str">
        <f>IF(SUM(K23,K30,K37,K44,K51,K58,K73,K80,K87,K94,K101,K108,K125,K117)=0,"NO",SUM(K23,K30,K37,K44,K51,K58,K73,K80,K87,K94,K101,K108,K125,K117))</f>
        <v>NO</v>
      </c>
    </row>
    <row r="17" spans="2:11" ht="18" customHeight="1" x14ac:dyDescent="0.2">
      <c r="B17" s="1240" t="s">
        <v>264</v>
      </c>
      <c r="C17" s="1938">
        <f>IF(SUM(C18:C23)=0,"NO",SUM(C18:C23))</f>
        <v>32180.848123861171</v>
      </c>
      <c r="D17" s="3055" t="s">
        <v>97</v>
      </c>
      <c r="E17" s="615"/>
      <c r="F17" s="615"/>
      <c r="G17" s="615"/>
      <c r="H17" s="1938">
        <f>IF(SUM(H18:H22)=0,"NO",SUM(H18:H22))</f>
        <v>1463.1355454344837</v>
      </c>
      <c r="I17" s="1938">
        <f t="shared" ref="I17:K17" si="4">IF(SUM(I18:I23)=0,"NO",SUM(I18:I23))</f>
        <v>3.2672727925767586E-2</v>
      </c>
      <c r="J17" s="1938">
        <f t="shared" si="4"/>
        <v>1.878631691887344E-2</v>
      </c>
      <c r="K17" s="3044" t="str">
        <f t="shared" si="4"/>
        <v>NO</v>
      </c>
    </row>
    <row r="18" spans="2:11" ht="18" customHeight="1" x14ac:dyDescent="0.2">
      <c r="B18" s="282" t="s">
        <v>243</v>
      </c>
      <c r="C18" s="699">
        <v>1289.840404136799</v>
      </c>
      <c r="D18" s="3056" t="s">
        <v>97</v>
      </c>
      <c r="E18" s="1938">
        <f>IFERROR(H18*1000/$C18,"NA")</f>
        <v>78.862959051128101</v>
      </c>
      <c r="F18" s="1938">
        <f t="shared" ref="F18:G23" si="5">IFERROR(I18*1000000/$C18,"NA")</f>
        <v>2.4660159522237959</v>
      </c>
      <c r="G18" s="1938">
        <f t="shared" si="5"/>
        <v>1.1509186951773527</v>
      </c>
      <c r="H18" s="699">
        <v>101.72063097393089</v>
      </c>
      <c r="I18" s="699">
        <v>3.1807670124241339E-3</v>
      </c>
      <c r="J18" s="699">
        <v>1.4845014349161539E-3</v>
      </c>
      <c r="K18" s="3072" t="s">
        <v>199</v>
      </c>
    </row>
    <row r="19" spans="2:11" ht="18" customHeight="1" x14ac:dyDescent="0.2">
      <c r="B19" s="282" t="s">
        <v>245</v>
      </c>
      <c r="C19" s="699">
        <v>17089.781719724368</v>
      </c>
      <c r="D19" s="3056" t="s">
        <v>97</v>
      </c>
      <c r="E19" s="1938">
        <f t="shared" ref="E19:E23" si="6">IFERROR(H19*1000/$C19,"NA")</f>
        <v>38.143694346572694</v>
      </c>
      <c r="F19" s="1938">
        <f t="shared" si="5"/>
        <v>0.95477336832890114</v>
      </c>
      <c r="G19" s="1938">
        <f t="shared" si="5"/>
        <v>0.56242523853947901</v>
      </c>
      <c r="H19" s="699">
        <v>651.86741036681167</v>
      </c>
      <c r="I19" s="699">
        <v>1.6316868456546917E-2</v>
      </c>
      <c r="J19" s="699">
        <v>9.6117245603036042E-3</v>
      </c>
      <c r="K19" s="3072" t="s">
        <v>199</v>
      </c>
    </row>
    <row r="20" spans="2:11" ht="18" customHeight="1" x14ac:dyDescent="0.2">
      <c r="B20" s="282" t="s">
        <v>246</v>
      </c>
      <c r="C20" s="699">
        <v>13801.226000000004</v>
      </c>
      <c r="D20" s="3056" t="s">
        <v>97</v>
      </c>
      <c r="E20" s="1938">
        <f t="shared" si="6"/>
        <v>51.411918339264993</v>
      </c>
      <c r="F20" s="1938">
        <f t="shared" si="5"/>
        <v>0.95463203463203439</v>
      </c>
      <c r="G20" s="1938">
        <f t="shared" si="5"/>
        <v>0.55720346320346303</v>
      </c>
      <c r="H20" s="699">
        <v>709.54750409374105</v>
      </c>
      <c r="I20" s="699">
        <v>1.3175092456796537E-2</v>
      </c>
      <c r="J20" s="699">
        <v>7.6900909236536797E-3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189222.50325113672</v>
      </c>
      <c r="D24" s="3056" t="s">
        <v>97</v>
      </c>
      <c r="E24" s="615"/>
      <c r="F24" s="615"/>
      <c r="G24" s="615"/>
      <c r="H24" s="1938">
        <f>IF(SUM(H25:H29)=0,"NO",SUM(H25:H29))</f>
        <v>11994.289570064368</v>
      </c>
      <c r="I24" s="1938">
        <f t="shared" ref="I24:K24" si="7">IF(SUM(I25:I30)=0,"NO",SUM(I25:I30))</f>
        <v>0.20339822273498318</v>
      </c>
      <c r="J24" s="1938">
        <f t="shared" si="7"/>
        <v>0.13316350591276485</v>
      </c>
      <c r="K24" s="3044" t="str">
        <f t="shared" si="7"/>
        <v>NO</v>
      </c>
    </row>
    <row r="25" spans="2:11" ht="18" customHeight="1" x14ac:dyDescent="0.2">
      <c r="B25" s="282" t="s">
        <v>243</v>
      </c>
      <c r="C25" s="699">
        <v>6068.2329676509817</v>
      </c>
      <c r="D25" s="3056" t="s">
        <v>97</v>
      </c>
      <c r="E25" s="1938">
        <f>IFERROR(H25*1000/$C25,"NA")</f>
        <v>69.907358568243069</v>
      </c>
      <c r="F25" s="1938">
        <f t="shared" ref="F25:G30" si="8">IFERROR(I25*1000000/$C25,"NA")</f>
        <v>1.6055590066692973</v>
      </c>
      <c r="G25" s="1938">
        <f t="shared" si="8"/>
        <v>1.4771438405635515</v>
      </c>
      <c r="H25" s="699">
        <v>424.21413794521089</v>
      </c>
      <c r="I25" s="699">
        <v>9.7429060957795917E-3</v>
      </c>
      <c r="J25" s="699">
        <v>8.9636529512703289E-3</v>
      </c>
      <c r="K25" s="3072" t="s">
        <v>199</v>
      </c>
    </row>
    <row r="26" spans="2:11" ht="18" customHeight="1" x14ac:dyDescent="0.2">
      <c r="B26" s="282" t="s">
        <v>245</v>
      </c>
      <c r="C26" s="699">
        <v>57590.240208245057</v>
      </c>
      <c r="D26" s="3056" t="s">
        <v>97</v>
      </c>
      <c r="E26" s="1938">
        <f t="shared" ref="E26:E30" si="9">IFERROR(H26*1000/$C26,"NA")</f>
        <v>90.83352471710468</v>
      </c>
      <c r="F26" s="1938">
        <f t="shared" si="8"/>
        <v>0.95238095238095222</v>
      </c>
      <c r="G26" s="1938">
        <f t="shared" si="8"/>
        <v>0.70609523809523811</v>
      </c>
      <c r="H26" s="699">
        <v>5231.1245074196231</v>
      </c>
      <c r="I26" s="699">
        <v>5.4847847817376234E-2</v>
      </c>
      <c r="J26" s="699">
        <v>4.0664194371802749E-2</v>
      </c>
      <c r="K26" s="3072" t="s">
        <v>199</v>
      </c>
    </row>
    <row r="27" spans="2:11" ht="18" customHeight="1" x14ac:dyDescent="0.2">
      <c r="B27" s="282" t="s">
        <v>246</v>
      </c>
      <c r="C27" s="699">
        <v>123297.30400000002</v>
      </c>
      <c r="D27" s="3056" t="s">
        <v>97</v>
      </c>
      <c r="E27" s="1938">
        <f t="shared" si="9"/>
        <v>51.411918339265</v>
      </c>
      <c r="F27" s="1938">
        <f t="shared" si="8"/>
        <v>0.95727272727272739</v>
      </c>
      <c r="G27" s="1938">
        <f t="shared" si="8"/>
        <v>0.57027272727272726</v>
      </c>
      <c r="H27" s="699">
        <v>6338.9509246995331</v>
      </c>
      <c r="I27" s="699">
        <v>0.11802914646545457</v>
      </c>
      <c r="J27" s="699">
        <v>7.0313089817454558E-2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2266.7260752406655</v>
      </c>
      <c r="D30" s="3056" t="s">
        <v>97</v>
      </c>
      <c r="E30" s="1938">
        <f t="shared" si="9"/>
        <v>94</v>
      </c>
      <c r="F30" s="1938">
        <f t="shared" si="8"/>
        <v>9.1666666666666679</v>
      </c>
      <c r="G30" s="1938">
        <f t="shared" si="8"/>
        <v>5.833333333333333</v>
      </c>
      <c r="H30" s="699">
        <v>213.07225107262255</v>
      </c>
      <c r="I30" s="699">
        <v>2.077832235637277E-2</v>
      </c>
      <c r="J30" s="699">
        <v>1.3222568772237216E-2</v>
      </c>
      <c r="K30" s="3072" t="s">
        <v>199</v>
      </c>
    </row>
    <row r="31" spans="2:11" ht="18" customHeight="1" x14ac:dyDescent="0.2">
      <c r="B31" s="1240" t="s">
        <v>266</v>
      </c>
      <c r="C31" s="1938">
        <f>IF(SUM(C32:C37)=0,"NO",SUM(C32:C37))</f>
        <v>121405.61055133774</v>
      </c>
      <c r="D31" s="3056" t="s">
        <v>97</v>
      </c>
      <c r="E31" s="615"/>
      <c r="F31" s="615"/>
      <c r="G31" s="615"/>
      <c r="H31" s="1938">
        <f>IF(SUM(H32:H36)=0,"NO",SUM(H32:H36))</f>
        <v>7390.7252524378655</v>
      </c>
      <c r="I31" s="1938">
        <f t="shared" ref="I31:K31" si="10">IF(SUM(I32:I37)=0,"NO",SUM(I32:I37))</f>
        <v>0.19892796400754315</v>
      </c>
      <c r="J31" s="1938">
        <f t="shared" si="10"/>
        <v>7.9220319678002485E-2</v>
      </c>
      <c r="K31" s="3044" t="str">
        <f t="shared" si="10"/>
        <v>NO</v>
      </c>
    </row>
    <row r="32" spans="2:11" ht="18" customHeight="1" x14ac:dyDescent="0.2">
      <c r="B32" s="282" t="s">
        <v>243</v>
      </c>
      <c r="C32" s="699">
        <v>65911.46084533773</v>
      </c>
      <c r="D32" s="3056" t="s">
        <v>97</v>
      </c>
      <c r="E32" s="1938">
        <f>IFERROR(H32*1000/$C32,"NA")</f>
        <v>67.264455199177846</v>
      </c>
      <c r="F32" s="1938">
        <f t="shared" ref="F32:G37" si="11">IFERROR(I32*1000000/$C32,"NA")</f>
        <v>2.1562332069358638</v>
      </c>
      <c r="G32" s="1938">
        <f t="shared" si="11"/>
        <v>0.7168919956179709</v>
      </c>
      <c r="H32" s="699">
        <v>4433.4985051435851</v>
      </c>
      <c r="I32" s="699">
        <v>0.1421204805923702</v>
      </c>
      <c r="J32" s="699">
        <v>4.7251398699509915E-2</v>
      </c>
      <c r="K32" s="3072" t="s">
        <v>199</v>
      </c>
    </row>
    <row r="33" spans="2:11" ht="18" customHeight="1" x14ac:dyDescent="0.2">
      <c r="B33" s="282" t="s">
        <v>245</v>
      </c>
      <c r="C33" s="699">
        <v>4081.1385170000003</v>
      </c>
      <c r="D33" s="3056" t="s">
        <v>97</v>
      </c>
      <c r="E33" s="1938">
        <f t="shared" ref="E33:E37" si="12">IFERROR(H33*1000/$C33,"NA")</f>
        <v>85.232631585651461</v>
      </c>
      <c r="F33" s="1938">
        <f t="shared" si="11"/>
        <v>0.87853456073316838</v>
      </c>
      <c r="G33" s="1938">
        <f t="shared" si="11"/>
        <v>0.63367631543592384</v>
      </c>
      <c r="H33" s="699">
        <v>347.84617566947304</v>
      </c>
      <c r="I33" s="699">
        <v>3.5854212343238096E-3</v>
      </c>
      <c r="J33" s="699">
        <v>2.5861208182361905E-3</v>
      </c>
      <c r="K33" s="3072" t="s">
        <v>199</v>
      </c>
    </row>
    <row r="34" spans="2:11" ht="18" customHeight="1" x14ac:dyDescent="0.2">
      <c r="B34" s="282" t="s">
        <v>246</v>
      </c>
      <c r="C34" s="699">
        <v>50748.054133999998</v>
      </c>
      <c r="D34" s="3056" t="s">
        <v>97</v>
      </c>
      <c r="E34" s="1938">
        <f t="shared" si="12"/>
        <v>51.418337434865002</v>
      </c>
      <c r="F34" s="1938">
        <f t="shared" si="11"/>
        <v>0.95354861058095375</v>
      </c>
      <c r="G34" s="1938">
        <f t="shared" si="11"/>
        <v>0.51341736582951136</v>
      </c>
      <c r="H34" s="699">
        <v>2609.3805716248075</v>
      </c>
      <c r="I34" s="699">
        <v>4.8390736509162723E-2</v>
      </c>
      <c r="J34" s="699">
        <v>2.6054932274451725E-2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664.95705499999997</v>
      </c>
      <c r="D37" s="3056" t="s">
        <v>97</v>
      </c>
      <c r="E37" s="1938">
        <f t="shared" si="12"/>
        <v>88.367861481949092</v>
      </c>
      <c r="F37" s="1938">
        <f t="shared" si="11"/>
        <v>7.2656205921244057</v>
      </c>
      <c r="G37" s="1938">
        <f t="shared" si="11"/>
        <v>5.0046358043447716</v>
      </c>
      <c r="H37" s="699">
        <v>58.760832927684802</v>
      </c>
      <c r="I37" s="699">
        <v>4.831325671686401E-3</v>
      </c>
      <c r="J37" s="699">
        <v>3.3278678858046557E-3</v>
      </c>
      <c r="K37" s="3072" t="s">
        <v>199</v>
      </c>
    </row>
    <row r="38" spans="2:11" ht="18" customHeight="1" x14ac:dyDescent="0.2">
      <c r="B38" s="1240" t="s">
        <v>267</v>
      </c>
      <c r="C38" s="1938">
        <f>IF(SUM(C39:C44)=0,"NO",SUM(C39:C44))</f>
        <v>35627.694195999997</v>
      </c>
      <c r="D38" s="3056" t="s">
        <v>97</v>
      </c>
      <c r="E38" s="615"/>
      <c r="F38" s="615"/>
      <c r="G38" s="615"/>
      <c r="H38" s="1938">
        <f>IF(SUM(H39:H43)=0,"NO",SUM(H39:H43))</f>
        <v>974.89642094106864</v>
      </c>
      <c r="I38" s="1938">
        <f t="shared" ref="I38:K38" si="13">IF(SUM(I39:I44)=0,"NO",SUM(I39:I44))</f>
        <v>0.18513717785638747</v>
      </c>
      <c r="J38" s="1938">
        <f t="shared" si="13"/>
        <v>0.12282626151674246</v>
      </c>
      <c r="K38" s="3044" t="str">
        <f t="shared" si="13"/>
        <v>NO</v>
      </c>
    </row>
    <row r="39" spans="2:11" ht="18" customHeight="1" x14ac:dyDescent="0.2">
      <c r="B39" s="282" t="s">
        <v>243</v>
      </c>
      <c r="C39" s="699">
        <v>640.04099999999994</v>
      </c>
      <c r="D39" s="3056" t="s">
        <v>97</v>
      </c>
      <c r="E39" s="1938">
        <f>IFERROR(H39*1000/$C39,"NA")</f>
        <v>67.979858198478112</v>
      </c>
      <c r="F39" s="1938">
        <f t="shared" ref="F39:G44" si="14">IFERROR(I39*1000000/$C39,"NA")</f>
        <v>1.0410532520606721</v>
      </c>
      <c r="G39" s="1938">
        <f t="shared" si="14"/>
        <v>1.0037938667497837</v>
      </c>
      <c r="H39" s="699">
        <v>43.509896421212119</v>
      </c>
      <c r="I39" s="699">
        <v>6.6631676450216461E-4</v>
      </c>
      <c r="J39" s="699">
        <v>6.4246923026839821E-4</v>
      </c>
      <c r="K39" s="3072" t="s">
        <v>199</v>
      </c>
    </row>
    <row r="40" spans="2:11" ht="18" customHeight="1" x14ac:dyDescent="0.2">
      <c r="B40" s="282" t="s">
        <v>245</v>
      </c>
      <c r="C40" s="699">
        <v>2888.3959999999997</v>
      </c>
      <c r="D40" s="3056" t="s">
        <v>97</v>
      </c>
      <c r="E40" s="1938">
        <f t="shared" ref="E40:E44" si="15">IFERROR(H40*1000/$C40,"NA")</f>
        <v>89.713578733663923</v>
      </c>
      <c r="F40" s="1938">
        <f t="shared" si="14"/>
        <v>0.9402915930469633</v>
      </c>
      <c r="G40" s="1938">
        <f t="shared" si="14"/>
        <v>0.6586070937773405</v>
      </c>
      <c r="H40" s="699">
        <v>259.12834195999994</v>
      </c>
      <c r="I40" s="699">
        <v>2.7159344761904761E-3</v>
      </c>
      <c r="J40" s="699">
        <v>1.9023180952380948E-3</v>
      </c>
      <c r="K40" s="3072" t="s">
        <v>199</v>
      </c>
    </row>
    <row r="41" spans="2:11" ht="18" customHeight="1" x14ac:dyDescent="0.2">
      <c r="B41" s="282" t="s">
        <v>246</v>
      </c>
      <c r="C41" s="699">
        <v>13075.920998</v>
      </c>
      <c r="D41" s="3056" t="s">
        <v>97</v>
      </c>
      <c r="E41" s="1938">
        <f t="shared" si="15"/>
        <v>51.411918339265007</v>
      </c>
      <c r="F41" s="1938">
        <f t="shared" si="14"/>
        <v>0.91363636363636358</v>
      </c>
      <c r="G41" s="1938">
        <f t="shared" si="14"/>
        <v>0.86863636363636354</v>
      </c>
      <c r="H41" s="699">
        <v>672.25818255985655</v>
      </c>
      <c r="I41" s="699">
        <v>1.194663691180909E-2</v>
      </c>
      <c r="J41" s="699">
        <v>1.1358220466899089E-2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19023.336198000001</v>
      </c>
      <c r="D44" s="3055" t="s">
        <v>97</v>
      </c>
      <c r="E44" s="1938">
        <f t="shared" si="15"/>
        <v>93.498824138434813</v>
      </c>
      <c r="F44" s="1938">
        <f t="shared" si="14"/>
        <v>8.9263149185019603</v>
      </c>
      <c r="G44" s="1938">
        <f t="shared" si="14"/>
        <v>5.7257703165540663</v>
      </c>
      <c r="H44" s="699">
        <v>1778.659565703123</v>
      </c>
      <c r="I44" s="699">
        <v>0.16980828970388576</v>
      </c>
      <c r="J44" s="699">
        <v>0.10892325372433688</v>
      </c>
      <c r="K44" s="3072" t="s">
        <v>199</v>
      </c>
    </row>
    <row r="45" spans="2:11" ht="18" customHeight="1" x14ac:dyDescent="0.2">
      <c r="B45" s="1240" t="s">
        <v>268</v>
      </c>
      <c r="C45" s="1938">
        <f>IF(SUM(C46:C51)=0,"NO",SUM(C46:C51))</f>
        <v>122656.43033834</v>
      </c>
      <c r="D45" s="3055" t="s">
        <v>97</v>
      </c>
      <c r="E45" s="615"/>
      <c r="F45" s="615"/>
      <c r="G45" s="615"/>
      <c r="H45" s="1938">
        <f>IF(SUM(H46:H50)=0,"NO",SUM(H46:H50))</f>
        <v>2531.3980138378593</v>
      </c>
      <c r="I45" s="1938">
        <f t="shared" ref="I45:K45" si="16">IF(SUM(I46:I51)=0,"NO",SUM(I46:I51))</f>
        <v>0.7842920952493615</v>
      </c>
      <c r="J45" s="1938">
        <f t="shared" si="16"/>
        <v>0.50239615028738804</v>
      </c>
      <c r="K45" s="3044" t="str">
        <f t="shared" si="16"/>
        <v>NO</v>
      </c>
    </row>
    <row r="46" spans="2:11" ht="18" customHeight="1" x14ac:dyDescent="0.2">
      <c r="B46" s="282" t="s">
        <v>243</v>
      </c>
      <c r="C46" s="699">
        <v>3306.7403073399992</v>
      </c>
      <c r="D46" s="3055" t="s">
        <v>97</v>
      </c>
      <c r="E46" s="1938">
        <f>IFERROR(H46*1000/$C46,"NA")</f>
        <v>67.460098243696734</v>
      </c>
      <c r="F46" s="1938">
        <f t="shared" ref="F46:G51" si="17">IFERROR(I46*1000000/$C46,"NA")</f>
        <v>7.2706239650837148</v>
      </c>
      <c r="G46" s="1938">
        <f t="shared" si="17"/>
        <v>2.6114149171703458</v>
      </c>
      <c r="H46" s="699">
        <v>223.07302599954826</v>
      </c>
      <c r="I46" s="699">
        <v>2.4042065324854488E-2</v>
      </c>
      <c r="J46" s="699">
        <v>8.6352709657961275E-3</v>
      </c>
      <c r="K46" s="3072" t="s">
        <v>199</v>
      </c>
    </row>
    <row r="47" spans="2:11" ht="18" customHeight="1" x14ac:dyDescent="0.2">
      <c r="B47" s="282" t="s">
        <v>245</v>
      </c>
      <c r="C47" s="699">
        <v>6952.7460000000001</v>
      </c>
      <c r="D47" s="3055" t="s">
        <v>97</v>
      </c>
      <c r="E47" s="1938">
        <f t="shared" ref="E47:E51" si="18">IFERROR(H47*1000/$C47,"NA")</f>
        <v>90.03243400751451</v>
      </c>
      <c r="F47" s="1938">
        <f t="shared" si="17"/>
        <v>0.95238095238095222</v>
      </c>
      <c r="G47" s="1938">
        <f t="shared" si="17"/>
        <v>0.6752380952380953</v>
      </c>
      <c r="H47" s="699">
        <v>625.97264541601055</v>
      </c>
      <c r="I47" s="699">
        <v>6.6216628571428562E-3</v>
      </c>
      <c r="J47" s="699">
        <v>4.6947589657142866E-3</v>
      </c>
      <c r="K47" s="3072" t="s">
        <v>199</v>
      </c>
    </row>
    <row r="48" spans="2:11" ht="18" customHeight="1" x14ac:dyDescent="0.2">
      <c r="B48" s="282" t="s">
        <v>246</v>
      </c>
      <c r="C48" s="699">
        <v>32723.002696000003</v>
      </c>
      <c r="D48" s="3055" t="s">
        <v>97</v>
      </c>
      <c r="E48" s="1938">
        <f t="shared" si="18"/>
        <v>51.411918339264993</v>
      </c>
      <c r="F48" s="1938">
        <f t="shared" si="17"/>
        <v>0.91409090909090918</v>
      </c>
      <c r="G48" s="1938">
        <f t="shared" si="17"/>
        <v>0.86459090909090897</v>
      </c>
      <c r="H48" s="699">
        <v>1682.3523424223006</v>
      </c>
      <c r="I48" s="699">
        <v>2.9911799282570914E-2</v>
      </c>
      <c r="J48" s="699">
        <v>2.8292010649118907E-2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79673.941334999996</v>
      </c>
      <c r="D51" s="3055" t="s">
        <v>97</v>
      </c>
      <c r="E51" s="1938">
        <f t="shared" si="18"/>
        <v>94.521155904855789</v>
      </c>
      <c r="F51" s="1938">
        <f t="shared" si="17"/>
        <v>9.0834789349986824</v>
      </c>
      <c r="G51" s="1938">
        <f t="shared" si="17"/>
        <v>5.7832473451937183</v>
      </c>
      <c r="H51" s="699">
        <v>7530.8730304798692</v>
      </c>
      <c r="I51" s="699">
        <v>0.72371656778479321</v>
      </c>
      <c r="J51" s="699">
        <v>0.46077410970675875</v>
      </c>
      <c r="K51" s="3072" t="s">
        <v>199</v>
      </c>
    </row>
    <row r="52" spans="2:11" ht="18" customHeight="1" x14ac:dyDescent="0.2">
      <c r="B52" s="1240" t="s">
        <v>269</v>
      </c>
      <c r="C52" s="3073">
        <f>IF(SUM(C53:C58)=0,"NO",SUM(C53:C58))</f>
        <v>81264.458976870024</v>
      </c>
      <c r="D52" s="3055" t="s">
        <v>97</v>
      </c>
      <c r="E52" s="615"/>
      <c r="F52" s="615"/>
      <c r="G52" s="615"/>
      <c r="H52" s="1938">
        <f>IF(SUM(H53:H57)=0,"NO",SUM(H53:H57))</f>
        <v>4862.0107288170166</v>
      </c>
      <c r="I52" s="1938">
        <f t="shared" ref="I52:K52" si="19">IF(SUM(I53:I58)=0,"NO",SUM(I53:I58))</f>
        <v>0.30040688944847138</v>
      </c>
      <c r="J52" s="1938">
        <f t="shared" si="19"/>
        <v>5.1854896360160246E-2</v>
      </c>
      <c r="K52" s="3044" t="str">
        <f t="shared" si="19"/>
        <v>NO</v>
      </c>
    </row>
    <row r="53" spans="2:11" ht="18" customHeight="1" x14ac:dyDescent="0.2">
      <c r="B53" s="282" t="s">
        <v>243</v>
      </c>
      <c r="C53" s="2173">
        <v>7540.2135064699978</v>
      </c>
      <c r="D53" s="3055" t="s">
        <v>97</v>
      </c>
      <c r="E53" s="1938">
        <f>IFERROR(H53*1000/$C53,"NA")</f>
        <v>64.350479798991955</v>
      </c>
      <c r="F53" s="1938">
        <f t="shared" ref="F53:G58" si="20">IFERROR(I53*1000000/$C53,"NA")</f>
        <v>27.186165514201118</v>
      </c>
      <c r="G53" s="1938">
        <f t="shared" si="20"/>
        <v>1.7696568077656369</v>
      </c>
      <c r="H53" s="699">
        <v>485.21635692818393</v>
      </c>
      <c r="I53" s="699">
        <v>0.20498949239930814</v>
      </c>
      <c r="J53" s="699">
        <v>1.3343590163731036E-2</v>
      </c>
      <c r="K53" s="3072" t="s">
        <v>199</v>
      </c>
    </row>
    <row r="54" spans="2:11" ht="18" customHeight="1" x14ac:dyDescent="0.2">
      <c r="B54" s="282" t="s">
        <v>245</v>
      </c>
      <c r="C54" s="699">
        <v>19351.183327000002</v>
      </c>
      <c r="D54" s="3055" t="s">
        <v>97</v>
      </c>
      <c r="E54" s="1938">
        <f t="shared" ref="E54:E58" si="21">IFERROR(H54*1000/$C54,"NA")</f>
        <v>89.875060600982266</v>
      </c>
      <c r="F54" s="1938">
        <f t="shared" si="20"/>
        <v>0.94123583845108594</v>
      </c>
      <c r="G54" s="1938">
        <f t="shared" si="20"/>
        <v>0.82082964704132244</v>
      </c>
      <c r="H54" s="699">
        <v>1739.1887742148429</v>
      </c>
      <c r="I54" s="699">
        <v>1.8214027263809524E-2</v>
      </c>
      <c r="J54" s="699">
        <v>1.5884024980133336E-2</v>
      </c>
      <c r="K54" s="3072" t="s">
        <v>199</v>
      </c>
    </row>
    <row r="55" spans="2:11" ht="18" customHeight="1" x14ac:dyDescent="0.2">
      <c r="B55" s="282" t="s">
        <v>246</v>
      </c>
      <c r="C55" s="699">
        <v>51303.388064000013</v>
      </c>
      <c r="D55" s="3055" t="s">
        <v>97</v>
      </c>
      <c r="E55" s="1938">
        <f t="shared" si="21"/>
        <v>51.411918339264979</v>
      </c>
      <c r="F55" s="1938">
        <f t="shared" si="20"/>
        <v>0.99808396671457966</v>
      </c>
      <c r="G55" s="1938">
        <f t="shared" si="20"/>
        <v>0.11705269624023995</v>
      </c>
      <c r="H55" s="699">
        <v>2637.6055976739904</v>
      </c>
      <c r="I55" s="699">
        <v>5.1205089064814552E-2</v>
      </c>
      <c r="J55" s="699">
        <v>6.0051998991505449E-3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3069.6740794000002</v>
      </c>
      <c r="D58" s="3055" t="s">
        <v>97</v>
      </c>
      <c r="E58" s="3074">
        <f t="shared" si="21"/>
        <v>91.349949879253856</v>
      </c>
      <c r="F58" s="3074">
        <f t="shared" si="20"/>
        <v>8.4693944855607555</v>
      </c>
      <c r="G58" s="3074">
        <f t="shared" si="20"/>
        <v>5.4149336011575189</v>
      </c>
      <c r="H58" s="2215">
        <v>280.41457329883474</v>
      </c>
      <c r="I58" s="699">
        <v>2.5998280720539151E-2</v>
      </c>
      <c r="J58" s="699">
        <v>1.6622081317145335E-2</v>
      </c>
      <c r="K58" s="3072" t="s">
        <v>199</v>
      </c>
    </row>
    <row r="59" spans="2:11" ht="18" customHeight="1" x14ac:dyDescent="0.2">
      <c r="B59" s="1240" t="s">
        <v>270</v>
      </c>
      <c r="C59" s="3073">
        <f>IF(SUM(C60:C65)=0,"NO",SUM(C60:C65))</f>
        <v>175948.41447228924</v>
      </c>
      <c r="D59" s="4224" t="s">
        <v>97</v>
      </c>
      <c r="E59" s="4225"/>
      <c r="F59" s="4225"/>
      <c r="G59" s="4225"/>
      <c r="H59" s="1938">
        <f>IF(SUM(H60:H64)=0,"NO",SUM(H60:H64))</f>
        <v>12121.046698089229</v>
      </c>
      <c r="I59" s="1938">
        <f t="shared" ref="I59:K59" si="22">IF(SUM(I60:I65)=0,"NO",SUM(I60:I65))</f>
        <v>0.6225903934098832</v>
      </c>
      <c r="J59" s="1938">
        <f t="shared" si="22"/>
        <v>0.56367778529682622</v>
      </c>
      <c r="K59" s="3044" t="str">
        <f t="shared" si="22"/>
        <v>NO</v>
      </c>
    </row>
    <row r="60" spans="2:11" ht="18" customHeight="1" x14ac:dyDescent="0.2">
      <c r="B60" s="282" t="s">
        <v>243</v>
      </c>
      <c r="C60" s="4223">
        <f>IF(SUM(C68,C75,C82,C89,C96,C103,C110,C111,C111,C112,C113,C120)=0,"NO",SUM(C68,C75,C82,C89,C96,C103,C110,C111,C111,C112,C113,C120))</f>
        <v>154207.04024904387</v>
      </c>
      <c r="D60" s="4224" t="s">
        <v>97</v>
      </c>
      <c r="E60" s="3074">
        <f t="shared" ref="E60:E65" si="23">IFERROR(H60*1000/$C60,"NA")</f>
        <v>69.731882666914004</v>
      </c>
      <c r="F60" s="3074">
        <f t="shared" ref="F60:F65" si="24">IFERROR(I60*1000000/$C60,"NA")</f>
        <v>3.8673281786746512</v>
      </c>
      <c r="G60" s="3074">
        <f t="shared" ref="G60:G65" si="25">IFERROR(J60*1000000/$C60,"NA")</f>
        <v>3.5360693035427384</v>
      </c>
      <c r="H60" s="3074">
        <f>IF(SUM(H68,H75,H82,H89,H96,H103,H110,H111,H111,H112,H113,H120)=0,"NO",SUM(H68,H75,H82,H89,H96,H103,H110,H111,H111,H112,H113,H120))</f>
        <v>10753.147237058412</v>
      </c>
      <c r="I60" s="3074">
        <f>IF(SUM(I68,I75,I82,I89,I96,I103,I110,I111,I111,I112,I113,I120)=0,"NO",SUM(I68,I75,I82,I89,I96,I103,I110,I111,I111,I112,I113,I120))</f>
        <v>0.59636923210514348</v>
      </c>
      <c r="J60" s="3074">
        <f>IF(SUM(J68,J75,J82,J89,J96,J103,J110,J111,J111,J112,J113,J120)=0,"NO",SUM(J68,J75,J82,J89,J96,J103,J110,J111,J111,J112,J113,J120))</f>
        <v>0.54528678141482356</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5879.2957709999991</v>
      </c>
      <c r="D61" s="4224" t="s">
        <v>97</v>
      </c>
      <c r="E61" s="3074">
        <f t="shared" si="23"/>
        <v>94.129456438649726</v>
      </c>
      <c r="F61" s="3074">
        <f t="shared" si="24"/>
        <v>0.95238095238095266</v>
      </c>
      <c r="G61" s="3074">
        <f t="shared" si="25"/>
        <v>0.7520544827996738</v>
      </c>
      <c r="H61" s="3074">
        <f>IF(SUM(H69,H76,H83,H90,H97,H104,H121)=0,"NO",SUM(H69,H76,H83,H90,H97,H104,H121))</f>
        <v>553.41491516628196</v>
      </c>
      <c r="I61" s="3074">
        <f>IF(SUM(I69,I76,I83,I90,I97,I104,I121)=0,"NO",SUM(I69,I76,I83,I90,I97,I104,I121))</f>
        <v>5.5993293057142865E-3</v>
      </c>
      <c r="J61" s="3074">
        <f>IF(SUM(J69,J76,J83,J90,J97,J104,J121)=0,"NO",SUM(J69,J76,J83,J90,J97,J104,J121))</f>
        <v>4.4215507402857136E-3</v>
      </c>
      <c r="K61" s="3044" t="str">
        <f>IF(SUM(K69,K76,K83,K90,K97,K104,K121)=0,"NO",SUM(K69,K76,K83,K90,K97,K104,K121))</f>
        <v>NO</v>
      </c>
    </row>
    <row r="62" spans="2:11" ht="18" customHeight="1" x14ac:dyDescent="0.2">
      <c r="B62" s="282" t="s">
        <v>246</v>
      </c>
      <c r="C62" s="4223">
        <f>IF(SUM(C70,C77,C84,C91,C98,C105,C115,C122)=0,"NO",SUM(C70,C77,C84,C91,C98,C105,C115,C122))</f>
        <v>15842.304452245346</v>
      </c>
      <c r="D62" s="4224" t="s">
        <v>97</v>
      </c>
      <c r="E62" s="3074">
        <f t="shared" si="23"/>
        <v>51.411999328740144</v>
      </c>
      <c r="F62" s="3074">
        <f t="shared" si="24"/>
        <v>1.2931450856854587</v>
      </c>
      <c r="G62" s="3074">
        <f t="shared" si="25"/>
        <v>0.87579272025028487</v>
      </c>
      <c r="H62" s="3074">
        <f t="shared" ref="H62:K63" si="26">IF(SUM(H70,H77,H84,H91,H98,H105,H115,H122)=0,"NO",SUM(H70,H77,H84,H91,H98,H105,H115,H122))</f>
        <v>814.48454586453465</v>
      </c>
      <c r="I62" s="3074">
        <f t="shared" si="26"/>
        <v>2.0486398148353933E-2</v>
      </c>
      <c r="J62" s="3074">
        <f t="shared" si="26"/>
        <v>1.3874574911265151E-2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19.774000000000001</v>
      </c>
      <c r="D65" s="4224" t="s">
        <v>97</v>
      </c>
      <c r="E65" s="3074">
        <f t="shared" si="23"/>
        <v>83.173177399564551</v>
      </c>
      <c r="F65" s="3074">
        <f t="shared" si="24"/>
        <v>6.849087219153974</v>
      </c>
      <c r="G65" s="3074">
        <f t="shared" si="25"/>
        <v>4.798130396064046</v>
      </c>
      <c r="H65" s="1938">
        <f>IF(SUM(H73,H80,H87,H94,H101,H108,H117,H125)=0,"NO",SUM(H73,H80,H87,H94,H101,H108,H117,H125))</f>
        <v>1.6446664098989896</v>
      </c>
      <c r="I65" s="1938">
        <f>IF(SUM(I73,I80,I87,I94,I101,I108,I117,I125)=0,"NO",SUM(I73,I80,I87,I94,I101,I108,I117,I125))</f>
        <v>1.3543385067155069E-4</v>
      </c>
      <c r="J65" s="1938">
        <f>IF(SUM(J73,J80,J87,J94,J101,J108,J117,J125)=0,"NO",SUM(J73,J80,J87,J94,J101,J108,J117,J125))</f>
        <v>9.4878230451770455E-5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1331.9869338899998</v>
      </c>
      <c r="D67" s="3055" t="s">
        <v>97</v>
      </c>
      <c r="E67" s="615"/>
      <c r="F67" s="615"/>
      <c r="G67" s="615"/>
      <c r="H67" s="1938">
        <f>IF(SUM(H68:H72)=0,"NO",SUM(H68:H72))</f>
        <v>80.416105369203791</v>
      </c>
      <c r="I67" s="1938">
        <f t="shared" ref="I67:K67" si="27">IF(SUM(I68:I73)=0,"NO",SUM(I68:I73))</f>
        <v>1.4226315643478565E-2</v>
      </c>
      <c r="J67" s="1938">
        <f t="shared" si="27"/>
        <v>2.884682762148664E-3</v>
      </c>
      <c r="K67" s="3044" t="str">
        <f t="shared" si="27"/>
        <v>NO</v>
      </c>
    </row>
    <row r="68" spans="2:11" ht="18" customHeight="1" x14ac:dyDescent="0.2">
      <c r="B68" s="158" t="s">
        <v>243</v>
      </c>
      <c r="C68" s="699">
        <v>775.03965563000008</v>
      </c>
      <c r="D68" s="3055" t="s">
        <v>97</v>
      </c>
      <c r="E68" s="1938">
        <f>IFERROR(H68*1000/$C68,"NA")</f>
        <v>66.812552111198571</v>
      </c>
      <c r="F68" s="1938">
        <f t="shared" ref="F68:G73" si="28">IFERROR(I68*1000000/$C68,"NA")</f>
        <v>17.687294546952916</v>
      </c>
      <c r="G68" s="1938">
        <f t="shared" si="28"/>
        <v>3.1377550906688745</v>
      </c>
      <c r="H68" s="699">
        <v>51.782377380024776</v>
      </c>
      <c r="I68" s="699">
        <v>1.3708354674696766E-2</v>
      </c>
      <c r="J68" s="699">
        <v>2.4318846249232842E-3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556.94727825999985</v>
      </c>
      <c r="D70" s="3055" t="s">
        <v>97</v>
      </c>
      <c r="E70" s="1938">
        <f t="shared" si="29"/>
        <v>51.411918339265007</v>
      </c>
      <c r="F70" s="1938">
        <f t="shared" si="28"/>
        <v>0.93000000000000016</v>
      </c>
      <c r="G70" s="1938">
        <f t="shared" si="28"/>
        <v>0.81300000000000006</v>
      </c>
      <c r="H70" s="699">
        <v>28.633727989179018</v>
      </c>
      <c r="I70" s="699">
        <v>5.1796096878179993E-4</v>
      </c>
      <c r="J70" s="699">
        <v>4.527981372253799E-4</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130902.58000000003</v>
      </c>
      <c r="D81" s="3056" t="s">
        <v>97</v>
      </c>
      <c r="E81" s="615"/>
      <c r="F81" s="615"/>
      <c r="G81" s="615"/>
      <c r="H81" s="1938">
        <f>IF(SUM(H82:H86)=0,"NO",SUM(H82:H86))</f>
        <v>9164.6778350723507</v>
      </c>
      <c r="I81" s="1938">
        <f t="shared" ref="I81:K81" si="33">IF(SUM(I82:I87)=0,"NO",SUM(I82:I87))</f>
        <v>0.44248482620858032</v>
      </c>
      <c r="J81" s="1938">
        <f t="shared" si="33"/>
        <v>0.43407314619599885</v>
      </c>
      <c r="K81" s="3044" t="str">
        <f t="shared" si="33"/>
        <v>NO</v>
      </c>
    </row>
    <row r="82" spans="2:11" ht="18" customHeight="1" x14ac:dyDescent="0.2">
      <c r="B82" s="158" t="s">
        <v>243</v>
      </c>
      <c r="C82" s="699">
        <v>119807.96400000002</v>
      </c>
      <c r="D82" s="3056" t="s">
        <v>97</v>
      </c>
      <c r="E82" s="1938">
        <f>IFERROR(H82*1000/$C82,"NA")</f>
        <v>69.790205441247409</v>
      </c>
      <c r="F82" s="1938">
        <f t="shared" ref="F82:G87" si="34">IFERROR(I82*1000000/$C82,"NA")</f>
        <v>3.5559422745495559</v>
      </c>
      <c r="G82" s="1938">
        <f t="shared" si="34"/>
        <v>3.546304404848724</v>
      </c>
      <c r="H82" s="699">
        <v>8361.4224210575758</v>
      </c>
      <c r="I82" s="699">
        <v>0.42603020401531139</v>
      </c>
      <c r="J82" s="699">
        <v>0.42487551046915745</v>
      </c>
      <c r="K82" s="3072" t="s">
        <v>199</v>
      </c>
    </row>
    <row r="83" spans="2:11" ht="18" customHeight="1" x14ac:dyDescent="0.2">
      <c r="B83" s="158" t="s">
        <v>245</v>
      </c>
      <c r="C83" s="699">
        <v>5423.0579999999991</v>
      </c>
      <c r="D83" s="3056" t="s">
        <v>97</v>
      </c>
      <c r="E83" s="1938">
        <f t="shared" ref="E83:E87" si="35">IFERROR(H83*1000/$C83,"NA")</f>
        <v>94.47686448794795</v>
      </c>
      <c r="F83" s="1938">
        <f t="shared" si="34"/>
        <v>0.95238095238095255</v>
      </c>
      <c r="G83" s="1938">
        <f t="shared" si="34"/>
        <v>0.75923809523809516</v>
      </c>
      <c r="H83" s="699">
        <v>512.35351577628194</v>
      </c>
      <c r="I83" s="699">
        <v>5.1648171428571431E-3</v>
      </c>
      <c r="J83" s="699">
        <v>4.1173922262857134E-3</v>
      </c>
      <c r="K83" s="3072" t="s">
        <v>199</v>
      </c>
    </row>
    <row r="84" spans="2:11" ht="18" customHeight="1" x14ac:dyDescent="0.2">
      <c r="B84" s="158" t="s">
        <v>246</v>
      </c>
      <c r="C84" s="699">
        <v>5658.2579999999989</v>
      </c>
      <c r="D84" s="3056" t="s">
        <v>97</v>
      </c>
      <c r="E84" s="1938">
        <f t="shared" si="35"/>
        <v>51.411918339265</v>
      </c>
      <c r="F84" s="1938">
        <f t="shared" si="34"/>
        <v>1.9754545454545462</v>
      </c>
      <c r="G84" s="1938">
        <f t="shared" si="34"/>
        <v>0.88481818181818173</v>
      </c>
      <c r="H84" s="699">
        <v>290.90189823849283</v>
      </c>
      <c r="I84" s="699">
        <v>1.1177631485454547E-2</v>
      </c>
      <c r="J84" s="699">
        <v>5.0065295558181806E-3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13.299999999999999</v>
      </c>
      <c r="D87" s="3055" t="s">
        <v>97</v>
      </c>
      <c r="E87" s="1938">
        <f t="shared" si="35"/>
        <v>90.56417776041836</v>
      </c>
      <c r="F87" s="1938">
        <f t="shared" si="34"/>
        <v>8.4341026283657872</v>
      </c>
      <c r="G87" s="1938">
        <f t="shared" si="34"/>
        <v>5.5424018599612586</v>
      </c>
      <c r="H87" s="699">
        <v>1.204503564213564</v>
      </c>
      <c r="I87" s="699">
        <v>1.1217356495726497E-4</v>
      </c>
      <c r="J87" s="699">
        <v>7.3713944737484739E-5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34708.836464255597</v>
      </c>
      <c r="D95" s="3056" t="s">
        <v>97</v>
      </c>
      <c r="E95" s="615"/>
      <c r="F95" s="615"/>
      <c r="G95" s="615"/>
      <c r="H95" s="1938">
        <f>IF(SUM(H96:H100)=0,"NO",SUM(H96:H100))</f>
        <v>2372.1462725183042</v>
      </c>
      <c r="I95" s="1938">
        <f t="shared" ref="I95:K95" si="41">IF(SUM(I96:I101)=0,"NO",SUM(I96:I101))</f>
        <v>0.12190160610235687</v>
      </c>
      <c r="J95" s="1938">
        <f t="shared" si="41"/>
        <v>0.11817523548710204</v>
      </c>
      <c r="K95" s="3044" t="str">
        <f t="shared" si="41"/>
        <v>NO</v>
      </c>
    </row>
    <row r="96" spans="2:11" ht="18" customHeight="1" x14ac:dyDescent="0.2">
      <c r="B96" s="158" t="s">
        <v>243</v>
      </c>
      <c r="C96" s="699">
        <v>31867.075352974363</v>
      </c>
      <c r="D96" s="3056" t="s">
        <v>97</v>
      </c>
      <c r="E96" s="1938">
        <f>IFERROR(H96*1000/$C96,"NA")</f>
        <v>69.864545096289802</v>
      </c>
      <c r="F96" s="1938">
        <f t="shared" ref="F96:G101" si="42">IFERROR(I96*1000000/$C96,"NA")</f>
        <v>3.7437013204909335</v>
      </c>
      <c r="G96" s="1938">
        <f t="shared" si="42"/>
        <v>3.6268322770031625</v>
      </c>
      <c r="H96" s="699">
        <v>2226.3787230847429</v>
      </c>
      <c r="I96" s="699">
        <v>0.11930081207911419</v>
      </c>
      <c r="J96" s="699">
        <v>0.11557653746385936</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2835.2871112812322</v>
      </c>
      <c r="D98" s="3056" t="s">
        <v>97</v>
      </c>
      <c r="E98" s="1938">
        <f t="shared" si="43"/>
        <v>51.411918339265</v>
      </c>
      <c r="F98" s="1938">
        <f t="shared" si="42"/>
        <v>0.90909090909090906</v>
      </c>
      <c r="G98" s="1938">
        <f t="shared" si="42"/>
        <v>0.90909090909090906</v>
      </c>
      <c r="H98" s="699">
        <v>145.76754943356127</v>
      </c>
      <c r="I98" s="699">
        <v>2.5775337375283929E-3</v>
      </c>
      <c r="J98" s="699">
        <v>2.5775337375283929E-3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v>6.4740000000000002</v>
      </c>
      <c r="D101" s="3055" t="s">
        <v>97</v>
      </c>
      <c r="E101" s="1938">
        <f t="shared" si="43"/>
        <v>67.989318147269941</v>
      </c>
      <c r="F101" s="1938">
        <f t="shared" si="42"/>
        <v>3.5928770025155563</v>
      </c>
      <c r="G101" s="1938">
        <f t="shared" si="42"/>
        <v>3.2691204377951362</v>
      </c>
      <c r="H101" s="699">
        <v>0.44016284568542557</v>
      </c>
      <c r="I101" s="699">
        <v>2.3260285714285711E-5</v>
      </c>
      <c r="J101" s="699">
        <v>2.1164285714285712E-5</v>
      </c>
      <c r="K101" s="3072" t="s">
        <v>199</v>
      </c>
    </row>
    <row r="102" spans="2:11" ht="18" customHeight="1" x14ac:dyDescent="0.2">
      <c r="B102" s="1241" t="s">
        <v>279</v>
      </c>
      <c r="C102" s="1938">
        <f>IF(SUM(C103:C108)=0,"NO",SUM(C103:C108))</f>
        <v>6294.9673999999995</v>
      </c>
      <c r="D102" s="3055" t="s">
        <v>97</v>
      </c>
      <c r="E102" s="615"/>
      <c r="F102" s="615"/>
      <c r="G102" s="615"/>
      <c r="H102" s="1938">
        <f>IF(SUM(H103:H107)=0,"NO",SUM(H103:H107))</f>
        <v>354.75857152456166</v>
      </c>
      <c r="I102" s="1938">
        <f t="shared" ref="I102:K102" si="47">IF(SUM(I103:I108)=0,"NO",SUM(I103:I108))</f>
        <v>5.6838722570728998E-3</v>
      </c>
      <c r="J102" s="1938">
        <f t="shared" si="47"/>
        <v>5.4134551726667353E-3</v>
      </c>
      <c r="K102" s="3044" t="str">
        <f t="shared" si="47"/>
        <v>NO</v>
      </c>
    </row>
    <row r="103" spans="2:11" ht="18" customHeight="1" x14ac:dyDescent="0.2">
      <c r="B103" s="158" t="s">
        <v>243</v>
      </c>
      <c r="C103" s="699">
        <v>821.08406100000013</v>
      </c>
      <c r="D103" s="3055" t="s">
        <v>97</v>
      </c>
      <c r="E103" s="1938">
        <f>IFERROR(H103*1000/$C103,"NA")</f>
        <v>67.874156355314639</v>
      </c>
      <c r="F103" s="1938">
        <f t="shared" ref="F103:G108" si="48">IFERROR(I103*1000000/$C103,"NA")</f>
        <v>0.79330751439272407</v>
      </c>
      <c r="G103" s="1938">
        <f t="shared" si="48"/>
        <v>1.062716038871411</v>
      </c>
      <c r="H103" s="699">
        <v>55.730387937170711</v>
      </c>
      <c r="I103" s="699">
        <v>6.5137215553939397E-4</v>
      </c>
      <c r="J103" s="699">
        <v>8.7257920088637205E-4</v>
      </c>
      <c r="K103" s="3072" t="s">
        <v>199</v>
      </c>
    </row>
    <row r="104" spans="2:11" ht="18" customHeight="1" x14ac:dyDescent="0.2">
      <c r="B104" s="158" t="s">
        <v>245</v>
      </c>
      <c r="C104" s="699">
        <v>456.23777100000007</v>
      </c>
      <c r="D104" s="3055" t="s">
        <v>97</v>
      </c>
      <c r="E104" s="1938">
        <f t="shared" ref="E104:E108" si="49">IFERROR(H104*1000/$C104,"NA")</f>
        <v>90</v>
      </c>
      <c r="F104" s="1938">
        <f t="shared" si="48"/>
        <v>0.95238095238095244</v>
      </c>
      <c r="G104" s="1938">
        <f t="shared" si="48"/>
        <v>0.66666666666666663</v>
      </c>
      <c r="H104" s="699">
        <v>41.061399390000005</v>
      </c>
      <c r="I104" s="699">
        <v>4.3451216285714294E-4</v>
      </c>
      <c r="J104" s="699">
        <v>3.0415851400000002E-4</v>
      </c>
      <c r="K104" s="3072" t="s">
        <v>199</v>
      </c>
    </row>
    <row r="105" spans="2:11" ht="18" customHeight="1" x14ac:dyDescent="0.2">
      <c r="B105" s="158" t="s">
        <v>246</v>
      </c>
      <c r="C105" s="699">
        <v>5017.6455679999999</v>
      </c>
      <c r="D105" s="3055" t="s">
        <v>97</v>
      </c>
      <c r="E105" s="1938">
        <f t="shared" si="49"/>
        <v>51.411918339265</v>
      </c>
      <c r="F105" s="1938">
        <f t="shared" si="48"/>
        <v>0.91636363636363616</v>
      </c>
      <c r="G105" s="1938">
        <f t="shared" si="48"/>
        <v>0.84436363636363632</v>
      </c>
      <c r="H105" s="699">
        <v>257.96678419739095</v>
      </c>
      <c r="I105" s="699">
        <v>4.5979879386763628E-3</v>
      </c>
      <c r="J105" s="699">
        <v>4.2367174577803632E-3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2710.0436741436015</v>
      </c>
      <c r="D118" s="3055" t="s">
        <v>97</v>
      </c>
      <c r="E118" s="615"/>
      <c r="F118" s="615"/>
      <c r="G118" s="615"/>
      <c r="H118" s="1938">
        <f>H119</f>
        <v>149.04791360480954</v>
      </c>
      <c r="I118" s="1938">
        <f>I119</f>
        <v>3.8293773198394644E-2</v>
      </c>
      <c r="J118" s="1938">
        <f>J119</f>
        <v>3.1312656789099121E-3</v>
      </c>
      <c r="K118" s="3044" t="str">
        <f>K119</f>
        <v>NO</v>
      </c>
    </row>
    <row r="119" spans="2:11" ht="18" customHeight="1" x14ac:dyDescent="0.2">
      <c r="B119" s="3069" t="s">
        <v>286</v>
      </c>
      <c r="C119" s="3077">
        <f>IF(SUM(C120:C125)=0,"NO",SUM(C120:C125))</f>
        <v>2710.0436741436015</v>
      </c>
      <c r="D119" s="3055" t="s">
        <v>97</v>
      </c>
      <c r="E119" s="615"/>
      <c r="F119" s="615"/>
      <c r="G119" s="615"/>
      <c r="H119" s="3077">
        <f>IF(SUM(H120:H124)=0,"NO",SUM(H120:H124))</f>
        <v>149.04791360480954</v>
      </c>
      <c r="I119" s="3077">
        <f t="shared" ref="I119" si="56">IF(SUM(I120:I125)=0,"NO",SUM(I120:I125))</f>
        <v>3.8293773198394644E-2</v>
      </c>
      <c r="J119" s="3077">
        <f t="shared" ref="J119" si="57">IF(SUM(J120:J125)=0,"NO",SUM(J120:J125))</f>
        <v>3.1312656789099121E-3</v>
      </c>
      <c r="K119" s="3078" t="str">
        <f t="shared" ref="K119" si="58">IF(SUM(K120:K125)=0,"NO",SUM(K120:K125))</f>
        <v>NO</v>
      </c>
    </row>
    <row r="120" spans="2:11" ht="18" customHeight="1" x14ac:dyDescent="0.2">
      <c r="B120" s="158" t="s">
        <v>243</v>
      </c>
      <c r="C120" s="699">
        <v>935.87717943948553</v>
      </c>
      <c r="D120" s="3055" t="s">
        <v>97</v>
      </c>
      <c r="E120" s="1938">
        <f>IFERROR(H120*1000/$C120,"NA")</f>
        <v>61.795851923151382</v>
      </c>
      <c r="F120" s="1938">
        <f t="shared" ref="F120:G125" si="59">IFERROR(I120*1000000/$C120,"NA")</f>
        <v>39.191562724554572</v>
      </c>
      <c r="G120" s="1938">
        <f t="shared" si="59"/>
        <v>1.635118036443187</v>
      </c>
      <c r="H120" s="699">
        <v>57.833327598899018</v>
      </c>
      <c r="I120" s="699">
        <v>3.6678489180481812E-2</v>
      </c>
      <c r="J120" s="699">
        <v>1.5302696559970797E-3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1774.1664947041158</v>
      </c>
      <c r="D122" s="3055" t="s">
        <v>97</v>
      </c>
      <c r="E122" s="1938">
        <f t="shared" si="60"/>
        <v>51.412641529521558</v>
      </c>
      <c r="F122" s="1938">
        <f t="shared" si="59"/>
        <v>0.91044669298763836</v>
      </c>
      <c r="G122" s="1938">
        <f t="shared" si="59"/>
        <v>0.9023933366410668</v>
      </c>
      <c r="H122" s="699">
        <v>91.214586005910519</v>
      </c>
      <c r="I122" s="699">
        <v>1.6152840179128327E-3</v>
      </c>
      <c r="J122" s="699">
        <v>1.6009960229128326E-3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4554.2619903454033</v>
      </c>
      <c r="D10" s="695">
        <f t="shared" ref="D10:F10" si="0">SUM(D11:D16)</f>
        <v>21257.552678294669</v>
      </c>
      <c r="E10" s="695">
        <f t="shared" si="0"/>
        <v>1698.3269363632726</v>
      </c>
      <c r="F10" s="695">
        <f t="shared" si="0"/>
        <v>3456.5841609780791</v>
      </c>
      <c r="G10" s="696" t="s">
        <v>199</v>
      </c>
      <c r="H10" s="697" t="s">
        <v>2035</v>
      </c>
      <c r="I10" s="698" t="s">
        <v>2036</v>
      </c>
    </row>
    <row r="11" spans="2:9" ht="18" customHeight="1" x14ac:dyDescent="0.2">
      <c r="B11" s="1561" t="s">
        <v>1921</v>
      </c>
      <c r="C11" s="3696">
        <f>Table1!D10</f>
        <v>1368.6661423837359</v>
      </c>
      <c r="D11" s="3697">
        <f>Table1!G10</f>
        <v>2169.3204007238619</v>
      </c>
      <c r="E11" s="3697">
        <f>Table1!H10</f>
        <v>760.956983223061</v>
      </c>
      <c r="F11" s="3697">
        <f>Table1!F10</f>
        <v>2710.4931605129618</v>
      </c>
      <c r="G11" s="3698" t="s">
        <v>199</v>
      </c>
      <c r="H11" s="3699" t="s">
        <v>221</v>
      </c>
      <c r="I11" s="3700" t="s">
        <v>221</v>
      </c>
    </row>
    <row r="12" spans="2:9" ht="18" customHeight="1" x14ac:dyDescent="0.2">
      <c r="B12" s="2419" t="s">
        <v>2037</v>
      </c>
      <c r="C12" s="3149">
        <f>'Table2(I)'!D10</f>
        <v>2.8812401145691959</v>
      </c>
      <c r="D12" s="699">
        <f>'Table2(I)'!L10</f>
        <v>17.286302902719687</v>
      </c>
      <c r="E12" s="699">
        <f>'Table2(I)'!M10</f>
        <v>248.34587350446003</v>
      </c>
      <c r="F12" s="699">
        <f>'Table2(I)'!K10</f>
        <v>7.2729915811877968</v>
      </c>
      <c r="G12" s="3125" t="s">
        <v>199</v>
      </c>
      <c r="H12" s="3701" t="s">
        <v>199</v>
      </c>
      <c r="I12" s="2921" t="s">
        <v>199</v>
      </c>
    </row>
    <row r="13" spans="2:9" ht="18" customHeight="1" x14ac:dyDescent="0.2">
      <c r="B13" s="2419" t="s">
        <v>2038</v>
      </c>
      <c r="C13" s="3149">
        <f>Table3!D10</f>
        <v>2164.8090834433206</v>
      </c>
      <c r="D13" s="699">
        <f>Table3!G10</f>
        <v>212.86515801270244</v>
      </c>
      <c r="E13" s="699">
        <f>Table3!H10</f>
        <v>12.417134217407639</v>
      </c>
      <c r="F13" s="699">
        <f>Table3!F10</f>
        <v>13.120419457069287</v>
      </c>
      <c r="G13" s="3702"/>
      <c r="H13" s="3701" t="s">
        <v>221</v>
      </c>
      <c r="I13" s="2921" t="s">
        <v>274</v>
      </c>
    </row>
    <row r="14" spans="2:9" ht="18" customHeight="1" x14ac:dyDescent="0.2">
      <c r="B14" s="2419" t="s">
        <v>2039</v>
      </c>
      <c r="C14" s="3149">
        <f>Table4!D10</f>
        <v>558.77128874861694</v>
      </c>
      <c r="D14" s="699">
        <f>Table4!G10</f>
        <v>18858.080816655383</v>
      </c>
      <c r="E14" s="3125">
        <f>Table4!H10</f>
        <v>453.75913082960778</v>
      </c>
      <c r="F14" s="3125">
        <f>Table4!F10</f>
        <v>725.69758942686053</v>
      </c>
      <c r="G14" s="3702"/>
      <c r="H14" s="3703" t="s">
        <v>221</v>
      </c>
      <c r="I14" s="2921" t="s">
        <v>221</v>
      </c>
    </row>
    <row r="15" spans="2:9" ht="18" customHeight="1" x14ac:dyDescent="0.2">
      <c r="B15" s="2419" t="s">
        <v>2040</v>
      </c>
      <c r="C15" s="3149">
        <f>Table5!D10</f>
        <v>459.13423565516041</v>
      </c>
      <c r="D15" s="699" t="str">
        <f>Table5!G10</f>
        <v>NO</v>
      </c>
      <c r="E15" s="3125">
        <f>Table5!H10</f>
        <v>222.84781458873604</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2" t="s">
        <v>2171</v>
      </c>
      <c r="C250" s="4543"/>
      <c r="D250" s="4543"/>
      <c r="E250" s="4543"/>
      <c r="F250" s="4543"/>
      <c r="G250" s="4544"/>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2019</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348366.06295424193</v>
      </c>
      <c r="D10" s="3840">
        <f>SUM(D11,D22,D30,D41,D50,D56)</f>
        <v>333156.89432967268</v>
      </c>
      <c r="E10" s="3842">
        <f>IF(D10="NO",IF(C10="NO","NA",-C10),IF(C10="NO",D10,D10-C10))</f>
        <v>-15209.168624569254</v>
      </c>
      <c r="F10" s="3840">
        <f>IF(E10="NA","NA",E10/C10*100)</f>
        <v>-4.3658582858477191</v>
      </c>
      <c r="G10" s="3843">
        <f>IF(E10="NA","NA",E10/Table8s2!$G$35*100)</f>
        <v>-2.7443019332601617</v>
      </c>
      <c r="H10" s="3844">
        <f>IF(E10="NA","NA",E10/Table8s2!$G$34*100)</f>
        <v>-3.0994476431220415</v>
      </c>
      <c r="I10" s="4488">
        <f>SUM(I11,I22,I30,I41,I50,I56)</f>
        <v>126392.97711138389</v>
      </c>
      <c r="J10" s="3840">
        <f>SUM(J11,J22,J30,J41,J50,J56)</f>
        <v>127519.33572967128</v>
      </c>
      <c r="K10" s="3842">
        <f t="shared" ref="K10:K12" si="0">IF(J10="NO",IF(I10="NO","NA",-I10),IF(I10="NO",J10,J10-I10))</f>
        <v>1126.3586182873842</v>
      </c>
      <c r="L10" s="3840">
        <f t="shared" ref="L10:L12" si="1">IF(K10="NA","NA",K10/I10*100)</f>
        <v>0.89115601517541587</v>
      </c>
      <c r="M10" s="3843">
        <f>IF(K10="NA","NA",K10/Table8s2!$G$35*100)</f>
        <v>0.20323715319435198</v>
      </c>
      <c r="N10" s="3844">
        <f>IF(K10="NA","NA",K10/Table8s2!$G$34*100)</f>
        <v>0.22953848766733001</v>
      </c>
      <c r="O10" s="4488">
        <f>SUM(O11,O22,O30,O41,O50,O56)</f>
        <v>19994.971276994227</v>
      </c>
      <c r="P10" s="3840">
        <f>SUM(P11,P22,P30,P41,P50,P56)</f>
        <v>18938.609743951292</v>
      </c>
      <c r="Q10" s="3842">
        <f t="shared" ref="Q10:Q12" si="2">IF(P10="NO",IF(O10="NO","NA",-O10),IF(O10="NO",P10,P10-O10))</f>
        <v>-1056.3615330429348</v>
      </c>
      <c r="R10" s="3840">
        <f t="shared" ref="R10:R12" si="3">IF(Q10="NA","NA",Q10/O10*100)</f>
        <v>-5.2831360366011682</v>
      </c>
      <c r="S10" s="3843">
        <f>IF(Q10="NA","NA",Q10/Table8s2!$G$35*100)</f>
        <v>-0.19060706531113877</v>
      </c>
      <c r="T10" s="3844">
        <f>IF(Q10="NA","NA",Q10/Table8s2!$G$34*100)</f>
        <v>-0.21527391435358215</v>
      </c>
    </row>
    <row r="11" spans="2:20" ht="18" customHeight="1" x14ac:dyDescent="0.2">
      <c r="B11" s="1404" t="s">
        <v>1921</v>
      </c>
      <c r="C11" s="3841">
        <f>SUM(C12,C18,C21)</f>
        <v>393744.40400292282</v>
      </c>
      <c r="D11" s="3841">
        <f>Summary2!C11</f>
        <v>393703.19259955682</v>
      </c>
      <c r="E11" s="3845">
        <f t="shared" ref="E11:E38" si="4">IF(D11="NO",IF(C11="NO","NA",-C11),IF(C11="NO",D11,D11-C11))</f>
        <v>-41.211403366003651</v>
      </c>
      <c r="F11" s="3841">
        <f t="shared" ref="F11:F38" si="5">IF(E11="NA","NA",E11/C11*100)</f>
        <v>-1.0466536907454749E-2</v>
      </c>
      <c r="G11" s="3846">
        <f>IF(E11="NA","NA",E11/Table8s2!$G$35*100)</f>
        <v>-7.4360760092428277E-3</v>
      </c>
      <c r="H11" s="3847">
        <f>IF(E11="NA","NA",E11/Table8s2!$G$34*100)</f>
        <v>-8.3983937705950275E-3</v>
      </c>
      <c r="I11" s="3848">
        <f>SUM(I12,I18,I21)</f>
        <v>37961.154218869553</v>
      </c>
      <c r="J11" s="3841">
        <f>Summary2!D11</f>
        <v>38322.651986744604</v>
      </c>
      <c r="K11" s="3845">
        <f t="shared" si="0"/>
        <v>361.49776787505107</v>
      </c>
      <c r="L11" s="3841">
        <f t="shared" si="1"/>
        <v>0.95228339420554142</v>
      </c>
      <c r="M11" s="3846">
        <f>IF(K11="NA","NA",K11/Table8s2!$G$35*100)</f>
        <v>6.5227695723363871E-2</v>
      </c>
      <c r="N11" s="3847">
        <f>IF(K11="NA","NA",K11/Table8s2!$G$34*100)</f>
        <v>7.3668944851082441E-2</v>
      </c>
      <c r="O11" s="3848">
        <f>SUM(O12,O18,O21)</f>
        <v>2657.1293303600678</v>
      </c>
      <c r="P11" s="3841">
        <f>Summary2!E11</f>
        <v>2656.9584595052215</v>
      </c>
      <c r="Q11" s="3845">
        <f t="shared" si="2"/>
        <v>-0.17087085484627096</v>
      </c>
      <c r="R11" s="3841">
        <f t="shared" si="3"/>
        <v>-6.430656306184248E-3</v>
      </c>
      <c r="S11" s="3846">
        <f>IF(Q11="NA","NA",Q11/Table8s2!$G$35*100)</f>
        <v>-3.0831482566044494E-5</v>
      </c>
      <c r="T11" s="3847">
        <f>IF(Q11="NA","NA",Q11/Table8s2!$G$34*100)</f>
        <v>-3.4821447602072476E-5</v>
      </c>
    </row>
    <row r="12" spans="2:20" ht="18" customHeight="1" x14ac:dyDescent="0.2">
      <c r="B12" s="606" t="s">
        <v>242</v>
      </c>
      <c r="C12" s="3841">
        <f>SUM(C13:C17)</f>
        <v>373545.15737219184</v>
      </c>
      <c r="D12" s="3841">
        <f>Summary2!C12</f>
        <v>373491.22235545854</v>
      </c>
      <c r="E12" s="3841">
        <f t="shared" si="4"/>
        <v>-53.9350167333032</v>
      </c>
      <c r="F12" s="3849">
        <f t="shared" si="5"/>
        <v>-1.4438687175795344E-2</v>
      </c>
      <c r="G12" s="3846">
        <f>IF(E12="NA","NA",E12/Table8s2!$G$35*100)</f>
        <v>-9.7318909629628171E-3</v>
      </c>
      <c r="H12" s="3847">
        <f>IF(E12="NA","NA",E12/Table8s2!$G$34*100)</f>
        <v>-1.0991314819518542E-2</v>
      </c>
      <c r="I12" s="3848">
        <f>SUM(I13:I17)</f>
        <v>2395.4900070171539</v>
      </c>
      <c r="J12" s="3841">
        <f>Summary2!D12</f>
        <v>2397.2304923522042</v>
      </c>
      <c r="K12" s="3841">
        <f t="shared" si="0"/>
        <v>1.7404853350503799</v>
      </c>
      <c r="L12" s="3849">
        <f t="shared" si="1"/>
        <v>7.2656756235757333E-2</v>
      </c>
      <c r="M12" s="3846">
        <f>IF(K12="NA","NA",K12/Table8s2!$G$35*100)</f>
        <v>3.1404854451240547E-4</v>
      </c>
      <c r="N12" s="3847">
        <f>IF(K12="NA","NA",K12/Table8s2!$G$34*100)</f>
        <v>3.5469020712255783E-4</v>
      </c>
      <c r="O12" s="3850">
        <f>SUM(O13:O17)</f>
        <v>2576.3780052829447</v>
      </c>
      <c r="P12" s="3849">
        <f>Summary2!E12</f>
        <v>2576.2071344280989</v>
      </c>
      <c r="Q12" s="3841">
        <f t="shared" si="2"/>
        <v>-0.17087085484581621</v>
      </c>
      <c r="R12" s="3849">
        <f t="shared" si="3"/>
        <v>-6.6322121402775562E-3</v>
      </c>
      <c r="S12" s="3846">
        <f>IF(Q12="NA","NA",Q12/Table8s2!$G$35*100)</f>
        <v>-3.0831482565962447E-5</v>
      </c>
      <c r="T12" s="3847">
        <f>IF(Q12="NA","NA",Q12/Table8s2!$G$34*100)</f>
        <v>-3.4821447601979804E-5</v>
      </c>
    </row>
    <row r="13" spans="2:20" ht="18" customHeight="1" x14ac:dyDescent="0.2">
      <c r="B13" s="1391" t="s">
        <v>1923</v>
      </c>
      <c r="C13" s="3849">
        <v>212185.04466208414</v>
      </c>
      <c r="D13" s="3841">
        <f>Summary2!C13</f>
        <v>211944.24017957889</v>
      </c>
      <c r="E13" s="3841">
        <f t="shared" si="4"/>
        <v>-240.80448250524933</v>
      </c>
      <c r="F13" s="3849">
        <f t="shared" si="5"/>
        <v>-0.11348796183479526</v>
      </c>
      <c r="G13" s="3846">
        <f>IF(E13="NA","NA",E13/Table8s2!$G$35*100)</f>
        <v>-4.3450120331319855E-2</v>
      </c>
      <c r="H13" s="3847">
        <f>IF(E13="NA","NA",E13/Table8s2!$G$34*100)</f>
        <v>-4.9073089014768936E-2</v>
      </c>
      <c r="I13" s="3848">
        <v>971.72882382019304</v>
      </c>
      <c r="J13" s="3841">
        <f>Summary2!D13</f>
        <v>973.22150888281021</v>
      </c>
      <c r="K13" s="3841">
        <f t="shared" ref="K13" si="6">IF(J13="NO",IF(I13="NO","NA",-I13),IF(I13="NO",J13,J13-I13))</f>
        <v>1.4926850626171699</v>
      </c>
      <c r="L13" s="3849">
        <f t="shared" ref="L13" si="7">IF(K13="NA","NA",K13/I13*100)</f>
        <v>0.15361127775843086</v>
      </c>
      <c r="M13" s="3846">
        <f>IF(K13="NA","NA",K13/Table8s2!$G$35*100)</f>
        <v>2.6933612245389122E-4</v>
      </c>
      <c r="N13" s="3847">
        <f>IF(K13="NA","NA",K13/Table8s2!$G$34*100)</f>
        <v>3.0419145933976343E-4</v>
      </c>
      <c r="O13" s="3850">
        <v>797.48009056831359</v>
      </c>
      <c r="P13" s="3849">
        <f>Summary2!E13</f>
        <v>796.42189745638018</v>
      </c>
      <c r="Q13" s="3841">
        <f t="shared" ref="Q13" si="8">IF(P13="NO",IF(O13="NO","NA",-O13),IF(O13="NO",P13,P13-O13))</f>
        <v>-1.0581931119334058</v>
      </c>
      <c r="R13" s="3849">
        <f t="shared" ref="R13" si="9">IF(Q13="NA","NA",Q13/O13*100)</f>
        <v>-0.1326921040974576</v>
      </c>
      <c r="S13" s="3846">
        <f>IF(Q13="NA","NA",Q13/Table8s2!$G$35*100)</f>
        <v>-1.9093755053450057E-4</v>
      </c>
      <c r="T13" s="3847">
        <f>IF(Q13="NA","NA",Q13/Table8s2!$G$34*100)</f>
        <v>-2.1564716834368469E-4</v>
      </c>
    </row>
    <row r="14" spans="2:20" ht="18" customHeight="1" x14ac:dyDescent="0.2">
      <c r="B14" s="1391" t="s">
        <v>1976</v>
      </c>
      <c r="C14" s="3849">
        <v>41150.60815262176</v>
      </c>
      <c r="D14" s="3841">
        <f>Summary2!C14</f>
        <v>41337.502229621896</v>
      </c>
      <c r="E14" s="3841">
        <f t="shared" si="4"/>
        <v>186.89407700013544</v>
      </c>
      <c r="F14" s="3849">
        <f t="shared" si="5"/>
        <v>0.45417087472187984</v>
      </c>
      <c r="G14" s="3846">
        <f>IF(E14="NA","NA",E14/Table8s2!$G$35*100)</f>
        <v>3.3722670152910549E-2</v>
      </c>
      <c r="H14" s="3847">
        <f>IF(E14="NA","NA",E14/Table8s2!$G$34*100)</f>
        <v>3.8086789670789441E-2</v>
      </c>
      <c r="I14" s="3848">
        <v>64.751728555835243</v>
      </c>
      <c r="J14" s="3841">
        <f>Summary2!D14</f>
        <v>65.167913177707121</v>
      </c>
      <c r="K14" s="3841">
        <f t="shared" ref="K14:K20" si="10">IF(J14="NO",IF(I14="NO","NA",-I14),IF(I14="NO",J14,J14-I14))</f>
        <v>0.41618462187187788</v>
      </c>
      <c r="L14" s="3849">
        <f t="shared" ref="L14:L20" si="11">IF(K14="NA","NA",K14/I14*100)</f>
        <v>0.64273901431527503</v>
      </c>
      <c r="M14" s="3846">
        <f>IF(K14="NA","NA",K14/Table8s2!$G$35*100)</f>
        <v>7.5095246202419615E-5</v>
      </c>
      <c r="N14" s="3847">
        <f>IF(K14="NA","NA",K14/Table8s2!$G$34*100)</f>
        <v>8.4813475161333012E-5</v>
      </c>
      <c r="O14" s="3850">
        <v>389.17645395684224</v>
      </c>
      <c r="P14" s="3849">
        <f>Summary2!E14</f>
        <v>390.06018753225078</v>
      </c>
      <c r="Q14" s="3841">
        <f t="shared" ref="Q14:Q20" si="12">IF(P14="NO",IF(O14="NO","NA",-O14),IF(O14="NO",P14,P14-O14))</f>
        <v>0.88373357540854158</v>
      </c>
      <c r="R14" s="3849">
        <f t="shared" ref="R14:R20" si="13">IF(Q14="NA","NA",Q14/O14*100)</f>
        <v>0.22707786311926859</v>
      </c>
      <c r="S14" s="3846">
        <f>IF(Q14="NA","NA",Q14/Table8s2!$G$35*100)</f>
        <v>1.5945853579154868E-4</v>
      </c>
      <c r="T14" s="3847">
        <f>IF(Q14="NA","NA",Q14/Table8s2!$G$34*100)</f>
        <v>1.8009439010512607E-4</v>
      </c>
    </row>
    <row r="15" spans="2:20" ht="18" customHeight="1" x14ac:dyDescent="0.2">
      <c r="B15" s="1391" t="s">
        <v>1925</v>
      </c>
      <c r="C15" s="3849">
        <v>98631.029975998928</v>
      </c>
      <c r="D15" s="3841">
        <f>Summary2!C15</f>
        <v>98631.003512585303</v>
      </c>
      <c r="E15" s="3841">
        <f t="shared" si="4"/>
        <v>-2.6463413625606336E-2</v>
      </c>
      <c r="F15" s="3849">
        <f t="shared" si="5"/>
        <v>-2.68307181138086E-5</v>
      </c>
      <c r="G15" s="3846">
        <f>IF(E15="NA","NA",E15/Table8s2!$G$35*100)</f>
        <v>-4.7749879671987386E-6</v>
      </c>
      <c r="H15" s="3847">
        <f>IF(E15="NA","NA",E15/Table8s2!$G$34*100)</f>
        <v>-5.3929288980562049E-6</v>
      </c>
      <c r="I15" s="3848">
        <v>364.26182486294761</v>
      </c>
      <c r="J15" s="3841">
        <f>Summary2!D15</f>
        <v>364.09249428960356</v>
      </c>
      <c r="K15" s="3841">
        <f t="shared" si="10"/>
        <v>-0.16933057334404111</v>
      </c>
      <c r="L15" s="3849">
        <f t="shared" si="11"/>
        <v>-4.6485950979834691E-2</v>
      </c>
      <c r="M15" s="3846">
        <f>IF(K15="NA","NA",K15/Table8s2!$G$35*100)</f>
        <v>-3.0553558268623933E-5</v>
      </c>
      <c r="N15" s="3847">
        <f>IF(K15="NA","NA",K15/Table8s2!$G$34*100)</f>
        <v>-3.4507556554529039E-5</v>
      </c>
      <c r="O15" s="3850">
        <v>1209.2205936421906</v>
      </c>
      <c r="P15" s="3849">
        <f>Summary2!E15</f>
        <v>1209.2241229483107</v>
      </c>
      <c r="Q15" s="3841">
        <f t="shared" si="12"/>
        <v>3.5293061200718512E-3</v>
      </c>
      <c r="R15" s="3849">
        <f t="shared" si="13"/>
        <v>2.9186619369767167E-4</v>
      </c>
      <c r="S15" s="3846">
        <f>IF(Q15="NA","NA",Q15/Table8s2!$G$35*100)</f>
        <v>6.3681860905493172E-7</v>
      </c>
      <c r="T15" s="3847">
        <f>IF(Q15="NA","NA",Q15/Table8s2!$G$34*100)</f>
        <v>7.1923060396884124E-7</v>
      </c>
    </row>
    <row r="16" spans="2:20" ht="18" customHeight="1" x14ac:dyDescent="0.2">
      <c r="B16" s="1391" t="s">
        <v>1926</v>
      </c>
      <c r="C16" s="3849">
        <v>20793.448683802824</v>
      </c>
      <c r="D16" s="3841">
        <f>Summary2!C16</f>
        <v>20793.450536002136</v>
      </c>
      <c r="E16" s="3841">
        <f t="shared" si="4"/>
        <v>1.8521993115427904E-3</v>
      </c>
      <c r="F16" s="3849">
        <f t="shared" si="5"/>
        <v>8.9076099867241916E-6</v>
      </c>
      <c r="G16" s="3846">
        <f>IF(E16="NA","NA",E16/Table8s2!$G$35*100)</f>
        <v>3.3420591729378489E-7</v>
      </c>
      <c r="H16" s="3847">
        <f>IF(E16="NA","NA",E16/Table8s2!$G$34*100)</f>
        <v>3.7745618662414938E-7</v>
      </c>
      <c r="I16" s="3848">
        <v>993.84774373517109</v>
      </c>
      <c r="J16" s="3841">
        <f>Summary2!D16</f>
        <v>993.84864968881288</v>
      </c>
      <c r="K16" s="3841">
        <f t="shared" si="10"/>
        <v>9.0595364179080207E-4</v>
      </c>
      <c r="L16" s="3849">
        <f t="shared" si="11"/>
        <v>9.1156180360782711E-5</v>
      </c>
      <c r="M16" s="3846">
        <f>IF(K16="NA","NA",K16/Table8s2!$G$35*100)</f>
        <v>1.6346786546861598E-7</v>
      </c>
      <c r="N16" s="3847">
        <f>IF(K16="NA","NA",K16/Table8s2!$G$34*100)</f>
        <v>1.8462257531225556E-7</v>
      </c>
      <c r="O16" s="3850">
        <v>174.6971312081225</v>
      </c>
      <c r="P16" s="3849">
        <f>Summary2!E16</f>
        <v>174.69718914193419</v>
      </c>
      <c r="Q16" s="3841">
        <f t="shared" si="12"/>
        <v>5.7933811689281356E-5</v>
      </c>
      <c r="R16" s="3849">
        <f t="shared" si="13"/>
        <v>3.3162428763791709E-5</v>
      </c>
      <c r="S16" s="3846">
        <f>IF(Q16="NA","NA",Q16/Table8s2!$G$35*100)</f>
        <v>1.0453422888821956E-8</v>
      </c>
      <c r="T16" s="3847">
        <f>IF(Q16="NA","NA",Q16/Table8s2!$G$34*100)</f>
        <v>1.1806221663381994E-8</v>
      </c>
    </row>
    <row r="17" spans="2:20" ht="18" customHeight="1" x14ac:dyDescent="0.2">
      <c r="B17" s="1391" t="s">
        <v>1927</v>
      </c>
      <c r="C17" s="3849">
        <v>785.02589768422047</v>
      </c>
      <c r="D17" s="3841">
        <f>Summary2!C17</f>
        <v>785.02589767037421</v>
      </c>
      <c r="E17" s="3841">
        <f t="shared" si="4"/>
        <v>-1.3846261026628781E-8</v>
      </c>
      <c r="F17" s="3849">
        <f t="shared" si="5"/>
        <v>-1.7637967189967138E-9</v>
      </c>
      <c r="G17" s="3846">
        <f>IF(E17="NA","NA",E17/Table8s2!$G$35*100)</f>
        <v>-2.4983825113503445E-12</v>
      </c>
      <c r="H17" s="3847">
        <f>IF(E17="NA","NA",E17/Table8s2!$G$34*100)</f>
        <v>-2.8217032872993468E-12</v>
      </c>
      <c r="I17" s="3848">
        <v>0.89988604300688901</v>
      </c>
      <c r="J17" s="3841">
        <f>Summary2!D17</f>
        <v>0.89992631327028227</v>
      </c>
      <c r="K17" s="3841">
        <f t="shared" si="10"/>
        <v>4.0270263393260564E-5</v>
      </c>
      <c r="L17" s="3849">
        <f t="shared" si="11"/>
        <v>4.4750403349629771E-3</v>
      </c>
      <c r="M17" s="3846">
        <f>IF(K17="NA","NA",K17/Table8s2!$G$35*100)</f>
        <v>7.2662592158058079E-9</v>
      </c>
      <c r="N17" s="3847">
        <f>IF(K17="NA","NA",K17/Table8s2!$G$34*100)</f>
        <v>8.2066006395980925E-9</v>
      </c>
      <c r="O17" s="3850">
        <v>5.8037359074758932</v>
      </c>
      <c r="P17" s="3849">
        <f>Summary2!E17</f>
        <v>5.8037373492232875</v>
      </c>
      <c r="Q17" s="3841">
        <f t="shared" si="12"/>
        <v>1.4417473943595382E-6</v>
      </c>
      <c r="R17" s="3849">
        <f t="shared" si="13"/>
        <v>2.4841712602780534E-5</v>
      </c>
      <c r="S17" s="3846">
        <f>IF(Q17="NA","NA",Q17/Table8s2!$G$35*100)</f>
        <v>2.6014506507752907E-10</v>
      </c>
      <c r="T17" s="3847">
        <f>IF(Q17="NA","NA",Q17/Table8s2!$G$34*100)</f>
        <v>2.9381096848425359E-10</v>
      </c>
    </row>
    <row r="18" spans="2:20" ht="18" customHeight="1" x14ac:dyDescent="0.2">
      <c r="B18" s="606" t="s">
        <v>201</v>
      </c>
      <c r="C18" s="3849">
        <f>SUM(C19:C20)</f>
        <v>20199.246630730973</v>
      </c>
      <c r="D18" s="3841">
        <f>Summary2!C18</f>
        <v>20211.970244098262</v>
      </c>
      <c r="E18" s="3841">
        <f t="shared" si="4"/>
        <v>12.723613367288635</v>
      </c>
      <c r="F18" s="3849">
        <f t="shared" si="5"/>
        <v>6.2990534250574631E-2</v>
      </c>
      <c r="G18" s="3846">
        <f>IF(E18="NA","NA",E18/Table8s2!$G$35*100)</f>
        <v>2.295814953718021E-3</v>
      </c>
      <c r="H18" s="3847">
        <f>IF(E18="NA","NA",E18/Table8s2!$G$34*100)</f>
        <v>2.5929210489212882E-3</v>
      </c>
      <c r="I18" s="3848">
        <f>SUM(I19:I20)</f>
        <v>35565.664211852396</v>
      </c>
      <c r="J18" s="3841">
        <f>Summary2!D18</f>
        <v>35925.421494392402</v>
      </c>
      <c r="K18" s="3841">
        <f t="shared" si="10"/>
        <v>359.75728254000569</v>
      </c>
      <c r="L18" s="3849">
        <f t="shared" si="11"/>
        <v>1.0115297732021977</v>
      </c>
      <c r="M18" s="3846">
        <f>IF(K18="NA","NA",K18/Table8s2!$G$35*100)</f>
        <v>6.4913647178852368E-2</v>
      </c>
      <c r="N18" s="3847">
        <f>IF(K18="NA","NA",K18/Table8s2!$G$34*100)</f>
        <v>7.3314254643960908E-2</v>
      </c>
      <c r="O18" s="3850">
        <f>SUM(O19:O20)</f>
        <v>80.751325077122871</v>
      </c>
      <c r="P18" s="3849">
        <f>Summary2!E18</f>
        <v>80.751325077122885</v>
      </c>
      <c r="Q18" s="3841">
        <f t="shared" si="12"/>
        <v>1.4210854715202004E-14</v>
      </c>
      <c r="R18" s="3849">
        <f t="shared" si="13"/>
        <v>1.759829290928625E-14</v>
      </c>
      <c r="S18" s="3846">
        <f>IF(Q18="NA","NA",Q18/Table8s2!$G$35*100)</f>
        <v>2.5641688267699542E-18</v>
      </c>
      <c r="T18" s="3847">
        <f>IF(Q18="NA","NA",Q18/Table8s2!$G$34*100)</f>
        <v>2.8960031439608058E-18</v>
      </c>
    </row>
    <row r="19" spans="2:20" ht="18" customHeight="1" x14ac:dyDescent="0.2">
      <c r="B19" s="1391" t="s">
        <v>1928</v>
      </c>
      <c r="C19" s="3849">
        <v>2062.3470403633114</v>
      </c>
      <c r="D19" s="3841">
        <f>Summary2!C19</f>
        <v>2062.3470403633114</v>
      </c>
      <c r="E19" s="3841">
        <f t="shared" si="4"/>
        <v>0</v>
      </c>
      <c r="F19" s="3849">
        <f t="shared" si="5"/>
        <v>0</v>
      </c>
      <c r="G19" s="3846">
        <f>IF(E19="NA","NA",E19/Table8s2!$G$35*100)</f>
        <v>0</v>
      </c>
      <c r="H19" s="3847">
        <f>IF(E19="NA","NA",E19/Table8s2!$G$34*100)</f>
        <v>0</v>
      </c>
      <c r="I19" s="3848">
        <v>27330.019814738451</v>
      </c>
      <c r="J19" s="3841">
        <f>Summary2!D19</f>
        <v>27330.019814738451</v>
      </c>
      <c r="K19" s="3841">
        <f t="shared" si="10"/>
        <v>0</v>
      </c>
      <c r="L19" s="3849">
        <f t="shared" si="11"/>
        <v>0</v>
      </c>
      <c r="M19" s="3846">
        <f>IF(K19="NA","NA",K19/Table8s2!$G$35*100)</f>
        <v>0</v>
      </c>
      <c r="N19" s="3847">
        <f>IF(K19="NA","NA",K19/Table8s2!$G$34*100)</f>
        <v>0</v>
      </c>
      <c r="O19" s="3850">
        <v>0.3517474012872171</v>
      </c>
      <c r="P19" s="3849">
        <f>Summary2!E19</f>
        <v>0.3517474012872171</v>
      </c>
      <c r="Q19" s="3841">
        <f t="shared" si="12"/>
        <v>0</v>
      </c>
      <c r="R19" s="3849">
        <f t="shared" si="13"/>
        <v>0</v>
      </c>
      <c r="S19" s="3846">
        <f>IF(Q19="NA","NA",Q19/Table8s2!$G$35*100)</f>
        <v>0</v>
      </c>
      <c r="T19" s="3847">
        <f>IF(Q19="NA","NA",Q19/Table8s2!$G$34*100)</f>
        <v>0</v>
      </c>
    </row>
    <row r="20" spans="2:20" ht="18" customHeight="1" x14ac:dyDescent="0.2">
      <c r="B20" s="1392" t="s">
        <v>1929</v>
      </c>
      <c r="C20" s="3851">
        <v>18136.899590367662</v>
      </c>
      <c r="D20" s="3852">
        <f>Summary2!C20</f>
        <v>18149.623203734951</v>
      </c>
      <c r="E20" s="3852">
        <f t="shared" si="4"/>
        <v>12.723613367288635</v>
      </c>
      <c r="F20" s="3851">
        <f t="shared" si="5"/>
        <v>7.0153188552943349E-2</v>
      </c>
      <c r="G20" s="3853">
        <f>IF(E20="NA","NA",E20/Table8s2!$G$35*100)</f>
        <v>2.295814953718021E-3</v>
      </c>
      <c r="H20" s="3854">
        <f>IF(E20="NA","NA",E20/Table8s2!$G$34*100)</f>
        <v>2.5929210489212882E-3</v>
      </c>
      <c r="I20" s="3855">
        <v>8235.6443971139452</v>
      </c>
      <c r="J20" s="3852">
        <f>Summary2!D20</f>
        <v>8595.4016796539527</v>
      </c>
      <c r="K20" s="3841">
        <f t="shared" si="10"/>
        <v>359.75728254000751</v>
      </c>
      <c r="L20" s="3849">
        <f t="shared" si="11"/>
        <v>4.3682954871883357</v>
      </c>
      <c r="M20" s="3846">
        <f>IF(K20="NA","NA",K20/Table8s2!$G$35*100)</f>
        <v>6.4913647178852688E-2</v>
      </c>
      <c r="N20" s="3847">
        <f>IF(K20="NA","NA",K20/Table8s2!$G$34*100)</f>
        <v>7.3314254643961269E-2</v>
      </c>
      <c r="O20" s="3856">
        <v>80.399577675835658</v>
      </c>
      <c r="P20" s="3851">
        <f>Summary2!E20</f>
        <v>80.399577675835673</v>
      </c>
      <c r="Q20" s="3841">
        <f t="shared" si="12"/>
        <v>1.4210854715202004E-14</v>
      </c>
      <c r="R20" s="3849">
        <f t="shared" si="13"/>
        <v>1.7675285276371694E-14</v>
      </c>
      <c r="S20" s="3846">
        <f>IF(Q20="NA","NA",Q20/Table8s2!$G$35*100)</f>
        <v>2.5641688267699542E-18</v>
      </c>
      <c r="T20" s="3847">
        <f>IF(Q20="NA","NA",Q20/Table8s2!$G$34*100)</f>
        <v>2.8960031439608058E-18</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19370.098152743867</v>
      </c>
      <c r="D22" s="3841">
        <f>Summary2!C22</f>
        <v>19369.841919175869</v>
      </c>
      <c r="E22" s="3863">
        <f t="shared" si="4"/>
        <v>-0.25623356799769681</v>
      </c>
      <c r="F22" s="3863">
        <f t="shared" si="5"/>
        <v>-1.3228305090513964E-3</v>
      </c>
      <c r="G22" s="3864">
        <f>IF(E22="NA","NA",E22/Table8s2!$G$35*100)</f>
        <v>-4.6234103479284926E-5</v>
      </c>
      <c r="H22" s="3865">
        <f>IF(E22="NA","NA",E22/Table8s2!$G$34*100)</f>
        <v>-5.2217353099515994E-5</v>
      </c>
      <c r="I22" s="3841">
        <f>SUM(I23:I29)</f>
        <v>80.674723207937504</v>
      </c>
      <c r="J22" s="3841">
        <f>Summary2!D22</f>
        <v>80.67472320793749</v>
      </c>
      <c r="K22" s="3863">
        <f t="shared" ref="K22" si="14">IF(J22="NO",IF(I22="NO","NA",-I22),IF(I22="NO",J22,J22-I22))</f>
        <v>-1.4210854715202004E-14</v>
      </c>
      <c r="L22" s="3863">
        <f t="shared" ref="L22" si="15">IF(K22="NA","NA",K22/I22*100)</f>
        <v>-1.7615002754423844E-14</v>
      </c>
      <c r="M22" s="3864">
        <f>IF(K22="NA","NA",K22/Table8s2!$G$35*100)</f>
        <v>-2.5641688267699542E-18</v>
      </c>
      <c r="N22" s="3865">
        <f>IF(K22="NA","NA",K22/Table8s2!$G$34*100)</f>
        <v>-2.8960031439608058E-18</v>
      </c>
      <c r="O22" s="3841">
        <f>SUM(O23:O29)</f>
        <v>1995.8529788843819</v>
      </c>
      <c r="P22" s="3841">
        <f>Summary2!E22</f>
        <v>1995.8529788843819</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5589.1561490136137</v>
      </c>
      <c r="D23" s="3841">
        <f>Summary2!C23</f>
        <v>5588.8987343287281</v>
      </c>
      <c r="E23" s="3841">
        <f t="shared" si="4"/>
        <v>-0.25741468488558894</v>
      </c>
      <c r="F23" s="3849">
        <f t="shared" si="5"/>
        <v>-4.60560911204848E-3</v>
      </c>
      <c r="G23" s="3846">
        <f>IF(E23="NA","NA",E23/Table8s2!$G$35*100)</f>
        <v>-4.6447221069000675E-5</v>
      </c>
      <c r="H23" s="3847">
        <f>IF(E23="NA","NA",E23/Table8s2!$G$34*100)</f>
        <v>-5.2458050671144938E-5</v>
      </c>
      <c r="I23" s="1950"/>
      <c r="J23" s="1950"/>
      <c r="K23" s="1950"/>
      <c r="L23" s="1950"/>
      <c r="M23" s="1950"/>
      <c r="N23" s="1950"/>
      <c r="O23" s="1950"/>
      <c r="P23" s="1950"/>
      <c r="Q23" s="1950"/>
      <c r="R23" s="1950"/>
      <c r="S23" s="1950"/>
      <c r="T23" s="1950"/>
    </row>
    <row r="24" spans="2:20" ht="18" customHeight="1" x14ac:dyDescent="0.2">
      <c r="B24" s="1393" t="s">
        <v>846</v>
      </c>
      <c r="C24" s="3841">
        <v>2820.770229881934</v>
      </c>
      <c r="D24" s="3841">
        <f>Summary2!C24</f>
        <v>2820.7714109988174</v>
      </c>
      <c r="E24" s="3841">
        <f t="shared" si="4"/>
        <v>1.1811168833446573E-3</v>
      </c>
      <c r="F24" s="3849">
        <f t="shared" si="5"/>
        <v>4.1872140837011529E-5</v>
      </c>
      <c r="G24" s="3846">
        <f>IF(E24="NA","NA",E24/Table8s2!$G$35*100)</f>
        <v>2.1311758889521547E-7</v>
      </c>
      <c r="H24" s="3847">
        <f>IF(E24="NA","NA",E24/Table8s2!$G$34*100)</f>
        <v>2.4069757070222033E-7</v>
      </c>
      <c r="I24" s="3848">
        <v>12.140799999999999</v>
      </c>
      <c r="J24" s="3841">
        <f>Summary2!D24</f>
        <v>12.140799999999999</v>
      </c>
      <c r="K24" s="3841">
        <f t="shared" ref="K24" si="18">IF(J24="NO",IF(I24="NO","NA",-I24),IF(I24="NO",J24,J24-I24))</f>
        <v>0</v>
      </c>
      <c r="L24" s="3849">
        <f t="shared" ref="L24" si="19">IF(K24="NA","NA",K24/I24*100)</f>
        <v>0</v>
      </c>
      <c r="M24" s="3846">
        <f>IF(K24="NA","NA",K24/Table8s2!$G$35*100)</f>
        <v>0</v>
      </c>
      <c r="N24" s="3847">
        <f>IF(K24="NA","NA",K24/Table8s2!$G$34*100)</f>
        <v>0</v>
      </c>
      <c r="O24" s="3850">
        <v>1980.981130739468</v>
      </c>
      <c r="P24" s="3849">
        <f>Summary2!E24</f>
        <v>1980.981130739468</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10558.578640061034</v>
      </c>
      <c r="D25" s="3841">
        <f>Summary2!C25</f>
        <v>10558.578640061036</v>
      </c>
      <c r="E25" s="3841">
        <f t="shared" si="4"/>
        <v>1.8189894035458565E-12</v>
      </c>
      <c r="F25" s="3849">
        <f t="shared" si="5"/>
        <v>1.7227597251057094E-14</v>
      </c>
      <c r="G25" s="3846">
        <f>IF(E25="NA","NA",E25/Table8s2!$G$35*100)</f>
        <v>3.2821360982655414E-16</v>
      </c>
      <c r="H25" s="3847">
        <f>IF(E25="NA","NA",E25/Table8s2!$G$34*100)</f>
        <v>3.7068840242698314E-16</v>
      </c>
      <c r="I25" s="3848">
        <v>68.533923207937505</v>
      </c>
      <c r="J25" s="3841">
        <f>Summary2!D25</f>
        <v>68.533923207937491</v>
      </c>
      <c r="K25" s="3841">
        <f t="shared" ref="K25:K26" si="22">IF(J25="NO",IF(I25="NO","NA",-I25),IF(I25="NO",J25,J25-I25))</f>
        <v>-1.4210854715202004E-14</v>
      </c>
      <c r="L25" s="3849">
        <f t="shared" ref="L25:L26" si="23">IF(K25="NA","NA",K25/I25*100)</f>
        <v>-2.073550447722818E-14</v>
      </c>
      <c r="M25" s="3846">
        <f>IF(K25="NA","NA",K25/Table8s2!$G$35*100)</f>
        <v>-2.5641688267699542E-18</v>
      </c>
      <c r="N25" s="3847">
        <f>IF(K25="NA","NA",K25/Table8s2!$G$34*100)</f>
        <v>-2.8960031439608058E-18</v>
      </c>
      <c r="O25" s="3850">
        <v>14.871848144913846</v>
      </c>
      <c r="P25" s="3849">
        <f>Summary2!E25</f>
        <v>14.871848144913844</v>
      </c>
      <c r="Q25" s="3841">
        <f t="shared" ref="Q25:Q29" si="24">IF(P25="NO",IF(O25="NO","NA",-O25),IF(O25="NO",P25,P25-O25))</f>
        <v>-1.7763568394002505E-15</v>
      </c>
      <c r="R25" s="3849">
        <f t="shared" ref="R25:R29" si="25">IF(Q25="NA","NA",Q25/O25*100)</f>
        <v>-1.1944425616043978E-14</v>
      </c>
      <c r="S25" s="3846">
        <f>IF(Q25="NA","NA",Q25/Table8s2!$G$35*100)</f>
        <v>-3.2052110334624428E-19</v>
      </c>
      <c r="T25" s="3847">
        <f>IF(Q25="NA","NA",Q25/Table8s2!$G$34*100)</f>
        <v>-3.6200039299510072E-19</v>
      </c>
    </row>
    <row r="26" spans="2:20" ht="18" customHeight="1" x14ac:dyDescent="0.2">
      <c r="B26" s="1394" t="s">
        <v>1978</v>
      </c>
      <c r="C26" s="3841">
        <v>182.598498605</v>
      </c>
      <c r="D26" s="3841">
        <f>Summary2!C26</f>
        <v>182.59849860500003</v>
      </c>
      <c r="E26" s="3841">
        <f t="shared" si="4"/>
        <v>2.8421709430404007E-14</v>
      </c>
      <c r="F26" s="3849">
        <f t="shared" si="5"/>
        <v>1.5565138622462778E-14</v>
      </c>
      <c r="G26" s="3846">
        <f>IF(E26="NA","NA",E26/Table8s2!$G$35*100)</f>
        <v>5.1283376535399085E-18</v>
      </c>
      <c r="H26" s="3847">
        <f>IF(E26="NA","NA",E26/Table8s2!$G$34*100)</f>
        <v>5.7920062879216116E-18</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218.99463518228731</v>
      </c>
      <c r="D29" s="3857">
        <f>Summary2!C30</f>
        <v>218.99463518228731</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2665.3844979798414</v>
      </c>
      <c r="D30" s="3877">
        <f>Summary2!C31</f>
        <v>2665.3844979798414</v>
      </c>
      <c r="E30" s="3863">
        <f t="shared" si="4"/>
        <v>0</v>
      </c>
      <c r="F30" s="3878">
        <f t="shared" si="5"/>
        <v>0</v>
      </c>
      <c r="G30" s="3879">
        <f>IF(E30="NA","NA",E30/Table8s2!$G$35*100)</f>
        <v>0</v>
      </c>
      <c r="H30" s="3880">
        <f>IF(E30="NA","NA",E30/Table8s2!$G$34*100)</f>
        <v>0</v>
      </c>
      <c r="I30" s="3876">
        <f>SUM(I31:I40)</f>
        <v>60680.732758012353</v>
      </c>
      <c r="J30" s="3877">
        <f>Summary2!D31</f>
        <v>60614.654336412976</v>
      </c>
      <c r="K30" s="3863">
        <f t="shared" ref="K30" si="28">IF(J30="NO",IF(I30="NO","NA",-I30),IF(I30="NO",J30,J30-I30))</f>
        <v>-66.07842159937718</v>
      </c>
      <c r="L30" s="3878">
        <f t="shared" ref="L30" si="29">IF(K30="NA","NA",K30/I30*100)</f>
        <v>-0.10889522686367381</v>
      </c>
      <c r="M30" s="3879">
        <f>IF(K30="NA","NA",K30/Table8s2!$G$35*100)</f>
        <v>-1.1923014637960635E-2</v>
      </c>
      <c r="N30" s="3880">
        <f>IF(K30="NA","NA",K30/Table8s2!$G$34*100)</f>
        <v>-1.3465996277834983E-2</v>
      </c>
      <c r="O30" s="3876">
        <f>SUM(O31:O40)</f>
        <v>11719.746348068837</v>
      </c>
      <c r="P30" s="3877">
        <f>Summary2!E31</f>
        <v>10466.800107336183</v>
      </c>
      <c r="Q30" s="3863">
        <f t="shared" ref="Q30" si="30">IF(P30="NO",IF(O30="NO","NA",-O30),IF(O30="NO",P30,P30-O30))</f>
        <v>-1252.9462407326537</v>
      </c>
      <c r="R30" s="3882">
        <f t="shared" ref="R30" si="31">IF(Q30="NA","NA",Q30/O30*100)</f>
        <v>-10.690898962494289</v>
      </c>
      <c r="S30" s="3883">
        <f>IF(Q30="NA","NA",Q30/Table8s2!$G$35*100)</f>
        <v>-0.2260782870905316</v>
      </c>
      <c r="T30" s="3884">
        <f>IF(Q30="NA","NA",Q30/Table8s2!$G$34*100)</f>
        <v>-0.25533553928280084</v>
      </c>
    </row>
    <row r="31" spans="2:20" ht="18" customHeight="1" x14ac:dyDescent="0.2">
      <c r="B31" s="606" t="s">
        <v>1938</v>
      </c>
      <c r="C31" s="3869"/>
      <c r="D31" s="3869"/>
      <c r="E31" s="3870"/>
      <c r="F31" s="3870"/>
      <c r="G31" s="3871"/>
      <c r="H31" s="3872"/>
      <c r="I31" s="3848">
        <v>53994.485831126447</v>
      </c>
      <c r="J31" s="3841">
        <f>Summary2!D32</f>
        <v>53994.483921424209</v>
      </c>
      <c r="K31" s="3885">
        <f t="shared" ref="K31:K33" si="32">IF(J31="NO",IF(I31="NO","NA",-I31),IF(I31="NO",J31,J31-I31))</f>
        <v>-1.9097022377536632E-3</v>
      </c>
      <c r="L31" s="3885">
        <f t="shared" ref="L31:L33" si="33">IF(K31="NA","NA",K31/I31*100)</f>
        <v>-3.536846787885826E-6</v>
      </c>
      <c r="M31" s="3886">
        <f>IF(K31="NA","NA",K31/Table8s2!$G$35*100)</f>
        <v>-3.4458159235295231E-7</v>
      </c>
      <c r="N31" s="3887">
        <f>IF(K31="NA","NA",K31/Table8s2!$G$34*100)</f>
        <v>-3.8917459895268372E-7</v>
      </c>
      <c r="O31" s="3888"/>
      <c r="P31" s="3889"/>
      <c r="Q31" s="3870"/>
      <c r="R31" s="3890"/>
      <c r="S31" s="3891"/>
      <c r="T31" s="3892"/>
    </row>
    <row r="32" spans="2:20" ht="18" customHeight="1" x14ac:dyDescent="0.2">
      <c r="B32" s="606" t="s">
        <v>1939</v>
      </c>
      <c r="C32" s="3893"/>
      <c r="D32" s="3893"/>
      <c r="E32" s="3894"/>
      <c r="F32" s="3894"/>
      <c r="G32" s="3871"/>
      <c r="H32" s="3872"/>
      <c r="I32" s="3848">
        <v>6498.1193033551626</v>
      </c>
      <c r="J32" s="3849">
        <f>Summary2!D33</f>
        <v>6432.0427914580159</v>
      </c>
      <c r="K32" s="3895">
        <f t="shared" si="32"/>
        <v>-66.076511897146702</v>
      </c>
      <c r="L32" s="3895">
        <f t="shared" si="33"/>
        <v>-1.0168559365019587</v>
      </c>
      <c r="M32" s="3886">
        <f>IF(K32="NA","NA",K32/Table8s2!$G$35*100)</f>
        <v>-1.1922670056369595E-2</v>
      </c>
      <c r="N32" s="3887">
        <f>IF(K32="NA","NA",K32/Table8s2!$G$34*100)</f>
        <v>-1.3465607103237513E-2</v>
      </c>
      <c r="O32" s="3850">
        <v>543.49703128807676</v>
      </c>
      <c r="P32" s="3849">
        <f>Summary2!E33</f>
        <v>621.77696839337841</v>
      </c>
      <c r="Q32" s="3895">
        <f t="shared" ref="Q32" si="34">IF(P32="NO",IF(O32="NO","NA",-O32),IF(O32="NO",P32,P32-O32))</f>
        <v>78.279937105301656</v>
      </c>
      <c r="R32" s="3896">
        <f t="shared" ref="R32" si="35">IF(Q32="NA","NA",Q32/O32*100)</f>
        <v>14.403010982374608</v>
      </c>
      <c r="S32" s="3897">
        <f>IF(Q32="NA","NA",Q32/Table8s2!$G$35*100)</f>
        <v>1.4124623642250355E-2</v>
      </c>
      <c r="T32" s="3898">
        <f>IF(Q32="NA","NA",Q32/Table8s2!$G$34*100)</f>
        <v>1.5952519993290584E-2</v>
      </c>
    </row>
    <row r="33" spans="2:21" ht="18" customHeight="1" x14ac:dyDescent="0.2">
      <c r="B33" s="606" t="s">
        <v>1940</v>
      </c>
      <c r="C33" s="3893"/>
      <c r="D33" s="3893"/>
      <c r="E33" s="3894"/>
      <c r="F33" s="3894"/>
      <c r="G33" s="3899"/>
      <c r="H33" s="3900"/>
      <c r="I33" s="3850">
        <v>35.301356239568591</v>
      </c>
      <c r="J33" s="3849">
        <f>Summary2!D34</f>
        <v>35.301356239568591</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11116.069239627155</v>
      </c>
      <c r="P34" s="3849">
        <f>Summary2!E35</f>
        <v>9784.8430617891991</v>
      </c>
      <c r="Q34" s="3895">
        <f t="shared" ref="Q34" si="36">IF(P34="NO",IF(O34="NO","NA",-O34),IF(O34="NO",P34,P34-O34))</f>
        <v>-1331.2261778379561</v>
      </c>
      <c r="R34" s="3896">
        <f t="shared" ref="R34" si="37">IF(Q34="NA","NA",Q34/O34*100)</f>
        <v>-11.975691668888947</v>
      </c>
      <c r="S34" s="3897">
        <f>IF(Q34="NA","NA",Q34/Table8s2!$G$35*100)</f>
        <v>-0.2402029107327821</v>
      </c>
      <c r="T34" s="3898">
        <f>IF(Q34="NA","NA",Q34/Table8s2!$G$34*100)</f>
        <v>-0.27128805927609162</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152.82626729117095</v>
      </c>
      <c r="J36" s="3849">
        <f>Summary2!D37</f>
        <v>152.82626729117092</v>
      </c>
      <c r="K36" s="3895">
        <f t="shared" ref="K36" si="38">IF(J36="NO",IF(I36="NO","NA",-I36),IF(I36="NO",J36,J36-I36))</f>
        <v>-2.8421709430404007E-14</v>
      </c>
      <c r="L36" s="3895">
        <f t="shared" ref="L36" si="39">IF(K36="NA","NA",K36/I36*100)</f>
        <v>-1.859739816601932E-14</v>
      </c>
      <c r="M36" s="3886">
        <f>IF(K36="NA","NA",K36/Table8s2!$G$35*100)</f>
        <v>-5.1283376535399085E-18</v>
      </c>
      <c r="N36" s="3887">
        <f>IF(K36="NA","NA",K36/Table8s2!$G$34*100)</f>
        <v>-5.7920062879216116E-18</v>
      </c>
      <c r="O36" s="3850">
        <v>60.180077153605183</v>
      </c>
      <c r="P36" s="3849">
        <f>Summary2!E37</f>
        <v>60.180077153605176</v>
      </c>
      <c r="Q36" s="3895">
        <f t="shared" ref="Q36" si="40">IF(P36="NO",IF(O36="NO","NA",-O36),IF(O36="NO",P36,P36-O36))</f>
        <v>-7.1054273576010019E-15</v>
      </c>
      <c r="R36" s="3896">
        <f t="shared" ref="R36" si="41">IF(Q36="NA","NA",Q36/O36*100)</f>
        <v>-1.1806942918110467E-14</v>
      </c>
      <c r="S36" s="3897">
        <f>IF(Q36="NA","NA",Q36/Table8s2!$G$35*100)</f>
        <v>-1.2820844133849771E-18</v>
      </c>
      <c r="T36" s="3898">
        <f>IF(Q36="NA","NA",Q36/Table8s2!$G$34*100)</f>
        <v>-1.4480015719804029E-18</v>
      </c>
    </row>
    <row r="37" spans="2:21" ht="18" customHeight="1" x14ac:dyDescent="0.2">
      <c r="B37" s="606" t="s">
        <v>955</v>
      </c>
      <c r="C37" s="3849">
        <v>1318.3866247265748</v>
      </c>
      <c r="D37" s="3849">
        <f>Summary2!C38</f>
        <v>1318.3866247265748</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1346.9978732532668</v>
      </c>
      <c r="D38" s="3849">
        <f>Summary2!C39</f>
        <v>1346.9978732532668</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-67445.207102485161</v>
      </c>
      <c r="D41" s="3841">
        <f>Summary2!C42</f>
        <v>-82612.9080901204</v>
      </c>
      <c r="E41" s="3931">
        <f t="shared" ref="E41" si="42">IF(D41="NO",IF(C41="NO","NA",-C41),IF(C41="NO",D41,D41-C41))</f>
        <v>-15167.700987635239</v>
      </c>
      <c r="F41" s="3931">
        <f t="shared" ref="F41" si="43">IF(E41="NA","NA",E41/C41*100)</f>
        <v>22.488923437639428</v>
      </c>
      <c r="G41" s="3871"/>
      <c r="H41" s="3931">
        <f>IF(E41="NA","NA",E41/Table8s2!$G$34*100)</f>
        <v>-3.0909970319983442</v>
      </c>
      <c r="I41" s="3848">
        <f>SUM(I42:I49)</f>
        <v>14790.011523269328</v>
      </c>
      <c r="J41" s="3841">
        <f>Summary2!D42</f>
        <v>15645.596084961275</v>
      </c>
      <c r="K41" s="3931">
        <f t="shared" ref="K41:K46" si="44">IF(J41="NO",IF(I41="NO","NA",-I41),IF(I41="NO",J41,J41-I41))</f>
        <v>855.58456169194687</v>
      </c>
      <c r="L41" s="3931">
        <f t="shared" ref="L41:L46" si="45">IF(K41="NA","NA",K41/I41*100)</f>
        <v>5.78488096744106</v>
      </c>
      <c r="M41" s="3891"/>
      <c r="N41" s="3932">
        <f>IF(K41="NA","NA",K41/Table8s2!$G$34*100)</f>
        <v>0.17435795595979287</v>
      </c>
      <c r="O41" s="3848">
        <f>SUM(O42:O49)</f>
        <v>3267.3211527150911</v>
      </c>
      <c r="P41" s="3841">
        <f>Summary2!E42</f>
        <v>3464.0767312596549</v>
      </c>
      <c r="Q41" s="3931">
        <f t="shared" ref="Q41" si="46">IF(P41="NO",IF(O41="NO","NA",-O41),IF(O41="NO",P41,P41-O41))</f>
        <v>196.75557854456383</v>
      </c>
      <c r="R41" s="3931">
        <f t="shared" ref="R41" si="47">IF(Q41="NA","NA",Q41/O41*100)</f>
        <v>6.0219234457887048</v>
      </c>
      <c r="S41" s="3891"/>
      <c r="T41" s="3932">
        <f>IF(Q41="NA","NA",Q41/Table8s2!$G$34*100)</f>
        <v>4.0096446376820513E-2</v>
      </c>
      <c r="U41" s="721"/>
    </row>
    <row r="42" spans="2:21" ht="18" customHeight="1" x14ac:dyDescent="0.2">
      <c r="B42" s="606" t="s">
        <v>1252</v>
      </c>
      <c r="C42" s="3849">
        <v>-77000.733566457653</v>
      </c>
      <c r="D42" s="3849">
        <f>Summary2!C43</f>
        <v>-76411.357434243488</v>
      </c>
      <c r="E42" s="3933">
        <f t="shared" ref="E42:E50" si="48">IF(D42="NO",IF(C42="NO","NA",-C42),IF(C42="NO",D42,D42-C42))</f>
        <v>589.37613221416541</v>
      </c>
      <c r="F42" s="3933">
        <f t="shared" ref="F42:F50" si="49">IF(E42="NA","NA",E42/C42*100)</f>
        <v>-0.76541625633408761</v>
      </c>
      <c r="G42" s="3891"/>
      <c r="H42" s="3933">
        <f>IF(E42="NA","NA",E42/Table8s2!$G$34*100)</f>
        <v>0.12010784474784633</v>
      </c>
      <c r="I42" s="3850">
        <v>6420.4965868527906</v>
      </c>
      <c r="J42" s="3849">
        <f>Summary2!D43</f>
        <v>6782.9410678225704</v>
      </c>
      <c r="K42" s="3933">
        <f t="shared" si="44"/>
        <v>362.44448096977976</v>
      </c>
      <c r="L42" s="3933">
        <f t="shared" si="45"/>
        <v>5.6451160134864802</v>
      </c>
      <c r="M42" s="3891"/>
      <c r="N42" s="3934">
        <f>IF(K42="NA","NA",K42/Table8s2!$G$34*100)</f>
        <v>7.3861873718044285E-2</v>
      </c>
      <c r="O42" s="3850">
        <v>1186.649083275282</v>
      </c>
      <c r="P42" s="3849">
        <f>Summary2!E43</f>
        <v>1313.3341086544895</v>
      </c>
      <c r="Q42" s="3933">
        <f t="shared" ref="Q42:Q46" si="50">IF(P42="NO",IF(O42="NO","NA",-O42),IF(O42="NO",P42,P42-O42))</f>
        <v>126.68502537920745</v>
      </c>
      <c r="R42" s="3933">
        <f t="shared" ref="R42:R46" si="51">IF(Q42="NA","NA",Q42/O42*100)</f>
        <v>10.675862575104583</v>
      </c>
      <c r="S42" s="3891"/>
      <c r="T42" s="3934">
        <f>IF(Q42="NA","NA",Q42/Table8s2!$G$34*100)</f>
        <v>2.5816901174738668E-2</v>
      </c>
      <c r="U42" s="721"/>
    </row>
    <row r="43" spans="2:21" ht="18" customHeight="1" x14ac:dyDescent="0.2">
      <c r="B43" s="606" t="s">
        <v>1255</v>
      </c>
      <c r="C43" s="3849">
        <v>-3129.3537479996539</v>
      </c>
      <c r="D43" s="3849">
        <f>Summary2!C44</f>
        <v>-6646.2328176163528</v>
      </c>
      <c r="E43" s="3933">
        <f t="shared" si="48"/>
        <v>-3516.8790696166989</v>
      </c>
      <c r="F43" s="3933">
        <f t="shared" si="49"/>
        <v>112.38355752732521</v>
      </c>
      <c r="G43" s="3891"/>
      <c r="H43" s="3933">
        <f>IF(E43="NA","NA",E43/Table8s2!$G$34*100)</f>
        <v>-0.71669811891361224</v>
      </c>
      <c r="I43" s="3850">
        <v>19.700150399999998</v>
      </c>
      <c r="J43" s="3849">
        <f>Summary2!D44</f>
        <v>19.231856495470577</v>
      </c>
      <c r="K43" s="3933">
        <f t="shared" si="44"/>
        <v>-0.46829390452942121</v>
      </c>
      <c r="L43" s="3933">
        <f t="shared" si="45"/>
        <v>-2.3771082708557456</v>
      </c>
      <c r="M43" s="3891"/>
      <c r="N43" s="3934">
        <f>IF(K43="NA","NA",K43/Table8s2!$G$34*100)</f>
        <v>-9.543272709445946E-5</v>
      </c>
      <c r="O43" s="3850">
        <v>24.501348170741046</v>
      </c>
      <c r="P43" s="3849">
        <f>Summary2!E44</f>
        <v>21.26530078229068</v>
      </c>
      <c r="Q43" s="3933">
        <f t="shared" si="50"/>
        <v>-3.2360473884503662</v>
      </c>
      <c r="R43" s="3933">
        <f t="shared" si="51"/>
        <v>-13.207629906319932</v>
      </c>
      <c r="S43" s="3891"/>
      <c r="T43" s="3934">
        <f>IF(Q43="NA","NA",Q43/Table8s2!$G$34*100)</f>
        <v>-6.5946796296025597E-4</v>
      </c>
      <c r="U43" s="721"/>
    </row>
    <row r="44" spans="2:21" ht="18" customHeight="1" x14ac:dyDescent="0.2">
      <c r="B44" s="606" t="s">
        <v>1258</v>
      </c>
      <c r="C44" s="3849">
        <v>14709.317805011877</v>
      </c>
      <c r="D44" s="3849">
        <f>Summary2!C45</f>
        <v>2761.1416737145264</v>
      </c>
      <c r="E44" s="3933">
        <f t="shared" si="48"/>
        <v>-11948.17613129735</v>
      </c>
      <c r="F44" s="3933">
        <f t="shared" si="49"/>
        <v>-81.228621814305157</v>
      </c>
      <c r="G44" s="3891"/>
      <c r="H44" s="3933">
        <f>IF(E44="NA","NA",E44/Table8s2!$G$34*100)</f>
        <v>-2.4348961645367666</v>
      </c>
      <c r="I44" s="3850">
        <v>6004.4554108092325</v>
      </c>
      <c r="J44" s="3849">
        <f>Summary2!D45</f>
        <v>6756.8238669673465</v>
      </c>
      <c r="K44" s="3933">
        <f t="shared" si="44"/>
        <v>752.36845615811399</v>
      </c>
      <c r="L44" s="3933">
        <f t="shared" si="45"/>
        <v>12.530169760336612</v>
      </c>
      <c r="M44" s="3891"/>
      <c r="N44" s="3934">
        <f>IF(K44="NA","NA",K44/Table8s2!$G$34*100)</f>
        <v>0.15332374147207398</v>
      </c>
      <c r="O44" s="3850">
        <v>1918.3575755629272</v>
      </c>
      <c r="P44" s="3849">
        <f>Summary2!E45</f>
        <v>1975.7781161943058</v>
      </c>
      <c r="Q44" s="3933">
        <f t="shared" si="50"/>
        <v>57.420540631378572</v>
      </c>
      <c r="R44" s="3933">
        <f t="shared" si="51"/>
        <v>2.9932136408161005</v>
      </c>
      <c r="S44" s="3891"/>
      <c r="T44" s="3934">
        <f>IF(Q44="NA","NA",Q44/Table8s2!$G$34*100)</f>
        <v>1.170162312746139E-2</v>
      </c>
      <c r="U44" s="721"/>
    </row>
    <row r="45" spans="2:21" ht="18" customHeight="1" x14ac:dyDescent="0.2">
      <c r="B45" s="606" t="s">
        <v>1984</v>
      </c>
      <c r="C45" s="3849">
        <v>-500.11089071223188</v>
      </c>
      <c r="D45" s="3849">
        <f>Summary2!C46</f>
        <v>-501.11408142992371</v>
      </c>
      <c r="E45" s="3933">
        <f t="shared" si="48"/>
        <v>-1.0031907176918367</v>
      </c>
      <c r="F45" s="3933">
        <f t="shared" si="49"/>
        <v>0.20059365559169182</v>
      </c>
      <c r="G45" s="3891"/>
      <c r="H45" s="3933">
        <f>IF(E45="NA","NA",E45/Table8s2!$G$34*100)</f>
        <v>-2.04438334685104E-4</v>
      </c>
      <c r="I45" s="3850">
        <v>2323.0563672073035</v>
      </c>
      <c r="J45" s="3849">
        <f>Summary2!D46</f>
        <v>2064.5698813052254</v>
      </c>
      <c r="K45" s="3933">
        <f t="shared" si="44"/>
        <v>-258.48648590207813</v>
      </c>
      <c r="L45" s="3933">
        <f t="shared" si="45"/>
        <v>-11.127000168868975</v>
      </c>
      <c r="M45" s="3891"/>
      <c r="N45" s="3934">
        <f>IF(K45="NA","NA",K45/Table8s2!$G$34*100)</f>
        <v>-5.267647096856256E-2</v>
      </c>
      <c r="O45" s="3850">
        <v>76.198564556581871</v>
      </c>
      <c r="P45" s="3849">
        <f>Summary2!E46</f>
        <v>93.510611972302897</v>
      </c>
      <c r="Q45" s="3933">
        <f t="shared" si="50"/>
        <v>17.312047415721025</v>
      </c>
      <c r="R45" s="3933">
        <f t="shared" si="51"/>
        <v>22.719650319483147</v>
      </c>
      <c r="S45" s="3891"/>
      <c r="T45" s="3934">
        <f>IF(Q45="NA","NA",Q45/Table8s2!$G$34*100)</f>
        <v>3.5279893257014389E-3</v>
      </c>
      <c r="U45" s="721"/>
    </row>
    <row r="46" spans="2:21" ht="18" customHeight="1" x14ac:dyDescent="0.2">
      <c r="B46" s="606" t="s">
        <v>1985</v>
      </c>
      <c r="C46" s="3849">
        <v>3404.987447331574</v>
      </c>
      <c r="D46" s="3849">
        <f>Summary2!C47</f>
        <v>3137.0733845727173</v>
      </c>
      <c r="E46" s="3933">
        <f t="shared" si="48"/>
        <v>-267.91406275885674</v>
      </c>
      <c r="F46" s="3933">
        <f t="shared" si="49"/>
        <v>-7.8682834196295222</v>
      </c>
      <c r="G46" s="3891"/>
      <c r="H46" s="3933">
        <f>IF(E46="NA","NA",E46/Table8s2!$G$34*100)</f>
        <v>-5.4597698985055926E-2</v>
      </c>
      <c r="I46" s="3850">
        <v>22.303008000000002</v>
      </c>
      <c r="J46" s="3849">
        <f>Summary2!D47</f>
        <v>22.029412370661969</v>
      </c>
      <c r="K46" s="3933">
        <f t="shared" si="44"/>
        <v>-0.27359562933803261</v>
      </c>
      <c r="L46" s="3933">
        <f t="shared" si="45"/>
        <v>-1.2267207604374826</v>
      </c>
      <c r="M46" s="3891"/>
      <c r="N46" s="3934">
        <f>IF(K46="NA","NA",K46/Table8s2!$G$34*100)</f>
        <v>-5.575553466810704E-5</v>
      </c>
      <c r="O46" s="3850">
        <v>9.2538145281307447</v>
      </c>
      <c r="P46" s="3849">
        <f>Summary2!E47</f>
        <v>7.8278270348377186</v>
      </c>
      <c r="Q46" s="3933">
        <f t="shared" si="50"/>
        <v>-1.4259874932930261</v>
      </c>
      <c r="R46" s="3933">
        <f t="shared" si="51"/>
        <v>-15.409726323757141</v>
      </c>
      <c r="S46" s="3891"/>
      <c r="T46" s="3934">
        <f>IF(Q46="NA","NA",Q46/Table8s2!$G$34*100)</f>
        <v>-2.9059928812077008E-4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-4929.3141496590697</v>
      </c>
      <c r="D48" s="3849">
        <f>Summary2!C49</f>
        <v>-4952.4188151178632</v>
      </c>
      <c r="E48" s="3933">
        <f t="shared" si="48"/>
        <v>-23.104665458793534</v>
      </c>
      <c r="F48" s="3933">
        <f t="shared" si="49"/>
        <v>0.46871967899208739</v>
      </c>
      <c r="G48" s="3891"/>
      <c r="H48" s="3933">
        <f>IF(E48="NA","NA",E48/Table8s2!$G$34*100)</f>
        <v>-4.7084559760681207E-3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52.360766621428567</v>
      </c>
      <c r="P49" s="3857">
        <f>Summary2!E50</f>
        <v>52.360766621428567</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31.383403080597994</v>
      </c>
      <c r="D50" s="3841">
        <f>Summary2!C51</f>
        <v>31.383403080597994</v>
      </c>
      <c r="E50" s="3841">
        <f t="shared" si="48"/>
        <v>0</v>
      </c>
      <c r="F50" s="3841">
        <f t="shared" si="49"/>
        <v>0</v>
      </c>
      <c r="G50" s="3846">
        <f>IF(E50="NA","NA",E50/Table8s2!$G$35*100)</f>
        <v>0</v>
      </c>
      <c r="H50" s="3847">
        <f>IF(E50="NA","NA",E50/Table8s2!$G$34*100)</f>
        <v>0</v>
      </c>
      <c r="I50" s="3841">
        <f>SUM(I51:I55)</f>
        <v>12880.403888024744</v>
      </c>
      <c r="J50" s="3841">
        <f>Summary2!D51</f>
        <v>12855.758598344491</v>
      </c>
      <c r="K50" s="3841">
        <f t="shared" ref="K50" si="54">IF(J50="NO",IF(I50="NO","NA",-I50),IF(I50="NO",J50,J50-I50))</f>
        <v>-24.645289680252972</v>
      </c>
      <c r="L50" s="3841">
        <f t="shared" ref="L50" si="55">IF(K50="NA","NA",K50/I50*100)</f>
        <v>-0.19133941679551181</v>
      </c>
      <c r="M50" s="3846">
        <f>IF(K50="NA","NA",K50/Table8s2!$G$35*100)</f>
        <v>-4.4469305183464916E-3</v>
      </c>
      <c r="N50" s="3847">
        <f>IF(K50="NA","NA",K50/Table8s2!$G$34*100)</f>
        <v>-5.0224168657136857E-3</v>
      </c>
      <c r="O50" s="3841">
        <f>SUM(O51:O55)</f>
        <v>354.92146696585161</v>
      </c>
      <c r="P50" s="3841">
        <f>Summary2!E51</f>
        <v>354.92146696585161</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10215.811558081357</v>
      </c>
      <c r="J51" s="3841">
        <f>Summary2!D52</f>
        <v>10191.166268401106</v>
      </c>
      <c r="K51" s="3841">
        <f t="shared" ref="K51:K52" si="56">IF(J51="NO",IF(I51="NO","NA",-I51),IF(I51="NO",J51,J51-I51))</f>
        <v>-24.645289680251153</v>
      </c>
      <c r="L51" s="3841">
        <f t="shared" ref="L51:L52" si="57">IF(K51="NA","NA",K51/I51*100)</f>
        <v>-0.24124651810707257</v>
      </c>
      <c r="M51" s="3846">
        <f>IF(K51="NA","NA",K51/Table8s2!$G$35*100)</f>
        <v>-4.4469305183461628E-3</v>
      </c>
      <c r="N51" s="3847">
        <f>IF(K51="NA","NA",K51/Table8s2!$G$34*100)</f>
        <v>-5.0224168657133153E-3</v>
      </c>
      <c r="O51" s="3888"/>
      <c r="P51" s="3889"/>
      <c r="Q51" s="3942"/>
      <c r="R51" s="3943"/>
      <c r="S51" s="3944"/>
      <c r="T51" s="3945"/>
    </row>
    <row r="52" spans="2:21" ht="18" customHeight="1" x14ac:dyDescent="0.2">
      <c r="B52" s="1395" t="s">
        <v>1990</v>
      </c>
      <c r="C52" s="3920"/>
      <c r="D52" s="3920"/>
      <c r="E52" s="3890"/>
      <c r="F52" s="3905"/>
      <c r="G52" s="3906"/>
      <c r="H52" s="3907"/>
      <c r="I52" s="3851">
        <v>125.7155850570758</v>
      </c>
      <c r="J52" s="3849">
        <f>Summary2!D53</f>
        <v>125.7155850570758</v>
      </c>
      <c r="K52" s="3841">
        <f t="shared" si="56"/>
        <v>0</v>
      </c>
      <c r="L52" s="3841">
        <f t="shared" si="57"/>
        <v>0</v>
      </c>
      <c r="M52" s="3846">
        <f>IF(K52="NA","NA",K52/Table8s2!$G$35*100)</f>
        <v>0</v>
      </c>
      <c r="N52" s="3847">
        <f>IF(K52="NA","NA",K52/Table8s2!$G$34*100)</f>
        <v>0</v>
      </c>
      <c r="O52" s="3841">
        <v>152.29545161200045</v>
      </c>
      <c r="P52" s="3841">
        <f>Summary2!E53</f>
        <v>152.29545161200045</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31.383403080597994</v>
      </c>
      <c r="D53" s="3841">
        <f>Summary2!C54</f>
        <v>31.383403080597994</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2538.8767448863109</v>
      </c>
      <c r="J54" s="3849">
        <f>Summary2!D55</f>
        <v>2538.8767448863096</v>
      </c>
      <c r="K54" s="3841">
        <f t="shared" ref="K54" si="62">IF(J54="NO",IF(I54="NO","NA",-I54),IF(I54="NO",J54,J54-I54))</f>
        <v>-1.3642420526593924E-12</v>
      </c>
      <c r="L54" s="3841">
        <f t="shared" ref="L54" si="63">IF(K54="NA","NA",K54/I54*100)</f>
        <v>-5.3734079663661743E-14</v>
      </c>
      <c r="M54" s="3846">
        <f>IF(K54="NA","NA",K54/Table8s2!$G$35*100)</f>
        <v>-2.4616020736991561E-16</v>
      </c>
      <c r="N54" s="3847">
        <f>IF(K54="NA","NA",K54/Table8s2!$G$34*100)</f>
        <v>-2.7801630182023733E-16</v>
      </c>
      <c r="O54" s="3841">
        <v>202.62601535385116</v>
      </c>
      <c r="P54" s="3841">
        <f>Summary2!E55</f>
        <v>202.62601535385116</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17720.65496688</v>
      </c>
      <c r="D59" s="3849">
        <f>Summary2!C60</f>
        <v>17720.414028928801</v>
      </c>
      <c r="E59" s="3863">
        <f t="shared" ref="E59" si="66">IF(D59="NO",IF(C59="NO","NA",-C59),IF(C59="NO",D59,D59-C59))</f>
        <v>-0.2409379511991574</v>
      </c>
      <c r="F59" s="3863">
        <f t="shared" ref="F59" si="67">IF(E59="NA","NA",E59/C59*100)</f>
        <v>-1.3596447289870026E-3</v>
      </c>
      <c r="G59" s="3864">
        <f>IF(E59="NA","NA",E59/Table8s2!$G$35*100)</f>
        <v>-4.3474203067448501E-5</v>
      </c>
      <c r="H59" s="3865">
        <f>IF(E59="NA","NA",E59/Table8s2!$G$34*100)</f>
        <v>-4.9100288346893882E-5</v>
      </c>
      <c r="I59" s="3849">
        <v>7.3400706087441607</v>
      </c>
      <c r="J59" s="3849">
        <f>Summary2!D60</f>
        <v>7.3400706081561875</v>
      </c>
      <c r="K59" s="3863">
        <f t="shared" ref="K59:K61" si="68">IF(J59="NO",IF(I59="NO","NA",-I59),IF(I59="NO",J59,J59-I59))</f>
        <v>-5.879732256630632E-10</v>
      </c>
      <c r="L59" s="3863">
        <f t="shared" ref="L59:L61" si="69">IF(K59="NA","NA",K59/I59*100)</f>
        <v>-8.0104573512224253E-9</v>
      </c>
      <c r="M59" s="3864">
        <f>IF(K59="NA","NA",K59/Table8s2!$G$35*100)</f>
        <v>-1.060923249470552E-13</v>
      </c>
      <c r="N59" s="3865">
        <f>IF(K59="NA","NA",K59/Table8s2!$G$34*100)</f>
        <v>-1.1982194908118182E-13</v>
      </c>
      <c r="O59" s="3850">
        <v>36.974006746018397</v>
      </c>
      <c r="P59" s="3849">
        <f>Summary2!E60</f>
        <v>36.973813615273883</v>
      </c>
      <c r="Q59" s="3863">
        <f t="shared" ref="Q59" si="70">IF(P59="NO",IF(O59="NO","NA",-O59),IF(O59="NO",P59,P59-O59))</f>
        <v>-1.9313074451332568E-4</v>
      </c>
      <c r="R59" s="3968">
        <f t="shared" ref="R59" si="71">IF(Q59="NA","NA",Q59/O59*100)</f>
        <v>-5.2234194102894526E-4</v>
      </c>
      <c r="S59" s="3969">
        <f>IF(Q59="NA","NA",Q59/Table8s2!$G$35*100)</f>
        <v>-3.4847997850698083E-8</v>
      </c>
      <c r="T59" s="3970">
        <f>IF(Q59="NA","NA",Q59/Table8s2!$G$34*100)</f>
        <v>-3.9357748320920177E-8</v>
      </c>
    </row>
    <row r="60" spans="2:21" ht="18" customHeight="1" x14ac:dyDescent="0.2">
      <c r="B60" s="1409" t="s">
        <v>218</v>
      </c>
      <c r="C60" s="3849">
        <v>15338.73515568</v>
      </c>
      <c r="D60" s="3849">
        <f>Summary2!C61</f>
        <v>15338.494217949599</v>
      </c>
      <c r="E60" s="3863">
        <f t="shared" ref="E60:E61" si="72">IF(D60="NO",IF(C60="NO","NA",-C60),IF(C60="NO",D60,D60-C60))</f>
        <v>-0.24093773040112865</v>
      </c>
      <c r="F60" s="3863">
        <f t="shared" ref="F60:F61" si="73">IF(E60="NA","NA",E60/C60*100)</f>
        <v>-1.5707796500541856E-3</v>
      </c>
      <c r="G60" s="3864">
        <f>IF(E60="NA","NA",E60/Table8s2!$G$35*100)</f>
        <v>-4.3474163227239468E-5</v>
      </c>
      <c r="H60" s="3865">
        <f>IF(E60="NA","NA",E60/Table8s2!$G$34*100)</f>
        <v>-4.9100243350882157E-5</v>
      </c>
      <c r="I60" s="3849">
        <v>0.96242817674416004</v>
      </c>
      <c r="J60" s="3849">
        <f>Summary2!D61</f>
        <v>0.96242817674418601</v>
      </c>
      <c r="K60" s="3863">
        <f t="shared" si="68"/>
        <v>2.5979218776228663E-14</v>
      </c>
      <c r="L60" s="3863">
        <f t="shared" si="69"/>
        <v>2.6993410421663761E-12</v>
      </c>
      <c r="M60" s="3864">
        <f>IF(K60="NA","NA",K60/Table8s2!$G$35*100)</f>
        <v>4.6876211364388231E-18</v>
      </c>
      <c r="N60" s="3865">
        <f>IF(K60="NA","NA",K60/Table8s2!$G$34*100)</f>
        <v>5.2942557475533472E-18</v>
      </c>
      <c r="O60" s="3850">
        <v>19.728340986018399</v>
      </c>
      <c r="P60" s="3849">
        <f>Summary2!E61</f>
        <v>19.728147856863881</v>
      </c>
      <c r="Q60" s="3863">
        <f t="shared" ref="Q60:Q61" si="74">IF(P60="NO",IF(O60="NO","NA",-O60),IF(O60="NO",P60,P60-O60))</f>
        <v>-1.9312915451763502E-4</v>
      </c>
      <c r="R60" s="3968">
        <f t="shared" ref="R60:R61" si="75">IF(Q60="NA","NA",Q60/O60*100)</f>
        <v>-9.789427030610779E-4</v>
      </c>
      <c r="S60" s="3969">
        <f>IF(Q60="NA","NA",Q60/Table8s2!$G$35*100)</f>
        <v>-3.4847710956104727E-8</v>
      </c>
      <c r="T60" s="3970">
        <f>IF(Q60="NA","NA",Q60/Table8s2!$G$34*100)</f>
        <v>-3.9357424298712412E-8</v>
      </c>
    </row>
    <row r="61" spans="2:21" ht="18" customHeight="1" x14ac:dyDescent="0.2">
      <c r="B61" s="1410" t="s">
        <v>1963</v>
      </c>
      <c r="C61" s="3849">
        <v>2381.9198111999999</v>
      </c>
      <c r="D61" s="3849">
        <f>Summary2!C62</f>
        <v>2381.9198109792001</v>
      </c>
      <c r="E61" s="3863">
        <f t="shared" si="72"/>
        <v>-2.2079984773881733E-7</v>
      </c>
      <c r="F61" s="3863">
        <f t="shared" si="73"/>
        <v>-9.2698270823642636E-9</v>
      </c>
      <c r="G61" s="3864">
        <f>IF(E61="NA","NA",E61/Table8s2!$G$35*100)</f>
        <v>-3.9840537242406107E-11</v>
      </c>
      <c r="H61" s="3865">
        <f>IF(E61="NA","NA",E61/Table8s2!$G$34*100)</f>
        <v>-4.4996382417001772E-11</v>
      </c>
      <c r="I61" s="3849">
        <v>6.377642432</v>
      </c>
      <c r="J61" s="3849">
        <f>Summary2!D62</f>
        <v>6.377642431412001</v>
      </c>
      <c r="K61" s="3863">
        <f t="shared" si="68"/>
        <v>-5.8799898283723451E-10</v>
      </c>
      <c r="L61" s="3863">
        <f t="shared" si="69"/>
        <v>-9.2196919019312387E-9</v>
      </c>
      <c r="M61" s="3864">
        <f>IF(K61="NA","NA",K61/Table8s2!$G$35*100)</f>
        <v>-1.060969725030537E-13</v>
      </c>
      <c r="N61" s="3865">
        <f>IF(K61="NA","NA",K61/Table8s2!$G$34*100)</f>
        <v>-1.1982719808688026E-13</v>
      </c>
      <c r="O61" s="3850">
        <v>17.245665760000001</v>
      </c>
      <c r="P61" s="3849">
        <f>Summary2!E62</f>
        <v>17.245665758410002</v>
      </c>
      <c r="Q61" s="3863">
        <f t="shared" si="74"/>
        <v>-1.5899992433787702E-9</v>
      </c>
      <c r="R61" s="3968">
        <f t="shared" si="75"/>
        <v>-9.2197034635024147E-9</v>
      </c>
      <c r="S61" s="3969">
        <f>IF(Q61="NA","NA",Q61/Table8s2!$G$35*100)</f>
        <v>-2.8689523439418984E-13</v>
      </c>
      <c r="T61" s="3970">
        <f>IF(Q61="NA","NA",Q61/Table8s2!$G$34*100)</f>
        <v>-3.240229317659847E-13</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15497.01</v>
      </c>
      <c r="D63" s="3849">
        <f>Summary2!C64</f>
        <v>15553.661457119631</v>
      </c>
      <c r="E63" s="3863">
        <f t="shared" ref="E63:E65" si="76">IF(D63="NO",IF(C63="NO","NA",-C63),IF(C63="NO",D63,D63-C63))</f>
        <v>56.651457119631232</v>
      </c>
      <c r="F63" s="3863">
        <f t="shared" ref="F63:F65" si="77">IF(E63="NA","NA",E63/C63*100)</f>
        <v>0.36556379017391893</v>
      </c>
      <c r="G63" s="3864">
        <f>IF(E63="NA","NA",E63/Table8s2!$G$35*100)</f>
        <v>1.022203824108185E-2</v>
      </c>
      <c r="H63" s="3865">
        <f>IF(E63="NA","NA",E63/Table8s2!$G$34*100)</f>
        <v>1.1544893056496263E-2</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315035.18449121091</v>
      </c>
      <c r="D65" s="3851">
        <f>Summary2!C66</f>
        <v>315106.42824677972</v>
      </c>
      <c r="E65" s="3979">
        <f t="shared" si="76"/>
        <v>71.24375556880841</v>
      </c>
      <c r="F65" s="3986">
        <f t="shared" si="77"/>
        <v>2.2614539288323847E-2</v>
      </c>
      <c r="G65" s="3987">
        <f>IF(E65="NA","NA",E65/Table8s2!$G$35*100)</f>
        <v>1.285503376064598E-2</v>
      </c>
      <c r="H65" s="3988">
        <f>IF(E65="NA","NA",E65/Table8s2!$G$34*100)</f>
        <v>1.4518629895929626E-2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10688.479613937494</v>
      </c>
      <c r="D10" s="4021">
        <f>IF(SUM(D11:D30)=0,"NO",SUM(D11:D30))</f>
        <v>10688.479613937492</v>
      </c>
      <c r="E10" s="4021">
        <f>IF(D10="NO",IF(C10="NO","NA",-C10),IF(C10="NO",D10,D10-C10))</f>
        <v>-1.8189894035458565E-12</v>
      </c>
      <c r="F10" s="4021">
        <f>IF(E10="NA","NA",E10/C10*100)</f>
        <v>-1.7018224006096643E-14</v>
      </c>
      <c r="G10" s="4022">
        <f>IF(E10="NA","NA",E10/$G$35*100)</f>
        <v>-3.2821360982655414E-16</v>
      </c>
      <c r="H10" s="4023">
        <f>IF(E10="NA","NA",E10/$G$34*100)</f>
        <v>-3.7068840242698314E-16</v>
      </c>
      <c r="I10" s="4024">
        <f>IF(SUM(I11:I30)=0,"NO",SUM(I11:I30))</f>
        <v>273.50220639665866</v>
      </c>
      <c r="J10" s="4024">
        <f>IF(SUM(J11:J30)=0,"NO",SUM(J11:J30))</f>
        <v>273.50220639665866</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141.06361511560291</v>
      </c>
      <c r="V10" s="4021">
        <f>IF(SUM(V11:V30)=0,"NO",SUM(V11:V30))</f>
        <v>128.95488205842804</v>
      </c>
      <c r="W10" s="4021">
        <f>IF(V10="NO",IF(U10="NO","NA",-U10),IF(U10="NO",V10,V10-U10))</f>
        <v>-12.108733057174874</v>
      </c>
      <c r="X10" s="4025">
        <f>IF(W10="NA","NA",W10/U10*100)</f>
        <v>-8.5838811427395072</v>
      </c>
      <c r="Y10" s="4026">
        <f>IF(W10="NA","NA",W10/$G$35*100)</f>
        <v>-2.1848675860201634E-3</v>
      </c>
      <c r="Z10" s="4023">
        <f>IF(W10="NA","NA",W10/$G$34*100)</f>
        <v>-2.4676157561056384E-3</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273.50220639665866</v>
      </c>
      <c r="J13" s="3841">
        <f>'Table2(II)'!AH41</f>
        <v>273.50220639665866</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10098.180751685113</v>
      </c>
      <c r="D21" s="3849">
        <f>'Table2(I)'!F46</f>
        <v>10098.180751685111</v>
      </c>
      <c r="E21" s="3849">
        <f>IF(D21="NO",IF(C21="NO","NA",-C21),IF(C21="NO",D21,D21-C21))</f>
        <v>-1.8189894035458565E-12</v>
      </c>
      <c r="F21" s="4018">
        <f>IF(E21="NA","NA",E21/C21*100)</f>
        <v>-1.801304064835952E-14</v>
      </c>
      <c r="G21" s="3873">
        <f>IF(E21="NA","NA",E21/$G$35*100)</f>
        <v>-3.2821360982655414E-16</v>
      </c>
      <c r="H21" s="3874">
        <f>IF(E21="NA","NA",E21/$G$34*100)</f>
        <v>-3.7068840242698314E-16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101.38383327299111</v>
      </c>
      <c r="D22" s="3849">
        <f>'Table2(I)'!F47</f>
        <v>101.38383327299113</v>
      </c>
      <c r="E22" s="3849">
        <f t="shared" ref="E22:E25" si="0">IF(D22="NO",IF(C22="NO","NA",-C22),IF(C22="NO",D22,D22-C22))</f>
        <v>1.4210854715202004E-14</v>
      </c>
      <c r="F22" s="4018">
        <f t="shared" ref="F22:F25" si="1">IF(E22="NA","NA",E22/C22*100)</f>
        <v>1.4016884404969337E-14</v>
      </c>
      <c r="G22" s="3873">
        <f t="shared" ref="G22:G25" si="2">IF(E22="NA","NA",E22/$G$35*100)</f>
        <v>2.5641688267699542E-18</v>
      </c>
      <c r="H22" s="3874">
        <f t="shared" ref="H22:H25" si="3">IF(E22="NA","NA",E22/$G$34*100)</f>
        <v>2.8960031439608058E-18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78.568489680367875</v>
      </c>
      <c r="D23" s="3849">
        <f>'Table2(I)'!F48</f>
        <v>78.568489680367875</v>
      </c>
      <c r="E23" s="3849">
        <f t="shared" si="0"/>
        <v>0</v>
      </c>
      <c r="F23" s="4018">
        <f t="shared" si="1"/>
        <v>0</v>
      </c>
      <c r="G23" s="3873">
        <f t="shared" si="2"/>
        <v>0</v>
      </c>
      <c r="H23" s="3874">
        <f t="shared" si="3"/>
        <v>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122.23486226328116</v>
      </c>
      <c r="D24" s="3849">
        <f>'Table2(I)'!F49</f>
        <v>122.23486226328116</v>
      </c>
      <c r="E24" s="3849">
        <f t="shared" si="0"/>
        <v>0</v>
      </c>
      <c r="F24" s="4018">
        <f t="shared" si="1"/>
        <v>0</v>
      </c>
      <c r="G24" s="3873">
        <f t="shared" si="2"/>
        <v>0</v>
      </c>
      <c r="H24" s="3874">
        <f t="shared" si="3"/>
        <v>0</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288.11167703573898</v>
      </c>
      <c r="D25" s="3849">
        <f>'Table2(I)'!F50</f>
        <v>288.11167703573892</v>
      </c>
      <c r="E25" s="3849">
        <f t="shared" si="0"/>
        <v>-5.6843418860808015E-14</v>
      </c>
      <c r="F25" s="4018">
        <f t="shared" si="1"/>
        <v>-1.9729647699685855E-14</v>
      </c>
      <c r="G25" s="3873">
        <f t="shared" si="2"/>
        <v>-1.0256675307079817E-17</v>
      </c>
      <c r="H25" s="3874">
        <f t="shared" si="3"/>
        <v>-1.1584012575843223E-17</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120.76462774188462</v>
      </c>
      <c r="V27" s="3849">
        <f>IFERROR('Table2(I)'!I53*23500,'Table2(I)'!I53)</f>
        <v>108.65589468470984</v>
      </c>
      <c r="W27" s="3849">
        <f>IF(V27="NO",IF(U27="NO","NA",-U27),IF(U27="NO",V27,V27-U27))</f>
        <v>-12.108733057174788</v>
      </c>
      <c r="X27" s="4018">
        <f>IF(W27="NA","NA",W27/U27*100)</f>
        <v>-10.026721634960278</v>
      </c>
      <c r="Y27" s="3873">
        <f>IF(W27="NA","NA",W27/$G$35*100)</f>
        <v>-2.1848675860201483E-3</v>
      </c>
      <c r="Z27" s="3874">
        <f>IF(W27="NA","NA",W27/$G$34*100)</f>
        <v>-2.4676157561056211E-3</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20.298987373718294</v>
      </c>
      <c r="V28" s="3849">
        <f>IFERROR('Table2(I)'!I54*23500,'Table2(I)'!I54)</f>
        <v>20.298987373718216</v>
      </c>
      <c r="W28" s="3849">
        <f>IF(V28="NO",IF(U28="NO","NA",-U28),IF(U28="NO",V28,V28-U28))</f>
        <v>-7.815970093361102E-14</v>
      </c>
      <c r="X28" s="4018">
        <f>IF(W28="NA","NA",W28/U28*100)</f>
        <v>-3.8504236440289981E-13</v>
      </c>
      <c r="Y28" s="3873">
        <f>IF(W28="NA","NA",W28/$G$35*100)</f>
        <v>-1.4102928547234749E-17</v>
      </c>
      <c r="Z28" s="3874">
        <f>IF(W28="NA","NA",W28/$G$34*100)</f>
        <v>-1.5928017291784432E-17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5">
        <f>SUM(Table8s1!C10,Table8s1!I10,Table8s1!O10,C10,I10,O10,U10,AA10)</f>
        <v>505857.05677806976</v>
      </c>
      <c r="F34" s="4546"/>
      <c r="G34" s="4545">
        <f>SUM(Table8s1!D10,Table8s1!J10,Table8s1!P10,D10,J10,P10,V10,AB10)</f>
        <v>490705.77650568786</v>
      </c>
      <c r="H34" s="4546"/>
      <c r="I34" s="3841">
        <f>G34-E34</f>
        <v>-15151.280272381904</v>
      </c>
      <c r="J34" s="4047">
        <f>IF(I34="NA","NA",I34/E34*100)</f>
        <v>-2.9951702895842161</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7">
        <f>E34-SUM(Table8s1!C41,Table8s1!I41,Table8s1!O41)</f>
        <v>555244.93120457046</v>
      </c>
      <c r="F35" s="4548"/>
      <c r="G35" s="4549">
        <f>G34-SUM(Table8s1!D41,Table8s1!J41,Table8s1!P41)</f>
        <v>554209.01177958737</v>
      </c>
      <c r="H35" s="4550"/>
      <c r="I35" s="3857">
        <f>G35-E35</f>
        <v>-1035.9194249830907</v>
      </c>
      <c r="J35" s="4048">
        <f>IF(I35="NA","NA",I35/E35*100)</f>
        <v>-0.18656981212520496</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7" t="s">
        <v>2212</v>
      </c>
      <c r="F9" s="4558"/>
      <c r="G9" s="19"/>
    </row>
    <row r="10" spans="2:7" ht="14.25" thickTop="1" x14ac:dyDescent="0.2">
      <c r="B10" s="980" t="s">
        <v>2213</v>
      </c>
      <c r="C10" s="4123" t="s">
        <v>2214</v>
      </c>
      <c r="D10" s="4123" t="s">
        <v>2215</v>
      </c>
      <c r="E10" s="4559" t="s">
        <v>2216</v>
      </c>
      <c r="F10" s="4560"/>
    </row>
    <row r="11" spans="2:7" x14ac:dyDescent="0.2">
      <c r="B11" s="4122"/>
      <c r="C11" s="4124" t="s">
        <v>2214</v>
      </c>
      <c r="D11" s="4124" t="s">
        <v>2217</v>
      </c>
      <c r="E11" s="4561" t="s">
        <v>2218</v>
      </c>
      <c r="F11" s="4562"/>
    </row>
    <row r="12" spans="2:7" x14ac:dyDescent="0.2">
      <c r="B12" s="4122"/>
      <c r="C12" s="4124" t="s">
        <v>2214</v>
      </c>
      <c r="D12" s="4124" t="s">
        <v>2219</v>
      </c>
      <c r="E12" s="4553" t="s">
        <v>2218</v>
      </c>
      <c r="F12" s="4554"/>
    </row>
    <row r="13" spans="2:7" ht="55.5" customHeight="1" x14ac:dyDescent="0.2">
      <c r="B13" s="4122"/>
      <c r="C13" s="4124" t="s">
        <v>111</v>
      </c>
      <c r="D13" s="4124" t="s">
        <v>2220</v>
      </c>
      <c r="E13" s="4551" t="s">
        <v>2221</v>
      </c>
      <c r="F13" s="4565"/>
    </row>
    <row r="14" spans="2:7" ht="12.75" customHeight="1" x14ac:dyDescent="0.2">
      <c r="B14" s="4122"/>
      <c r="C14" s="4124" t="s">
        <v>111</v>
      </c>
      <c r="D14" s="4124" t="s">
        <v>814</v>
      </c>
      <c r="E14" s="4563" t="s">
        <v>2222</v>
      </c>
      <c r="F14" s="4564"/>
    </row>
    <row r="15" spans="2:7" ht="15.75" customHeight="1" x14ac:dyDescent="0.2">
      <c r="B15" s="4122"/>
      <c r="C15" s="4124" t="s">
        <v>111</v>
      </c>
      <c r="D15" s="4124" t="s">
        <v>2223</v>
      </c>
      <c r="E15" s="4551" t="s">
        <v>2224</v>
      </c>
      <c r="F15" s="4552"/>
    </row>
    <row r="16" spans="2:7" ht="48" customHeight="1" x14ac:dyDescent="0.2">
      <c r="B16" s="4122"/>
      <c r="C16" s="4124" t="s">
        <v>2225</v>
      </c>
      <c r="D16" s="4124" t="s">
        <v>2226</v>
      </c>
      <c r="E16" s="4551" t="s">
        <v>2227</v>
      </c>
      <c r="F16" s="4552"/>
    </row>
    <row r="17" spans="2:7" ht="17.25" customHeight="1" x14ac:dyDescent="0.2">
      <c r="B17" s="4122"/>
      <c r="C17" s="4124" t="s">
        <v>2225</v>
      </c>
      <c r="D17" s="4124" t="s">
        <v>2228</v>
      </c>
      <c r="E17" s="4553" t="s">
        <v>2229</v>
      </c>
      <c r="F17" s="4554"/>
    </row>
    <row r="18" spans="2:7" ht="54" customHeight="1" x14ac:dyDescent="0.2">
      <c r="B18" s="4122"/>
      <c r="C18" s="4124" t="s">
        <v>117</v>
      </c>
      <c r="D18" s="4124" t="s">
        <v>2230</v>
      </c>
      <c r="E18" s="4551" t="s">
        <v>2231</v>
      </c>
      <c r="F18" s="4552"/>
    </row>
    <row r="19" spans="2:7" ht="18.75" customHeight="1" x14ac:dyDescent="0.2">
      <c r="B19" s="4122"/>
      <c r="C19" s="4124" t="s">
        <v>117</v>
      </c>
      <c r="D19" s="4123" t="s">
        <v>2232</v>
      </c>
      <c r="E19" s="4551" t="s">
        <v>2233</v>
      </c>
      <c r="F19" s="4552"/>
    </row>
    <row r="20" spans="2:7" ht="16.5" customHeight="1" x14ac:dyDescent="0.2">
      <c r="B20" s="875"/>
      <c r="C20" s="4123" t="s">
        <v>2234</v>
      </c>
      <c r="D20" s="4123" t="s">
        <v>2235</v>
      </c>
      <c r="E20" s="4553" t="s">
        <v>2459</v>
      </c>
      <c r="F20" s="4554"/>
    </row>
    <row r="21" spans="2:7" ht="13.5" x14ac:dyDescent="0.2">
      <c r="B21" s="874" t="s">
        <v>2236</v>
      </c>
      <c r="C21" s="4124" t="s">
        <v>2214</v>
      </c>
      <c r="D21" s="4123" t="s">
        <v>2237</v>
      </c>
      <c r="E21" s="4553" t="s">
        <v>2218</v>
      </c>
      <c r="F21" s="4554"/>
    </row>
    <row r="22" spans="2:7" x14ac:dyDescent="0.2">
      <c r="B22" s="4122"/>
      <c r="C22" s="4123" t="s">
        <v>2214</v>
      </c>
      <c r="D22" s="4123" t="s">
        <v>2215</v>
      </c>
      <c r="E22" s="4553" t="s">
        <v>2238</v>
      </c>
      <c r="F22" s="4554"/>
    </row>
    <row r="23" spans="2:7" x14ac:dyDescent="0.2">
      <c r="B23" s="4122"/>
      <c r="C23" s="4123" t="s">
        <v>2214</v>
      </c>
      <c r="D23" s="4123" t="s">
        <v>2239</v>
      </c>
      <c r="E23" s="4553" t="s">
        <v>2218</v>
      </c>
      <c r="F23" s="4554"/>
      <c r="G23" s="4194"/>
    </row>
    <row r="24" spans="2:7" x14ac:dyDescent="0.2">
      <c r="B24" s="4122"/>
      <c r="C24" s="4123" t="s">
        <v>2214</v>
      </c>
      <c r="D24" s="4123" t="s">
        <v>2240</v>
      </c>
      <c r="E24" s="4553" t="s">
        <v>2218</v>
      </c>
      <c r="F24" s="4554"/>
    </row>
    <row r="25" spans="2:7" x14ac:dyDescent="0.2">
      <c r="B25" s="4122"/>
      <c r="C25" s="4123" t="s">
        <v>2214</v>
      </c>
      <c r="D25" s="4123" t="s">
        <v>2241</v>
      </c>
      <c r="E25" s="4551" t="s">
        <v>2242</v>
      </c>
      <c r="F25" s="4552"/>
    </row>
    <row r="26" spans="2:7" ht="48" customHeight="1" x14ac:dyDescent="0.2">
      <c r="B26" s="4122"/>
      <c r="C26" s="4124" t="s">
        <v>2225</v>
      </c>
      <c r="D26" s="4124" t="s">
        <v>2226</v>
      </c>
      <c r="E26" s="4551" t="s">
        <v>2227</v>
      </c>
      <c r="F26" s="4552"/>
    </row>
    <row r="27" spans="2:7" x14ac:dyDescent="0.2">
      <c r="B27" s="4122"/>
      <c r="C27" s="4124" t="s">
        <v>2225</v>
      </c>
      <c r="D27" s="4123" t="s">
        <v>2243</v>
      </c>
      <c r="E27" s="4553" t="s">
        <v>2244</v>
      </c>
      <c r="F27" s="4554"/>
    </row>
    <row r="28" spans="2:7" x14ac:dyDescent="0.2">
      <c r="B28" s="4122"/>
      <c r="C28" s="4124" t="s">
        <v>2225</v>
      </c>
      <c r="D28" s="4123" t="s">
        <v>2132</v>
      </c>
      <c r="E28" s="4553" t="s">
        <v>2245</v>
      </c>
      <c r="F28" s="4554"/>
    </row>
    <row r="29" spans="2:7" x14ac:dyDescent="0.2">
      <c r="B29" s="4122"/>
      <c r="C29" s="4124" t="s">
        <v>2225</v>
      </c>
      <c r="D29" s="4123" t="s">
        <v>2246</v>
      </c>
      <c r="E29" s="4553" t="s">
        <v>2247</v>
      </c>
      <c r="F29" s="4554"/>
    </row>
    <row r="30" spans="2:7" ht="48.75" customHeight="1" x14ac:dyDescent="0.2">
      <c r="B30" s="4122"/>
      <c r="C30" s="4124" t="s">
        <v>117</v>
      </c>
      <c r="D30" s="4124" t="s">
        <v>2230</v>
      </c>
      <c r="E30" s="4551" t="s">
        <v>2231</v>
      </c>
      <c r="F30" s="4552"/>
    </row>
    <row r="31" spans="2:7" ht="27" customHeight="1" x14ac:dyDescent="0.2">
      <c r="B31" s="4122"/>
      <c r="C31" s="4124" t="s">
        <v>117</v>
      </c>
      <c r="D31" s="4123" t="s">
        <v>2232</v>
      </c>
      <c r="E31" s="4551" t="s">
        <v>2248</v>
      </c>
      <c r="F31" s="4552"/>
    </row>
    <row r="32" spans="2:7" x14ac:dyDescent="0.2">
      <c r="B32" s="4122"/>
      <c r="C32" s="4123" t="s">
        <v>2234</v>
      </c>
      <c r="D32" s="4123" t="s">
        <v>2249</v>
      </c>
      <c r="E32" s="4553" t="s">
        <v>2250</v>
      </c>
      <c r="F32" s="4554"/>
    </row>
    <row r="33" spans="2:7" x14ac:dyDescent="0.2">
      <c r="B33" s="4122"/>
      <c r="C33" s="4123" t="s">
        <v>2234</v>
      </c>
      <c r="D33" s="4123" t="s">
        <v>2251</v>
      </c>
      <c r="E33" s="4553" t="s">
        <v>2252</v>
      </c>
      <c r="F33" s="4554"/>
    </row>
    <row r="34" spans="2:7" x14ac:dyDescent="0.2">
      <c r="B34" s="4122"/>
      <c r="C34" s="4123" t="s">
        <v>2234</v>
      </c>
      <c r="D34" s="4123" t="s">
        <v>2253</v>
      </c>
      <c r="E34" s="4553" t="s">
        <v>2259</v>
      </c>
      <c r="F34" s="4554"/>
    </row>
    <row r="35" spans="2:7" x14ac:dyDescent="0.2">
      <c r="B35" s="4122"/>
      <c r="C35" s="4123" t="s">
        <v>2234</v>
      </c>
      <c r="D35" s="4123" t="s">
        <v>2235</v>
      </c>
      <c r="E35" s="4553" t="s">
        <v>2260</v>
      </c>
      <c r="F35" s="4554"/>
    </row>
    <row r="36" spans="2:7" ht="13.5" x14ac:dyDescent="0.2">
      <c r="B36" s="874" t="s">
        <v>2254</v>
      </c>
      <c r="C36" s="4124" t="s">
        <v>2214</v>
      </c>
      <c r="D36" s="4123" t="s">
        <v>2237</v>
      </c>
      <c r="E36" s="4553" t="s">
        <v>2218</v>
      </c>
      <c r="F36" s="4554"/>
    </row>
    <row r="37" spans="2:7" x14ac:dyDescent="0.2">
      <c r="B37" s="4122"/>
      <c r="C37" s="4123" t="s">
        <v>2214</v>
      </c>
      <c r="D37" s="4123" t="s">
        <v>2215</v>
      </c>
      <c r="E37" s="4553" t="s">
        <v>2255</v>
      </c>
      <c r="F37" s="4554"/>
    </row>
    <row r="38" spans="2:7" x14ac:dyDescent="0.2">
      <c r="B38" s="4122"/>
      <c r="C38" s="4123" t="s">
        <v>2214</v>
      </c>
      <c r="D38" s="4123" t="s">
        <v>2239</v>
      </c>
      <c r="E38" s="4553" t="s">
        <v>2218</v>
      </c>
      <c r="F38" s="4554"/>
      <c r="G38" s="4194"/>
    </row>
    <row r="39" spans="2:7" ht="15" customHeight="1" x14ac:dyDescent="0.2">
      <c r="B39" s="4122"/>
      <c r="C39" s="4123" t="s">
        <v>2214</v>
      </c>
      <c r="D39" s="4123" t="s">
        <v>2240</v>
      </c>
      <c r="E39" s="4553" t="s">
        <v>2218</v>
      </c>
      <c r="F39" s="4554"/>
    </row>
    <row r="40" spans="2:7" ht="42.75" customHeight="1" x14ac:dyDescent="0.2">
      <c r="B40" s="4122"/>
      <c r="C40" s="4124" t="s">
        <v>2225</v>
      </c>
      <c r="D40" s="4124" t="s">
        <v>2226</v>
      </c>
      <c r="E40" s="4551" t="s">
        <v>2227</v>
      </c>
      <c r="F40" s="4552"/>
    </row>
    <row r="41" spans="2:7" x14ac:dyDescent="0.2">
      <c r="B41" s="4122"/>
      <c r="C41" s="4123" t="s">
        <v>2225</v>
      </c>
      <c r="D41" s="4123" t="s">
        <v>2256</v>
      </c>
      <c r="E41" s="4553" t="s">
        <v>2257</v>
      </c>
      <c r="F41" s="4554"/>
    </row>
    <row r="42" spans="2:7" x14ac:dyDescent="0.2">
      <c r="B42" s="4122"/>
      <c r="C42" s="4124" t="s">
        <v>2225</v>
      </c>
      <c r="D42" s="4123" t="s">
        <v>2246</v>
      </c>
      <c r="E42" s="4553" t="s">
        <v>2247</v>
      </c>
      <c r="F42" s="4554"/>
    </row>
    <row r="43" spans="2:7" ht="44.25" customHeight="1" x14ac:dyDescent="0.2">
      <c r="B43" s="4122"/>
      <c r="C43" s="4124" t="s">
        <v>117</v>
      </c>
      <c r="D43" s="4124" t="s">
        <v>2230</v>
      </c>
      <c r="E43" s="4551" t="s">
        <v>2231</v>
      </c>
      <c r="F43" s="4552"/>
    </row>
    <row r="44" spans="2:7" ht="12.75" customHeight="1" x14ac:dyDescent="0.2">
      <c r="B44" s="4122"/>
      <c r="C44" s="4124" t="s">
        <v>117</v>
      </c>
      <c r="D44" s="4123" t="s">
        <v>2232</v>
      </c>
      <c r="E44" s="4551" t="s">
        <v>2258</v>
      </c>
      <c r="F44" s="4552"/>
    </row>
    <row r="45" spans="2:7" x14ac:dyDescent="0.2">
      <c r="B45" s="4122"/>
      <c r="C45" s="4123" t="s">
        <v>2234</v>
      </c>
      <c r="D45" s="4123" t="s">
        <v>2249</v>
      </c>
      <c r="E45" s="4553" t="s">
        <v>2250</v>
      </c>
      <c r="F45" s="4554"/>
    </row>
    <row r="46" spans="2:7" x14ac:dyDescent="0.2">
      <c r="B46" s="4122"/>
      <c r="C46" s="4123" t="s">
        <v>2234</v>
      </c>
      <c r="D46" s="4123" t="s">
        <v>2251</v>
      </c>
      <c r="E46" s="4553" t="s">
        <v>2252</v>
      </c>
      <c r="F46" s="4554"/>
    </row>
    <row r="47" spans="2:7" x14ac:dyDescent="0.2">
      <c r="B47" s="4122"/>
      <c r="C47" s="4123" t="s">
        <v>2234</v>
      </c>
      <c r="D47" s="4123" t="s">
        <v>2253</v>
      </c>
      <c r="E47" s="4553" t="s">
        <v>2259</v>
      </c>
      <c r="F47" s="4554"/>
    </row>
    <row r="48" spans="2:7" x14ac:dyDescent="0.2">
      <c r="B48" s="875"/>
      <c r="C48" s="4123" t="s">
        <v>2234</v>
      </c>
      <c r="D48" s="4123" t="s">
        <v>2235</v>
      </c>
      <c r="E48" s="4553" t="s">
        <v>2260</v>
      </c>
      <c r="F48" s="4554"/>
    </row>
    <row r="49" spans="2:6" ht="18" customHeight="1" x14ac:dyDescent="0.2">
      <c r="B49" s="874" t="s">
        <v>2004</v>
      </c>
      <c r="C49" s="4123"/>
      <c r="D49" s="4123"/>
      <c r="E49" s="4553"/>
      <c r="F49" s="4554"/>
    </row>
    <row r="50" spans="2:6" ht="18" customHeight="1" x14ac:dyDescent="0.2">
      <c r="B50" s="875"/>
      <c r="C50" s="4123"/>
      <c r="D50" s="4123"/>
      <c r="E50" s="4553"/>
      <c r="F50" s="4554"/>
    </row>
    <row r="51" spans="2:6" ht="18" customHeight="1" x14ac:dyDescent="0.2">
      <c r="B51" s="874" t="s">
        <v>1971</v>
      </c>
      <c r="C51" s="4123"/>
      <c r="D51" s="4123"/>
      <c r="E51" s="4553"/>
      <c r="F51" s="4554"/>
    </row>
    <row r="52" spans="2:6" ht="18" customHeight="1" x14ac:dyDescent="0.2">
      <c r="B52" s="875"/>
      <c r="C52" s="4123"/>
      <c r="D52" s="4123"/>
      <c r="E52" s="4553"/>
      <c r="F52" s="4554"/>
    </row>
    <row r="53" spans="2:6" ht="18" customHeight="1" x14ac:dyDescent="0.2">
      <c r="B53" s="2578" t="s">
        <v>2261</v>
      </c>
      <c r="C53" s="4123"/>
      <c r="D53" s="4123"/>
      <c r="E53" s="4553"/>
      <c r="F53" s="4554"/>
    </row>
    <row r="54" spans="2:6" ht="18" customHeight="1" x14ac:dyDescent="0.2">
      <c r="B54" s="2579" t="s">
        <v>2262</v>
      </c>
      <c r="C54" s="4123"/>
      <c r="D54" s="4123"/>
      <c r="E54" s="4553"/>
      <c r="F54" s="4554"/>
    </row>
    <row r="55" spans="2:6" ht="18" customHeight="1" x14ac:dyDescent="0.2">
      <c r="B55" s="2578" t="s">
        <v>905</v>
      </c>
      <c r="C55" s="4123"/>
      <c r="D55" s="4123"/>
      <c r="E55" s="4553"/>
      <c r="F55" s="4554"/>
    </row>
    <row r="56" spans="2:6" ht="18" customHeight="1" x14ac:dyDescent="0.2">
      <c r="B56" s="2579"/>
      <c r="C56" s="4123"/>
      <c r="D56" s="4123"/>
      <c r="E56" s="4553"/>
      <c r="F56" s="4554"/>
    </row>
    <row r="57" spans="2:6" ht="18" customHeight="1" x14ac:dyDescent="0.2">
      <c r="B57" s="2580" t="s">
        <v>2263</v>
      </c>
      <c r="C57" s="4123"/>
      <c r="D57" s="4123"/>
      <c r="E57" s="4553"/>
      <c r="F57" s="4554"/>
    </row>
    <row r="58" spans="2:6" ht="18" customHeight="1" thickBot="1" x14ac:dyDescent="0.25">
      <c r="B58" s="2581"/>
      <c r="C58" s="4125"/>
      <c r="D58" s="4125"/>
      <c r="E58" s="4555"/>
      <c r="F58" s="4556"/>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AH10" sqref="AH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1445740.06853158</v>
      </c>
      <c r="D10" s="1938" t="s">
        <v>97</v>
      </c>
      <c r="E10" s="615"/>
      <c r="F10" s="615"/>
      <c r="G10" s="615"/>
      <c r="H10" s="1851">
        <f>IF(SUM(H11:H14)=0,"NO",SUM(H11:H14))</f>
        <v>98631.003512585332</v>
      </c>
      <c r="I10" s="1851">
        <f>IF(SUM(I11:I15)=0,"NO",SUM(I11:I15))</f>
        <v>13.003303367485842</v>
      </c>
      <c r="J10" s="2217">
        <f>IF(SUM(J11:J15)=0,"NO",SUM(J11:J15))</f>
        <v>4.5631098979181539</v>
      </c>
    </row>
    <row r="11" spans="2:11" ht="18" customHeight="1" x14ac:dyDescent="0.2">
      <c r="B11" s="282" t="s">
        <v>243</v>
      </c>
      <c r="C11" s="1938">
        <f>IF(SUM(C17:C18,C21:C24,C82,C89:C92,C100)=0,"NO",SUM(C17:C18,C21:C24,C82,C89:C92,C100))</f>
        <v>1419502.3402669157</v>
      </c>
      <c r="D11" s="1934" t="s">
        <v>97</v>
      </c>
      <c r="E11" s="1938">
        <f>IFERROR(H11*1000/$C11,"NA")</f>
        <v>68.721041122621784</v>
      </c>
      <c r="F11" s="1938">
        <f t="shared" ref="F11:G15" si="0">IFERROR(I11*1000000/$C11,"NA")</f>
        <v>8.6430593789802437</v>
      </c>
      <c r="G11" s="1938">
        <f t="shared" si="0"/>
        <v>3.1842117013544571</v>
      </c>
      <c r="H11" s="1938">
        <f>IF(SUM(H17:H18,H21:H24,H82,H89:H92,H100)=0,"NO",SUM(H17:H18,H21:H24,H82,H89:H92,H100))</f>
        <v>97549.678699140582</v>
      </c>
      <c r="I11" s="1938">
        <f>IF(SUM(I17:I18,I21:I24,I82,I89:I92,I100)=0,"NO",SUM(I17:I18,I21:I24,I82,I89:I92,I100))</f>
        <v>12.268843015528372</v>
      </c>
      <c r="J11" s="3064">
        <f>IF(SUM(J17:J18,J21:J24,J82,J89:J92,J100)=0,"NO",SUM(J17:J18,J21:J24,J82,J89:J92,J100))</f>
        <v>4.5199959619779495</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21012.254068294827</v>
      </c>
      <c r="D13" s="1934" t="s">
        <v>97</v>
      </c>
      <c r="E13" s="1938">
        <f t="shared" si="1"/>
        <v>51.411918339265014</v>
      </c>
      <c r="F13" s="1938">
        <f t="shared" si="0"/>
        <v>26.430702577216621</v>
      </c>
      <c r="G13" s="1938">
        <f t="shared" si="0"/>
        <v>0.25546519906183679</v>
      </c>
      <c r="H13" s="1938">
        <f>IF(SUM(H26,H84,H94,H102)=0,"NO",SUM(H26,H84,H94,H102))</f>
        <v>1080.2802902830626</v>
      </c>
      <c r="I13" s="1938">
        <f>IF(SUM(I26,I84,I94,I102)=0,"NO",SUM(I26,I84,I94,I102))</f>
        <v>0.55536863775601053</v>
      </c>
      <c r="J13" s="3064">
        <f>IF(SUM(J26,J84,J94,J102)=0,"NO",SUM(J26,J84,J94,J102))</f>
        <v>5.3678996682948281E-3</v>
      </c>
    </row>
    <row r="14" spans="2:11" ht="18" customHeight="1" x14ac:dyDescent="0.2">
      <c r="B14" s="282" t="s">
        <v>290</v>
      </c>
      <c r="C14" s="1938">
        <f>IF(SUM(C28,C86,C96,C103)=0,"NO",SUM(C28,C86,C96,C103))</f>
        <v>14.249974920710905</v>
      </c>
      <c r="D14" s="1934" t="s">
        <v>97</v>
      </c>
      <c r="E14" s="1938">
        <f t="shared" si="1"/>
        <v>73.300000000000011</v>
      </c>
      <c r="F14" s="1938" t="str">
        <f t="shared" si="0"/>
        <v>NA</v>
      </c>
      <c r="G14" s="1938" t="str">
        <f t="shared" si="0"/>
        <v>NA</v>
      </c>
      <c r="H14" s="1938">
        <f>IF(SUM(H28,H86,H96,H103)=0,"NO",SUM(H28,H86,H96,H103))</f>
        <v>1.0445231616881094</v>
      </c>
      <c r="I14" s="1938" t="str">
        <f>IF(SUM(I28,I86,I96,I103)=0,"NO",SUM(I28,I86,I96,I103))</f>
        <v>NO</v>
      </c>
      <c r="J14" s="3064" t="str">
        <f>IF(SUM(J28,J86,J96,J103)=0,"NO",SUM(J28,J86,J96,J103))</f>
        <v>NO</v>
      </c>
    </row>
    <row r="15" spans="2:11" ht="18" customHeight="1" x14ac:dyDescent="0.2">
      <c r="B15" s="282" t="s">
        <v>249</v>
      </c>
      <c r="C15" s="1938">
        <f>IF(SUM(C19,C27,C85,C95,C104)=0,"NO",SUM(C19,C27,C85,C95,C104))</f>
        <v>5211.224221448947</v>
      </c>
      <c r="D15" s="1938" t="s">
        <v>97</v>
      </c>
      <c r="E15" s="1938">
        <f t="shared" si="1"/>
        <v>67.260000000000019</v>
      </c>
      <c r="F15" s="1938">
        <f t="shared" si="0"/>
        <v>34.366533964194595</v>
      </c>
      <c r="G15" s="1938">
        <f t="shared" si="0"/>
        <v>7.2432186119625657</v>
      </c>
      <c r="H15" s="1938">
        <f>IF(SUM(H19,H27,H85,H95,H104)=0,"NO",SUM(H19,H27,H85,H95,H104))</f>
        <v>350.50694113465624</v>
      </c>
      <c r="I15" s="1938">
        <f>IF(SUM(I19,I27,I85,I95,I104)=0,"NO",SUM(I19,I27,I85,I95,I104))</f>
        <v>0.17909171420145878</v>
      </c>
      <c r="J15" s="3064">
        <f>IF(SUM(J19,J27,J85,J95,J104)=0,"NO",SUM(J19,J27,J85,J95,J104))</f>
        <v>3.7746036271909145E-2</v>
      </c>
    </row>
    <row r="16" spans="2:11" ht="18" customHeight="1" x14ac:dyDescent="0.2">
      <c r="B16" s="1240" t="s">
        <v>291</v>
      </c>
      <c r="C16" s="1938">
        <f>IF(SUM(C17:C19)=0,"NO",SUM(C17:C19))</f>
        <v>121529.21072805542</v>
      </c>
      <c r="D16" s="1934" t="s">
        <v>97</v>
      </c>
      <c r="E16" s="615"/>
      <c r="F16" s="615"/>
      <c r="G16" s="615"/>
      <c r="H16" s="1938">
        <f>IF(SUM(H17:H18)=0,"NO",SUM(H17:H18))</f>
        <v>8452.5503676997123</v>
      </c>
      <c r="I16" s="1938">
        <f>IF(SUM(I17:I19)=0,"NO",SUM(I17:I19))</f>
        <v>3.7316272708472202E-2</v>
      </c>
      <c r="J16" s="3064">
        <f>IF(SUM(J17:J19)=0,"NO",SUM(J17:J19))</f>
        <v>6.3498532709433717E-2</v>
      </c>
    </row>
    <row r="17" spans="2:10" ht="18" customHeight="1" x14ac:dyDescent="0.2">
      <c r="B17" s="282" t="s">
        <v>292</v>
      </c>
      <c r="C17" s="699">
        <v>2262.5765280555097</v>
      </c>
      <c r="D17" s="1934" t="s">
        <v>97</v>
      </c>
      <c r="E17" s="1938">
        <f t="shared" ref="E17:E19" si="2">IFERROR(H17*1000/$C17,"NA")</f>
        <v>67</v>
      </c>
      <c r="F17" s="1938">
        <f t="shared" ref="F17:G19" si="3">IFERROR(I17*1000000/$C17,"NA")</f>
        <v>0.5</v>
      </c>
      <c r="G17" s="1938">
        <f t="shared" si="3"/>
        <v>2.0000000000000004</v>
      </c>
      <c r="H17" s="699">
        <v>151.59262737971915</v>
      </c>
      <c r="I17" s="699">
        <v>1.1312882640277548E-3</v>
      </c>
      <c r="J17" s="2921">
        <v>4.52515305611102E-3</v>
      </c>
    </row>
    <row r="18" spans="2:10" ht="18" customHeight="1" x14ac:dyDescent="0.2">
      <c r="B18" s="282" t="s">
        <v>293</v>
      </c>
      <c r="C18" s="699">
        <v>119266.63419999991</v>
      </c>
      <c r="D18" s="1934" t="s">
        <v>97</v>
      </c>
      <c r="E18" s="1938">
        <f t="shared" si="2"/>
        <v>69.59999999999998</v>
      </c>
      <c r="F18" s="1938">
        <f t="shared" si="3"/>
        <v>0.30339570398008664</v>
      </c>
      <c r="G18" s="1938">
        <f t="shared" si="3"/>
        <v>0.49446670520130043</v>
      </c>
      <c r="H18" s="699">
        <v>8300.9577403199928</v>
      </c>
      <c r="I18" s="699">
        <v>3.618498444444445E-2</v>
      </c>
      <c r="J18" s="2921">
        <v>5.8973379653322694E-2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1227017.9314162782</v>
      </c>
      <c r="D20" s="1934" t="s">
        <v>97</v>
      </c>
      <c r="E20" s="615"/>
      <c r="F20" s="615"/>
      <c r="G20" s="615"/>
      <c r="H20" s="1938">
        <f>IF(SUM(H21:H24,H26,H28)=0,"NO",SUM(H21:H24,H26,H28))</f>
        <v>83725.27425789769</v>
      </c>
      <c r="I20" s="1938">
        <f>IF(SUM(I21:I24,I26:I28)=0,"NO",SUM(I21:I24,I26:I28))</f>
        <v>8.1582205435267383</v>
      </c>
      <c r="J20" s="3064">
        <f>IF(SUM(J21:J24,J26:J28)=0,"NO",SUM(J21:J24,J26:J28))</f>
        <v>2.9233871094724164</v>
      </c>
    </row>
    <row r="21" spans="2:10" ht="18" customHeight="1" x14ac:dyDescent="0.2">
      <c r="B21" s="282" t="s">
        <v>281</v>
      </c>
      <c r="C21" s="1938">
        <f>IF(SUM(C31,C41,C51,C61,C72)=0,"NO",SUM(C31,C41,C51,C61,C72))</f>
        <v>587395.05887169996</v>
      </c>
      <c r="D21" s="1934" t="s">
        <v>97</v>
      </c>
      <c r="E21" s="1938">
        <f t="shared" ref="E21:E23" si="4">IFERROR(H21*1000/$C21,"NA")</f>
        <v>67.400000000000006</v>
      </c>
      <c r="F21" s="1938">
        <f t="shared" ref="F21:G23" si="5">IFERROR(I21*1000000/$C21,"NA")</f>
        <v>7.9176794548412035</v>
      </c>
      <c r="G21" s="1938">
        <f t="shared" si="5"/>
        <v>3.1438093404214436</v>
      </c>
      <c r="H21" s="1938">
        <f t="shared" ref="H21:J23" si="6">IF(SUM(H31,H41,H51,H61,H72)=0,"NO",SUM(H31,H41,H51,H61,H72))</f>
        <v>39590.426967952582</v>
      </c>
      <c r="I21" s="1938">
        <f t="shared" si="6"/>
        <v>4.6508057895036981</v>
      </c>
      <c r="J21" s="3064">
        <f t="shared" si="6"/>
        <v>1.846658072598254</v>
      </c>
    </row>
    <row r="22" spans="2:10" ht="18" customHeight="1" x14ac:dyDescent="0.2">
      <c r="B22" s="282" t="s">
        <v>282</v>
      </c>
      <c r="C22" s="1938">
        <f>IF(SUM(C32,C42,C52,C62,C73)=0,"NO",SUM(C32,C42,C52,C62,C73))</f>
        <v>615224.76065325493</v>
      </c>
      <c r="D22" s="1934" t="s">
        <v>97</v>
      </c>
      <c r="E22" s="1938">
        <f t="shared" si="4"/>
        <v>69.900000000000006</v>
      </c>
      <c r="F22" s="1938">
        <f t="shared" si="5"/>
        <v>4.1427455985430433</v>
      </c>
      <c r="G22" s="1938">
        <f t="shared" si="5"/>
        <v>1.6170822410996741</v>
      </c>
      <c r="H22" s="1938">
        <f t="shared" si="6"/>
        <v>43004.210769662524</v>
      </c>
      <c r="I22" s="1938">
        <f t="shared" si="6"/>
        <v>2.5487196693109695</v>
      </c>
      <c r="J22" s="3064">
        <f t="shared" si="6"/>
        <v>0.99486903473717603</v>
      </c>
    </row>
    <row r="23" spans="2:10" ht="18" customHeight="1" x14ac:dyDescent="0.2">
      <c r="B23" s="282" t="s">
        <v>283</v>
      </c>
      <c r="C23" s="1938">
        <f>IF(SUM(C33,C43,C53,C63,C74)=0,"NO",SUM(C33,C43,C53,C63,C74))</f>
        <v>15813.534003000001</v>
      </c>
      <c r="D23" s="1934" t="s">
        <v>97</v>
      </c>
      <c r="E23" s="1938">
        <f t="shared" si="4"/>
        <v>60.20000000000001</v>
      </c>
      <c r="F23" s="1938">
        <f t="shared" si="5"/>
        <v>29.963076925313036</v>
      </c>
      <c r="G23" s="1938">
        <f t="shared" si="5"/>
        <v>2.6012468552837444</v>
      </c>
      <c r="H23" s="1938">
        <f t="shared" si="6"/>
        <v>951.97474698060023</v>
      </c>
      <c r="I23" s="1938">
        <f t="shared" si="6"/>
        <v>0.47382213579294241</v>
      </c>
      <c r="J23" s="3064">
        <f t="shared" si="6"/>
        <v>4.1134905596226318E-2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3470.5030682948286</v>
      </c>
      <c r="D26" s="1934" t="s">
        <v>97</v>
      </c>
      <c r="E26" s="1938">
        <f t="shared" si="7"/>
        <v>51.411918339264986</v>
      </c>
      <c r="F26" s="1938">
        <f t="shared" si="8"/>
        <v>109.59119420114824</v>
      </c>
      <c r="G26" s="1938">
        <f t="shared" si="8"/>
        <v>0.99999999999999989</v>
      </c>
      <c r="H26" s="1938">
        <f t="shared" ref="H26:J29" si="10">IF(SUM(H36,H46,H56,H66,H77)=0,"NO",SUM(H36,H46,H56,H66,H77))</f>
        <v>178.42522034334232</v>
      </c>
      <c r="I26" s="1938">
        <f t="shared" si="10"/>
        <v>0.38033657573317942</v>
      </c>
      <c r="J26" s="3064">
        <f t="shared" si="10"/>
        <v>3.4705030682948283E-3</v>
      </c>
    </row>
    <row r="27" spans="2:10" ht="18" customHeight="1" x14ac:dyDescent="0.2">
      <c r="B27" s="282" t="s">
        <v>249</v>
      </c>
      <c r="C27" s="1938">
        <f t="shared" si="9"/>
        <v>5110.8476309609541</v>
      </c>
      <c r="D27" s="1934" t="s">
        <v>97</v>
      </c>
      <c r="E27" s="1938">
        <f t="shared" si="7"/>
        <v>67.260000000000019</v>
      </c>
      <c r="F27" s="1938">
        <f t="shared" si="8"/>
        <v>20.453823070889317</v>
      </c>
      <c r="G27" s="1938">
        <f t="shared" si="8"/>
        <v>7.2893179688592147</v>
      </c>
      <c r="H27" s="1938">
        <f t="shared" si="10"/>
        <v>343.75561165843385</v>
      </c>
      <c r="I27" s="1938">
        <f t="shared" si="10"/>
        <v>0.10453637318594916</v>
      </c>
      <c r="J27" s="3064">
        <f t="shared" si="10"/>
        <v>3.7254593472465236E-2</v>
      </c>
    </row>
    <row r="28" spans="2:10" ht="18" customHeight="1" x14ac:dyDescent="0.2">
      <c r="B28" s="282" t="s">
        <v>290</v>
      </c>
      <c r="C28" s="1938">
        <f>C29</f>
        <v>3.2271890674555688</v>
      </c>
      <c r="D28" s="1934" t="s">
        <v>97</v>
      </c>
      <c r="E28" s="615"/>
      <c r="F28" s="615"/>
      <c r="G28" s="615"/>
      <c r="H28" s="1938">
        <f>H29</f>
        <v>0.23655295864449316</v>
      </c>
      <c r="I28" s="1938" t="str">
        <f>I29</f>
        <v>NE</v>
      </c>
      <c r="J28" s="3064" t="str">
        <f>J29</f>
        <v>NE</v>
      </c>
    </row>
    <row r="29" spans="2:10" ht="18" customHeight="1" x14ac:dyDescent="0.2">
      <c r="B29" s="3083" t="s">
        <v>297</v>
      </c>
      <c r="C29" s="1938">
        <f t="shared" si="9"/>
        <v>3.2271890674555688</v>
      </c>
      <c r="D29" s="1934" t="s">
        <v>97</v>
      </c>
      <c r="E29" s="3081">
        <f t="shared" ref="E29" si="11">IFERROR(H29*1000/$C29,"NA")</f>
        <v>73.3</v>
      </c>
      <c r="F29" s="3081" t="str">
        <f>IFERROR(I29*1000000/$C29,"NA")</f>
        <v>NA</v>
      </c>
      <c r="G29" s="3081" t="str">
        <f>IFERROR(J29*1000000/$C29,"NA")</f>
        <v>NA</v>
      </c>
      <c r="H29" s="1938">
        <f t="shared" si="10"/>
        <v>0.23655295864449316</v>
      </c>
      <c r="I29" s="1938" t="str">
        <f>IF(SUM(I39,I49,I59,I69,I80)=0,"NE",SUM(I39,I49,I59,I69,I80))</f>
        <v>NE</v>
      </c>
      <c r="J29" s="3064" t="str">
        <f>IF(SUM(J39,J49,J59,J69,J80)=0,"NE",SUM(J39,J49,J59,J69,J80))</f>
        <v>NE</v>
      </c>
    </row>
    <row r="30" spans="2:10" ht="18" customHeight="1" x14ac:dyDescent="0.2">
      <c r="B30" s="1241" t="s">
        <v>298</v>
      </c>
      <c r="C30" s="1938">
        <f>IF(SUM(C31:C34,C36:C38)=0,"NO",SUM(C31:C34,C36:C38))</f>
        <v>661620.36124993872</v>
      </c>
      <c r="D30" s="1934" t="s">
        <v>97</v>
      </c>
      <c r="E30" s="615"/>
      <c r="F30" s="615"/>
      <c r="G30" s="615"/>
      <c r="H30" s="1938">
        <f>IF(SUM(H31:H34,H36,H38)=0,"NO",SUM(H31:H34,H36,H38))</f>
        <v>44491.285595193651</v>
      </c>
      <c r="I30" s="1938">
        <f>IF(SUM(I31:I34,I36:I38)=0,"NO",SUM(I31:I34,I36:I38))</f>
        <v>4.6406277408004026</v>
      </c>
      <c r="J30" s="3064">
        <f>IF(SUM(J31:J34,J36:J38)=0,"NO",SUM(J31:J34,J36:J38))</f>
        <v>1.7950978606427841</v>
      </c>
    </row>
    <row r="31" spans="2:10" ht="18" customHeight="1" x14ac:dyDescent="0.2">
      <c r="B31" s="282" t="s">
        <v>281</v>
      </c>
      <c r="C31" s="699">
        <v>524211.56901010009</v>
      </c>
      <c r="D31" s="1934" t="s">
        <v>97</v>
      </c>
      <c r="E31" s="1938">
        <f t="shared" ref="E31:E33" si="12">IFERROR(H31*1000/$C31,"NA")</f>
        <v>67.40000000000002</v>
      </c>
      <c r="F31" s="1938">
        <f t="shared" ref="F31:G33" si="13">IFERROR(I31*1000000/$C31,"NA")</f>
        <v>6.9413388060461836</v>
      </c>
      <c r="G31" s="1938">
        <f t="shared" si="13"/>
        <v>3.0506700525123605</v>
      </c>
      <c r="H31" s="699">
        <v>35331.859751280754</v>
      </c>
      <c r="I31" s="699">
        <v>3.6387301065481648</v>
      </c>
      <c r="J31" s="2921">
        <v>1.5991965347596289</v>
      </c>
    </row>
    <row r="32" spans="2:10" ht="18" customHeight="1" x14ac:dyDescent="0.2">
      <c r="B32" s="282" t="s">
        <v>282</v>
      </c>
      <c r="C32" s="699">
        <v>120171.01697178518</v>
      </c>
      <c r="D32" s="1934" t="s">
        <v>97</v>
      </c>
      <c r="E32" s="1938">
        <f t="shared" si="12"/>
        <v>69.900000000000006</v>
      </c>
      <c r="F32" s="1938">
        <f t="shared" si="13"/>
        <v>4.0170656728160239</v>
      </c>
      <c r="G32" s="1938">
        <f t="shared" si="13"/>
        <v>1.0940487525092879</v>
      </c>
      <c r="H32" s="699">
        <v>8399.9540863277853</v>
      </c>
      <c r="I32" s="699">
        <v>0.48273486714475006</v>
      </c>
      <c r="J32" s="2921">
        <v>0.13147295120575403</v>
      </c>
    </row>
    <row r="33" spans="2:10" ht="18" customHeight="1" x14ac:dyDescent="0.2">
      <c r="B33" s="282" t="s">
        <v>283</v>
      </c>
      <c r="C33" s="699">
        <v>12552.51287092595</v>
      </c>
      <c r="D33" s="1934" t="s">
        <v>97</v>
      </c>
      <c r="E33" s="1938">
        <f t="shared" si="12"/>
        <v>60.20000000000001</v>
      </c>
      <c r="F33" s="1938">
        <f t="shared" si="13"/>
        <v>32.748299759885128</v>
      </c>
      <c r="G33" s="1938">
        <f t="shared" si="13"/>
        <v>2.6579772537811222</v>
      </c>
      <c r="H33" s="699">
        <v>755.6612748297423</v>
      </c>
      <c r="I33" s="699">
        <v>0.41107345423689928</v>
      </c>
      <c r="J33" s="2921">
        <v>3.3364293688715942E-2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74.116719983615965</v>
      </c>
      <c r="D36" s="1934" t="s">
        <v>97</v>
      </c>
      <c r="E36" s="1938">
        <f t="shared" si="14"/>
        <v>51.411918339265</v>
      </c>
      <c r="F36" s="1938">
        <f t="shared" si="15"/>
        <v>261</v>
      </c>
      <c r="G36" s="1938">
        <f t="shared" si="15"/>
        <v>1</v>
      </c>
      <c r="H36" s="699">
        <v>3.8104827553718343</v>
      </c>
      <c r="I36" s="699">
        <v>1.9344463915723767E-2</v>
      </c>
      <c r="J36" s="2921">
        <v>7.411671998361596E-5</v>
      </c>
    </row>
    <row r="37" spans="2:10" ht="18" customHeight="1" x14ac:dyDescent="0.2">
      <c r="B37" s="282" t="s">
        <v>249</v>
      </c>
      <c r="C37" s="699">
        <v>4611.1456771438052</v>
      </c>
      <c r="D37" s="1934" t="s">
        <v>97</v>
      </c>
      <c r="E37" s="1938">
        <f t="shared" si="14"/>
        <v>67.260000000000019</v>
      </c>
      <c r="F37" s="1938">
        <f t="shared" si="15"/>
        <v>19.245726586940943</v>
      </c>
      <c r="G37" s="1938">
        <f t="shared" si="15"/>
        <v>6.7206647628398635</v>
      </c>
      <c r="H37" s="699">
        <v>310.14565824469241</v>
      </c>
      <c r="I37" s="699">
        <v>8.8744848954864328E-2</v>
      </c>
      <c r="J37" s="2921">
        <v>3.0989964268701733E-2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247254.06743854214</v>
      </c>
      <c r="D40" s="1934" t="s">
        <v>97</v>
      </c>
      <c r="E40" s="615"/>
      <c r="F40" s="615"/>
      <c r="G40" s="615"/>
      <c r="H40" s="1938">
        <f>IF(SUM(H41:H44,H46,H48)=0,"NO",SUM(H41:H44,H46,H48))</f>
        <v>17080.44116014782</v>
      </c>
      <c r="I40" s="1938">
        <f>IF(SUM(I41:I44,I46:I48)=0,"NO",SUM(I41:I44,I46:I48))</f>
        <v>1.9333961107752968</v>
      </c>
      <c r="J40" s="3064">
        <f>IF(SUM(J41:J44,J46:J48)=0,"NO",SUM(J41:J44,J46:J48))</f>
        <v>0.56203726615483585</v>
      </c>
    </row>
    <row r="41" spans="2:10" ht="18" customHeight="1" x14ac:dyDescent="0.2">
      <c r="B41" s="282" t="s">
        <v>281</v>
      </c>
      <c r="C41" s="699">
        <v>57580.825615419541</v>
      </c>
      <c r="D41" s="1934" t="s">
        <v>97</v>
      </c>
      <c r="E41" s="1938">
        <f t="shared" ref="E41:E43" si="17">IFERROR(H41*1000/$C41,"NA")</f>
        <v>67.400000000000006</v>
      </c>
      <c r="F41" s="1938">
        <f t="shared" ref="F41:G43" si="18">IFERROR(I41*1000000/$C41,"NA")</f>
        <v>11.960475029217562</v>
      </c>
      <c r="G41" s="1938">
        <f t="shared" si="18"/>
        <v>4.2047841530897418</v>
      </c>
      <c r="H41" s="699">
        <v>3880.9476464792774</v>
      </c>
      <c r="I41" s="699">
        <v>0.6886940269349564</v>
      </c>
      <c r="J41" s="2921">
        <v>0.24211494306953996</v>
      </c>
    </row>
    <row r="42" spans="2:10" ht="18" customHeight="1" x14ac:dyDescent="0.2">
      <c r="B42" s="282" t="s">
        <v>282</v>
      </c>
      <c r="C42" s="699">
        <v>186828.11504170933</v>
      </c>
      <c r="D42" s="1934" t="s">
        <v>97</v>
      </c>
      <c r="E42" s="1938">
        <f t="shared" si="17"/>
        <v>69.899999999999991</v>
      </c>
      <c r="F42" s="1938">
        <f t="shared" si="18"/>
        <v>6.1368657808031717</v>
      </c>
      <c r="G42" s="1938">
        <f t="shared" si="18"/>
        <v>1.645074726028342</v>
      </c>
      <c r="H42" s="699">
        <v>13059.28524141548</v>
      </c>
      <c r="I42" s="699">
        <v>1.1465390660914243</v>
      </c>
      <c r="J42" s="2921">
        <v>0.30734621016663155</v>
      </c>
    </row>
    <row r="43" spans="2:10" ht="18" customHeight="1" x14ac:dyDescent="0.2">
      <c r="B43" s="282" t="s">
        <v>283</v>
      </c>
      <c r="C43" s="699">
        <v>2233.1930111084594</v>
      </c>
      <c r="D43" s="1934" t="s">
        <v>97</v>
      </c>
      <c r="E43" s="1938">
        <f t="shared" si="17"/>
        <v>60.20000000000001</v>
      </c>
      <c r="F43" s="1938">
        <f t="shared" si="18"/>
        <v>23.768205054613638</v>
      </c>
      <c r="G43" s="1938">
        <f t="shared" si="18"/>
        <v>2.775958847970875</v>
      </c>
      <c r="H43" s="699">
        <v>134.43821926872928</v>
      </c>
      <c r="I43" s="699">
        <v>5.3078989414555938E-2</v>
      </c>
      <c r="J43" s="2921">
        <v>6.1992518984132486E-3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112.23181648764461</v>
      </c>
      <c r="D46" s="1934" t="s">
        <v>97</v>
      </c>
      <c r="E46" s="1938">
        <f t="shared" si="19"/>
        <v>51.411918339264993</v>
      </c>
      <c r="F46" s="1938">
        <f t="shared" si="20"/>
        <v>261</v>
      </c>
      <c r="G46" s="1938">
        <f t="shared" si="20"/>
        <v>0.99999999999999989</v>
      </c>
      <c r="H46" s="699">
        <v>5.7700529843301593</v>
      </c>
      <c r="I46" s="699">
        <v>2.9292504103275243E-2</v>
      </c>
      <c r="J46" s="2921">
        <v>1.1223181648764459E-4</v>
      </c>
    </row>
    <row r="47" spans="2:10" ht="18" customHeight="1" x14ac:dyDescent="0.2">
      <c r="B47" s="282" t="s">
        <v>249</v>
      </c>
      <c r="C47" s="699">
        <v>499.70195381714876</v>
      </c>
      <c r="D47" s="1934" t="s">
        <v>97</v>
      </c>
      <c r="E47" s="1938">
        <f t="shared" si="19"/>
        <v>67.260000000000005</v>
      </c>
      <c r="F47" s="1938">
        <f t="shared" si="20"/>
        <v>31.601886105218803</v>
      </c>
      <c r="G47" s="1938">
        <f t="shared" si="20"/>
        <v>12.536731457439656</v>
      </c>
      <c r="H47" s="699">
        <v>33.60995341374143</v>
      </c>
      <c r="I47" s="699">
        <v>1.579152423108484E-2</v>
      </c>
      <c r="J47" s="2921">
        <v>6.2646292037635068E-3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314145.44103796448</v>
      </c>
      <c r="D50" s="1934" t="s">
        <v>97</v>
      </c>
      <c r="E50" s="615"/>
      <c r="F50" s="615"/>
      <c r="G50" s="615"/>
      <c r="H50" s="1938">
        <f>IF(SUM(H51:H54,H56,H58)=0,"NO",SUM(H51:H54,H56,H58))</f>
        <v>21884.059104245993</v>
      </c>
      <c r="I50" s="1938">
        <f>IF(SUM(I51:I54,I56:I58)=0,"NO",SUM(I51:I54,I56:I58))</f>
        <v>1.2821069686626698</v>
      </c>
      <c r="J50" s="3064">
        <f>IF(SUM(J51:J54,J56:J58)=0,"NO",SUM(J51:J54,J56:J58))</f>
        <v>0.5622241196976181</v>
      </c>
    </row>
    <row r="51" spans="2:10" ht="18" customHeight="1" x14ac:dyDescent="0.2">
      <c r="B51" s="282" t="s">
        <v>281</v>
      </c>
      <c r="C51" s="699">
        <v>1607.8297454149072</v>
      </c>
      <c r="D51" s="1934" t="s">
        <v>97</v>
      </c>
      <c r="E51" s="1938">
        <f t="shared" ref="E51:E53" si="22">IFERROR(H51*1000/$C51,"NA")</f>
        <v>67.400000000000006</v>
      </c>
      <c r="F51" s="1938">
        <f t="shared" ref="F51:G53" si="23">IFERROR(I51*1000000/$C51,"NA")</f>
        <v>13.242653827574646</v>
      </c>
      <c r="G51" s="1938">
        <f t="shared" si="23"/>
        <v>0.82019367763764239</v>
      </c>
      <c r="H51" s="699">
        <v>108.36772484096474</v>
      </c>
      <c r="I51" s="699">
        <v>2.129193273220709E-2</v>
      </c>
      <c r="J51" s="2921">
        <v>1.318731791907047E-3</v>
      </c>
    </row>
    <row r="52" spans="2:10" ht="18" customHeight="1" x14ac:dyDescent="0.2">
      <c r="B52" s="282" t="s">
        <v>282</v>
      </c>
      <c r="C52" s="699">
        <v>308225.62863976043</v>
      </c>
      <c r="D52" s="1934" t="s">
        <v>97</v>
      </c>
      <c r="E52" s="1938">
        <f t="shared" si="22"/>
        <v>69.90000000000002</v>
      </c>
      <c r="F52" s="1938">
        <f t="shared" si="23"/>
        <v>2.9830281801433194</v>
      </c>
      <c r="G52" s="1938">
        <f t="shared" si="23"/>
        <v>1.8040351667663408</v>
      </c>
      <c r="H52" s="699">
        <v>21544.971441919261</v>
      </c>
      <c r="I52" s="699">
        <v>0.91944573607479518</v>
      </c>
      <c r="J52" s="2921">
        <v>0.5560498733647905</v>
      </c>
    </row>
    <row r="53" spans="2:10" ht="18" customHeight="1" x14ac:dyDescent="0.2">
      <c r="B53" s="282" t="s">
        <v>283</v>
      </c>
      <c r="C53" s="699">
        <v>1027.8281209655909</v>
      </c>
      <c r="D53" s="1934" t="s">
        <v>97</v>
      </c>
      <c r="E53" s="1938">
        <f t="shared" si="22"/>
        <v>60.2</v>
      </c>
      <c r="F53" s="1938">
        <f t="shared" si="23"/>
        <v>9.4078882881731403</v>
      </c>
      <c r="G53" s="1938">
        <f t="shared" si="23"/>
        <v>1.5288159343421333</v>
      </c>
      <c r="H53" s="699">
        <v>61.875252882128571</v>
      </c>
      <c r="I53" s="699">
        <v>9.6696921414871888E-3</v>
      </c>
      <c r="J53" s="2921">
        <v>1.571360009097129E-3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3284.154531823568</v>
      </c>
      <c r="D56" s="1934" t="s">
        <v>97</v>
      </c>
      <c r="E56" s="1938">
        <f t="shared" si="24"/>
        <v>51.411918339264993</v>
      </c>
      <c r="F56" s="1938">
        <f t="shared" si="25"/>
        <v>101</v>
      </c>
      <c r="G56" s="1938">
        <f t="shared" si="25"/>
        <v>1</v>
      </c>
      <c r="H56" s="699">
        <v>168.84468460364033</v>
      </c>
      <c r="I56" s="699">
        <v>0.33169960771418039</v>
      </c>
      <c r="J56" s="2921">
        <v>3.2841545318235679E-3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3998.0616898328572</v>
      </c>
      <c r="D60" s="1934" t="s">
        <v>97</v>
      </c>
      <c r="E60" s="615"/>
      <c r="F60" s="615"/>
      <c r="G60" s="615"/>
      <c r="H60" s="1938">
        <f>IF(SUM(H61:H64,H66,H68)=0,"NO",SUM(H61:H64,H66,H68))</f>
        <v>269.48839831023253</v>
      </c>
      <c r="I60" s="1938">
        <f>IF(SUM(I61:I64,I66:I68)=0,"NO",SUM(I61:I64,I66:I68))</f>
        <v>0.30208972328836975</v>
      </c>
      <c r="J60" s="3064">
        <f>IF(SUM(J61:J64,J66:J68)=0,"NO",SUM(J61:J64,J66:J68))</f>
        <v>4.027862977178262E-3</v>
      </c>
    </row>
    <row r="61" spans="2:10" ht="18" customHeight="1" x14ac:dyDescent="0.2">
      <c r="B61" s="282" t="s">
        <v>281</v>
      </c>
      <c r="C61" s="699">
        <v>3994.8345007654016</v>
      </c>
      <c r="D61" s="1934" t="s">
        <v>97</v>
      </c>
      <c r="E61" s="1938">
        <f t="shared" ref="E61:E63" si="27">IFERROR(H61*1000/$C61,"NA")</f>
        <v>67.399999999999991</v>
      </c>
      <c r="F61" s="1938">
        <f t="shared" ref="F61:G63" si="28">IFERROR(I61*1000000/$C61,"NA")</f>
        <v>75.620084694494864</v>
      </c>
      <c r="G61" s="1938">
        <f t="shared" si="28"/>
        <v>1.0082677959265978</v>
      </c>
      <c r="H61" s="699">
        <v>269.25184535158803</v>
      </c>
      <c r="I61" s="699">
        <v>0.30208972328836975</v>
      </c>
      <c r="J61" s="2921">
        <v>4.027862977178262E-3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3.2271890674555688</v>
      </c>
      <c r="D68" s="1934" t="s">
        <v>97</v>
      </c>
      <c r="E68" s="615"/>
      <c r="F68" s="615"/>
      <c r="G68" s="615"/>
      <c r="H68" s="1938">
        <f>H69</f>
        <v>0.23655295864449316</v>
      </c>
      <c r="I68" s="1938" t="str">
        <f>I69</f>
        <v>NE</v>
      </c>
      <c r="J68" s="3064" t="str">
        <f>J69</f>
        <v>NE</v>
      </c>
    </row>
    <row r="69" spans="2:10" ht="18" customHeight="1" x14ac:dyDescent="0.2">
      <c r="B69" s="3083" t="s">
        <v>297</v>
      </c>
      <c r="C69" s="699">
        <v>3.2271890674555688</v>
      </c>
      <c r="D69" s="1934" t="s">
        <v>97</v>
      </c>
      <c r="E69" s="3081">
        <f t="shared" ref="E69" si="31">IFERROR(H69*1000/$C69,"NA")</f>
        <v>73.3</v>
      </c>
      <c r="F69" s="3081" t="str">
        <f>IFERROR(I69*1000000/$C69,"NA")</f>
        <v>NA</v>
      </c>
      <c r="G69" s="3081" t="str">
        <f>IFERROR(J69*1000000/$C69,"NA")</f>
        <v>NA</v>
      </c>
      <c r="H69" s="699">
        <v>0.23655295864449316</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51026.897501969303</v>
      </c>
      <c r="D81" s="1934" t="s">
        <v>97</v>
      </c>
      <c r="E81" s="615"/>
      <c r="F81" s="615"/>
      <c r="G81" s="615"/>
      <c r="H81" s="1938">
        <f>IF(SUM(H82:H84,H86)=0,"NO",SUM(H82:H84,H86))</f>
        <v>3566.7865178876546</v>
      </c>
      <c r="I81" s="1938">
        <f>IF(SUM(I82:I86)=0,"NO",SUM(I82:I86))</f>
        <v>0.20410069000787723</v>
      </c>
      <c r="J81" s="3064">
        <f>IF(SUM(J82:J86)=0,"NO",SUM(J82:J86))</f>
        <v>1.5307551750590789</v>
      </c>
    </row>
    <row r="82" spans="2:10" ht="18" customHeight="1" x14ac:dyDescent="0.2">
      <c r="B82" s="282" t="s">
        <v>243</v>
      </c>
      <c r="C82" s="699">
        <v>51026.897501969303</v>
      </c>
      <c r="D82" s="1934" t="s">
        <v>97</v>
      </c>
      <c r="E82" s="1938">
        <f t="shared" ref="E82:E85" si="37">IFERROR(H82*1000/$C82,"NA")</f>
        <v>69.90012508109082</v>
      </c>
      <c r="F82" s="1938">
        <f t="shared" ref="F82:G85" si="38">IFERROR(I82*1000000/$C82,"NA")</f>
        <v>3.9998647771991287</v>
      </c>
      <c r="G82" s="1938">
        <f t="shared" si="38"/>
        <v>29.998985828993462</v>
      </c>
      <c r="H82" s="699">
        <v>3566.7865178876546</v>
      </c>
      <c r="I82" s="699">
        <v>0.20410069000787723</v>
      </c>
      <c r="J82" s="2921">
        <v>1.5307551750590789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28168.562394873432</v>
      </c>
      <c r="D88" s="1934" t="s">
        <v>97</v>
      </c>
      <c r="E88" s="615"/>
      <c r="F88" s="615"/>
      <c r="G88" s="615"/>
      <c r="H88" s="1938">
        <f>IF(SUM(H89:H92,H94,H96)=0,"NO",SUM(H89:H92,H94,H96))</f>
        <v>1951.5725236416927</v>
      </c>
      <c r="I88" s="3299">
        <f>IF(SUM(I89:I92,I94:I96)=0,"NE",SUM(I89:I92,I94:I96))</f>
        <v>4.4331666412218098</v>
      </c>
      <c r="J88" s="3300">
        <f>IF(SUM(J89:J92,J94:J96)=0,"NE",SUM(J89:J92,J94:J96))</f>
        <v>4.3595169078389583E-2</v>
      </c>
    </row>
    <row r="89" spans="2:10" ht="18" customHeight="1" x14ac:dyDescent="0.2">
      <c r="B89" s="282" t="s">
        <v>306</v>
      </c>
      <c r="C89" s="699">
        <v>5788.9219090000006</v>
      </c>
      <c r="D89" s="1934" t="s">
        <v>97</v>
      </c>
      <c r="E89" s="1938">
        <f t="shared" ref="E89:E91" si="40">IFERROR(H89*1000/$C89,"NA")</f>
        <v>73.599999999999994</v>
      </c>
      <c r="F89" s="1938">
        <f t="shared" ref="F89:G91" si="41">IFERROR(I89*1000000/$C89,"NA")</f>
        <v>7.0000000000000009</v>
      </c>
      <c r="G89" s="1938">
        <f t="shared" si="41"/>
        <v>2</v>
      </c>
      <c r="H89" s="699">
        <v>426.06465250240001</v>
      </c>
      <c r="I89" s="4435">
        <v>4.0522453363000005E-2</v>
      </c>
      <c r="J89" s="4436">
        <v>1.1577843818000002E-2</v>
      </c>
    </row>
    <row r="90" spans="2:10" ht="18" customHeight="1" x14ac:dyDescent="0.2">
      <c r="B90" s="282" t="s">
        <v>307</v>
      </c>
      <c r="C90" s="699">
        <v>10428.000647754938</v>
      </c>
      <c r="D90" s="1934" t="s">
        <v>97</v>
      </c>
      <c r="E90" s="1938">
        <f t="shared" si="40"/>
        <v>69.90000000000002</v>
      </c>
      <c r="F90" s="1938">
        <f t="shared" si="41"/>
        <v>7.0000000000000018</v>
      </c>
      <c r="G90" s="1938">
        <f t="shared" si="41"/>
        <v>2</v>
      </c>
      <c r="H90" s="699">
        <v>728.91724527807037</v>
      </c>
      <c r="I90" s="4435">
        <v>7.2996004534284578E-2</v>
      </c>
      <c r="J90" s="4436">
        <v>2.0856001295509876E-2</v>
      </c>
    </row>
    <row r="91" spans="2:10" ht="18" customHeight="1" x14ac:dyDescent="0.2">
      <c r="B91" s="282" t="s">
        <v>281</v>
      </c>
      <c r="C91" s="699">
        <v>11696.007105477642</v>
      </c>
      <c r="D91" s="1934" t="s">
        <v>97</v>
      </c>
      <c r="E91" s="1938">
        <f t="shared" si="40"/>
        <v>67.40000000000002</v>
      </c>
      <c r="F91" s="1938">
        <f t="shared" si="41"/>
        <v>359.99999999999994</v>
      </c>
      <c r="G91" s="1938">
        <f t="shared" si="41"/>
        <v>0.9</v>
      </c>
      <c r="H91" s="699">
        <v>788.31087890919321</v>
      </c>
      <c r="I91" s="4435">
        <v>4.2105625579719508</v>
      </c>
      <c r="J91" s="4436">
        <v>1.0526406394929877E-2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159.13499999999999</v>
      </c>
      <c r="D94" s="1934" t="s">
        <v>97</v>
      </c>
      <c r="E94" s="1938">
        <f t="shared" ref="E94:E95" si="44">IFERROR(H94*1000/$C94,"NA")</f>
        <v>51.411918339265</v>
      </c>
      <c r="F94" s="1938">
        <f t="shared" si="43"/>
        <v>243.00000000000003</v>
      </c>
      <c r="G94" s="1938">
        <f t="shared" si="43"/>
        <v>1</v>
      </c>
      <c r="H94" s="699">
        <v>8.1814356249189348</v>
      </c>
      <c r="I94" s="3301">
        <v>3.8669805000000002E-2</v>
      </c>
      <c r="J94" s="3302">
        <v>1.59135E-4</v>
      </c>
    </row>
    <row r="95" spans="2:10" ht="18" customHeight="1" x14ac:dyDescent="0.2">
      <c r="B95" s="282" t="s">
        <v>249</v>
      </c>
      <c r="C95" s="699">
        <v>95.1565139899663</v>
      </c>
      <c r="D95" s="1934" t="s">
        <v>97</v>
      </c>
      <c r="E95" s="1938">
        <f t="shared" si="44"/>
        <v>67.260000000000034</v>
      </c>
      <c r="F95" s="1938">
        <f t="shared" si="43"/>
        <v>740.00000000000011</v>
      </c>
      <c r="G95" s="1938">
        <f t="shared" si="43"/>
        <v>5.0000000000000009</v>
      </c>
      <c r="H95" s="699">
        <v>6.4002271309651357</v>
      </c>
      <c r="I95" s="3301">
        <v>7.041582035257507E-2</v>
      </c>
      <c r="J95" s="3302">
        <v>4.7578256994983159E-4</v>
      </c>
    </row>
    <row r="96" spans="2:10" ht="18" customHeight="1" x14ac:dyDescent="0.2">
      <c r="B96" s="282" t="s">
        <v>299</v>
      </c>
      <c r="C96" s="1938">
        <f>IF(SUM(C97:C98)=0,"NO",SUM(C97:C98))</f>
        <v>1.341218650888633</v>
      </c>
      <c r="D96" s="1934" t="s">
        <v>97</v>
      </c>
      <c r="E96" s="615"/>
      <c r="F96" s="615"/>
      <c r="G96" s="615"/>
      <c r="H96" s="1938">
        <f>IF(SUM(H97:H98)=0,"NO",SUM(H97:H98))</f>
        <v>9.831132711013682E-2</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1.341218650888633</v>
      </c>
      <c r="D98" s="1934" t="s">
        <v>97</v>
      </c>
      <c r="E98" s="3081">
        <f t="shared" ref="E98" si="46">IFERROR(H98*1000/$C98,"NA")</f>
        <v>73.300000000000011</v>
      </c>
      <c r="F98" s="3081" t="str">
        <f>IFERROR(I98*1000000/$C98,"NA")</f>
        <v>NA</v>
      </c>
      <c r="G98" s="3081" t="str">
        <f>IFERROR(J98*1000000/$C98,"NA")</f>
        <v>NA</v>
      </c>
      <c r="H98" s="699">
        <v>9.831132711013682E-2</v>
      </c>
      <c r="I98" s="3301" t="s">
        <v>221</v>
      </c>
      <c r="J98" s="3302" t="s">
        <v>221</v>
      </c>
    </row>
    <row r="99" spans="2:10" ht="18" customHeight="1" x14ac:dyDescent="0.2">
      <c r="B99" s="1240" t="s">
        <v>310</v>
      </c>
      <c r="C99" s="1938">
        <f>IF(SUM(C100:C104)=0,"NO",SUM(C100:C104))</f>
        <v>17997.466490403964</v>
      </c>
      <c r="D99" s="1934" t="s">
        <v>97</v>
      </c>
      <c r="E99" s="615"/>
      <c r="F99" s="615"/>
      <c r="G99" s="615"/>
      <c r="H99" s="1938">
        <f>IF(SUM(H100:H103)=0,"NO",SUM(H100:H103))</f>
        <v>934.81984545855562</v>
      </c>
      <c r="I99" s="1938">
        <f>IF(SUM(I100:I104)=0,"NO",SUM(I100:I104))</f>
        <v>0.17049922002094431</v>
      </c>
      <c r="J99" s="3064">
        <f>IF(SUM(J100:J104)=0,"NO",SUM(J100:J104))</f>
        <v>1.8739115988347925E-3</v>
      </c>
    </row>
    <row r="100" spans="2:10" ht="18" customHeight="1" x14ac:dyDescent="0.2">
      <c r="B100" s="282" t="s">
        <v>243</v>
      </c>
      <c r="C100" s="1938">
        <f>IF(SUM(C106,C113:C116)=0,"NO",SUM(C106,C113:C116))</f>
        <v>599.94884670357374</v>
      </c>
      <c r="D100" s="1934" t="s">
        <v>97</v>
      </c>
      <c r="E100" s="3081">
        <f t="shared" ref="E100:E104" si="47">IFERROR(H100*1000/$C100,"NA")</f>
        <v>67.40000000000002</v>
      </c>
      <c r="F100" s="3081">
        <f t="shared" ref="F100:G104" si="48">IFERROR(I100*1000000/$C100,"NA")</f>
        <v>50.000000000000007</v>
      </c>
      <c r="G100" s="3081">
        <f t="shared" si="48"/>
        <v>0.2</v>
      </c>
      <c r="H100" s="1938">
        <f>IF(SUM(H106,H113:H116)=0,"NO",SUM(H106,H113:H116))</f>
        <v>40.436552267820879</v>
      </c>
      <c r="I100" s="1938">
        <f>IF(SUM(I106,I113:I116)=0,"NO",SUM(I106,I113:I116))</f>
        <v>2.999744233517869E-2</v>
      </c>
      <c r="J100" s="3064">
        <f>IF(SUM(J106,J113:J116)=0,"NO",SUM(J106,J113:J116))</f>
        <v>1.1998976934071476E-4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17382.615999999998</v>
      </c>
      <c r="D102" s="1934" t="s">
        <v>97</v>
      </c>
      <c r="E102" s="3081">
        <f t="shared" si="47"/>
        <v>51.411918339265014</v>
      </c>
      <c r="F102" s="3081">
        <f t="shared" si="48"/>
        <v>7.8447488584474918</v>
      </c>
      <c r="G102" s="3081">
        <f t="shared" si="48"/>
        <v>0.10000000000000002</v>
      </c>
      <c r="H102" s="1938">
        <f t="shared" si="49"/>
        <v>893.67363431480135</v>
      </c>
      <c r="I102" s="1938">
        <f t="shared" si="49"/>
        <v>0.13636225702283108</v>
      </c>
      <c r="J102" s="3064">
        <f t="shared" si="49"/>
        <v>1.7382616E-3</v>
      </c>
    </row>
    <row r="103" spans="2:10" ht="18" customHeight="1" x14ac:dyDescent="0.2">
      <c r="B103" s="282" t="s">
        <v>290</v>
      </c>
      <c r="C103" s="1938">
        <f>IF(SUM(C109,C120)=0,"NO",SUM(C109,C120))</f>
        <v>9.6815672023667041</v>
      </c>
      <c r="D103" s="1934" t="s">
        <v>97</v>
      </c>
      <c r="E103" s="3081">
        <f t="shared" si="47"/>
        <v>73.299999999999983</v>
      </c>
      <c r="F103" s="3081" t="str">
        <f t="shared" si="48"/>
        <v>NA</v>
      </c>
      <c r="G103" s="3081" t="str">
        <f t="shared" si="48"/>
        <v>NA</v>
      </c>
      <c r="H103" s="1938">
        <f t="shared" si="49"/>
        <v>0.70965887593347932</v>
      </c>
      <c r="I103" s="1938" t="str">
        <f t="shared" si="49"/>
        <v>NO</v>
      </c>
      <c r="J103" s="3064" t="str">
        <f t="shared" si="49"/>
        <v>NO</v>
      </c>
    </row>
    <row r="104" spans="2:10" ht="18" customHeight="1" x14ac:dyDescent="0.2">
      <c r="B104" s="282" t="s">
        <v>249</v>
      </c>
      <c r="C104" s="1938">
        <f>IF(SUM(C110,C121)=0,"NO",SUM(C110,C121))</f>
        <v>5.2200764980259269</v>
      </c>
      <c r="D104" s="1934" t="s">
        <v>97</v>
      </c>
      <c r="E104" s="3081">
        <f t="shared" si="47"/>
        <v>67.259999999999991</v>
      </c>
      <c r="F104" s="3081">
        <f t="shared" si="48"/>
        <v>793</v>
      </c>
      <c r="G104" s="3081">
        <f t="shared" si="48"/>
        <v>3.0000000000000004</v>
      </c>
      <c r="H104" s="1938">
        <f t="shared" si="49"/>
        <v>0.35110234525722384</v>
      </c>
      <c r="I104" s="1938">
        <f t="shared" si="49"/>
        <v>4.1395206629345604E-3</v>
      </c>
      <c r="J104" s="3064">
        <f t="shared" si="49"/>
        <v>1.5660229494077783E-5</v>
      </c>
    </row>
    <row r="105" spans="2:10" ht="18" customHeight="1" x14ac:dyDescent="0.2">
      <c r="B105" s="1243" t="s">
        <v>311</v>
      </c>
      <c r="C105" s="1938">
        <f>IF(SUM(C106:C110)=0,"NO",SUM(C106:C110))</f>
        <v>17382.615999999998</v>
      </c>
      <c r="D105" s="1934" t="s">
        <v>97</v>
      </c>
      <c r="E105" s="615"/>
      <c r="F105" s="615"/>
      <c r="G105" s="615"/>
      <c r="H105" s="1938">
        <f>IF(SUM(H106:H109)=0,"NO",SUM(H106:H109))</f>
        <v>893.67363431480135</v>
      </c>
      <c r="I105" s="1938">
        <f>IF(SUM(I106:I110)=0,"NO",SUM(I106:I110))</f>
        <v>0.13636225702283108</v>
      </c>
      <c r="J105" s="3064">
        <f>IF(SUM(J106:J110)=0,"NO",SUM(J106:J110))</f>
        <v>1.7382616E-3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17382.615999999998</v>
      </c>
      <c r="D108" s="1934" t="s">
        <v>97</v>
      </c>
      <c r="E108" s="3081">
        <f t="shared" si="50"/>
        <v>51.411918339265014</v>
      </c>
      <c r="F108" s="3081">
        <f t="shared" si="51"/>
        <v>7.8447488584474918</v>
      </c>
      <c r="G108" s="3081">
        <f t="shared" si="51"/>
        <v>0.10000000000000002</v>
      </c>
      <c r="H108" s="699">
        <v>893.67363431480135</v>
      </c>
      <c r="I108" s="699">
        <v>0.13636225702283108</v>
      </c>
      <c r="J108" s="2921">
        <v>1.7382616E-3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614.85049040396643</v>
      </c>
      <c r="D111" s="1934" t="s">
        <v>97</v>
      </c>
      <c r="E111" s="615"/>
      <c r="F111" s="615"/>
      <c r="G111" s="615"/>
      <c r="H111" s="1938">
        <f>H112</f>
        <v>41.146211143754357</v>
      </c>
      <c r="I111" s="1938">
        <f>I112</f>
        <v>3.4136962998113252E-2</v>
      </c>
      <c r="J111" s="3064">
        <f>J112</f>
        <v>1.3564999883479255E-4</v>
      </c>
    </row>
    <row r="112" spans="2:10" ht="18" customHeight="1" x14ac:dyDescent="0.2">
      <c r="B112" s="3068" t="s">
        <v>313</v>
      </c>
      <c r="C112" s="3077">
        <f>IF(SUM(C113:C116,C118:C121)=0,"NO",SUM(C113:C116,C118:C121))</f>
        <v>614.85049040396643</v>
      </c>
      <c r="D112" s="3077" t="s">
        <v>97</v>
      </c>
      <c r="E112" s="615"/>
      <c r="F112" s="615"/>
      <c r="G112" s="615"/>
      <c r="H112" s="3077">
        <f>IF(SUM(H113:H116,H118:H120)=0,"NO",SUM(H113:H116,H118:H120))</f>
        <v>41.146211143754357</v>
      </c>
      <c r="I112" s="3077">
        <f>IF(SUM(I113:I116,I118:I121)=0,"NO",SUM(I113:I116,I118:I121))</f>
        <v>3.4136962998113252E-2</v>
      </c>
      <c r="J112" s="3078">
        <f>IF(SUM(J113:J116,J118:J121)=0,"NO",SUM(J113:J116,J118:J121))</f>
        <v>1.3564999883479255E-4</v>
      </c>
    </row>
    <row r="113" spans="2:10" ht="18" customHeight="1" x14ac:dyDescent="0.2">
      <c r="B113" s="282" t="s">
        <v>281</v>
      </c>
      <c r="C113" s="699">
        <v>599.94884670357374</v>
      </c>
      <c r="D113" s="1938" t="s">
        <v>97</v>
      </c>
      <c r="E113" s="1938">
        <f t="shared" ref="E113:E115" si="52">IFERROR(H113*1000/$C113,"NA")</f>
        <v>67.40000000000002</v>
      </c>
      <c r="F113" s="1938">
        <f t="shared" ref="F113:G115" si="53">IFERROR(I113*1000000/$C113,"NA")</f>
        <v>50.000000000000007</v>
      </c>
      <c r="G113" s="1938">
        <f t="shared" si="53"/>
        <v>0.2</v>
      </c>
      <c r="H113" s="699">
        <v>40.436552267820879</v>
      </c>
      <c r="I113" s="699">
        <v>2.999744233517869E-2</v>
      </c>
      <c r="J113" s="2921">
        <v>1.1998976934071476E-4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9.6815672023667041</v>
      </c>
      <c r="D120" s="1934" t="s">
        <v>97</v>
      </c>
      <c r="E120" s="3081">
        <f t="shared" si="54"/>
        <v>73.299999999999983</v>
      </c>
      <c r="F120" s="3081" t="str">
        <f t="shared" si="55"/>
        <v>NA</v>
      </c>
      <c r="G120" s="3081" t="str">
        <f t="shared" si="55"/>
        <v>NA</v>
      </c>
      <c r="H120" s="699">
        <v>0.70965887593347932</v>
      </c>
      <c r="I120" s="699" t="s">
        <v>221</v>
      </c>
      <c r="J120" s="2921" t="s">
        <v>221</v>
      </c>
    </row>
    <row r="121" spans="2:10" ht="18" customHeight="1" thickBot="1" x14ac:dyDescent="0.25">
      <c r="B121" s="2210" t="s">
        <v>249</v>
      </c>
      <c r="C121" s="1562">
        <v>5.2200764980259269</v>
      </c>
      <c r="D121" s="2891" t="s">
        <v>97</v>
      </c>
      <c r="E121" s="3082">
        <f t="shared" si="54"/>
        <v>67.259999999999991</v>
      </c>
      <c r="F121" s="3082">
        <f t="shared" si="55"/>
        <v>793</v>
      </c>
      <c r="G121" s="3082">
        <f t="shared" si="55"/>
        <v>3.0000000000000004</v>
      </c>
      <c r="H121" s="1562">
        <v>0.35110234525722384</v>
      </c>
      <c r="I121" s="1562">
        <v>4.1395206629345604E-3</v>
      </c>
      <c r="J121" s="1564">
        <v>1.5660229494077783E-5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403205.93117006694</v>
      </c>
      <c r="D10" s="3087" t="s">
        <v>97</v>
      </c>
      <c r="E10" s="2161"/>
      <c r="F10" s="2161"/>
      <c r="G10" s="2161"/>
      <c r="H10" s="3087">
        <f>IF(SUM(H11:H15)=0,"NO",SUM(H11:H15))</f>
        <v>20793.450536002136</v>
      </c>
      <c r="I10" s="3087">
        <f>IF(SUM(I11:I16)=0,"NO",SUM(I11:I16))</f>
        <v>35.494594631743325</v>
      </c>
      <c r="J10" s="3087">
        <f>IF(SUM(J11:J16)=0,"NO",SUM(J11:J16))</f>
        <v>0.65923467600729879</v>
      </c>
      <c r="K10" s="416" t="str">
        <f>IF(SUM(K11:K16)=0,"NO",SUM(K11:K16))</f>
        <v>NO</v>
      </c>
    </row>
    <row r="11" spans="2:12" ht="18" customHeight="1" x14ac:dyDescent="0.2">
      <c r="B11" s="282" t="s">
        <v>243</v>
      </c>
      <c r="C11" s="1938">
        <f>IF(SUM(C18,C39,C60)=0,"NO",SUM(C18,C39,C60))</f>
        <v>148559.77520107315</v>
      </c>
      <c r="D11" s="3087" t="s">
        <v>97</v>
      </c>
      <c r="E11" s="1938">
        <f t="shared" ref="E11:E16" si="0">IFERROR(H11*1000/$C11,"NA")</f>
        <v>68.402200831506079</v>
      </c>
      <c r="F11" s="1938">
        <f t="shared" ref="F11:G16" si="1">IFERROR(I11*1000000/$C11,"NA")</f>
        <v>9.1470047753431469</v>
      </c>
      <c r="G11" s="1938">
        <f t="shared" si="1"/>
        <v>2.568940388619942</v>
      </c>
      <c r="H11" s="1938">
        <f>IF(SUM(H18,H39,H60)=0,"NO",SUM(H18,H39,H60))</f>
        <v>10161.815578787202</v>
      </c>
      <c r="I11" s="1938">
        <f>IF(SUM(I18,I39,I60)=0,"NO",SUM(I18,I39,I60))</f>
        <v>1.3588769731881205</v>
      </c>
      <c r="J11" s="1938">
        <f>IF(SUM(J18,J39,J60)=0,"NO",SUM(J18,J39,J60))</f>
        <v>0.38164120663833606</v>
      </c>
      <c r="K11" s="3064" t="str">
        <f>IF(SUM(K18,K39,K60)=0,"NO",SUM(K18,K39,K60))</f>
        <v>NO</v>
      </c>
    </row>
    <row r="12" spans="2:12" ht="18" customHeight="1" x14ac:dyDescent="0.2">
      <c r="B12" s="282" t="s">
        <v>245</v>
      </c>
      <c r="C12" s="1938">
        <f t="shared" ref="C12:C16" si="2">IF(SUM(C19,C40,C61)=0,"NO",SUM(C19,C40,C61))</f>
        <v>461.67200000000003</v>
      </c>
      <c r="D12" s="3087" t="s">
        <v>97</v>
      </c>
      <c r="E12" s="1938">
        <f t="shared" si="0"/>
        <v>93.463911760316591</v>
      </c>
      <c r="F12" s="1938">
        <f t="shared" si="1"/>
        <v>0.95238095238095233</v>
      </c>
      <c r="G12" s="1938">
        <f t="shared" si="1"/>
        <v>0.66666666666666652</v>
      </c>
      <c r="H12" s="1938">
        <f t="shared" ref="H12:K16" si="3">IF(SUM(H19,H40,H61)=0,"NO",SUM(H19,H40,H61))</f>
        <v>43.149671070208882</v>
      </c>
      <c r="I12" s="1938">
        <f t="shared" si="3"/>
        <v>4.3968761904761901E-4</v>
      </c>
      <c r="J12" s="1938">
        <f t="shared" si="3"/>
        <v>3.0778133333333329E-4</v>
      </c>
      <c r="K12" s="3064" t="str">
        <f t="shared" si="3"/>
        <v>NO</v>
      </c>
    </row>
    <row r="13" spans="2:12" ht="18" customHeight="1" x14ac:dyDescent="0.2">
      <c r="B13" s="282" t="s">
        <v>246</v>
      </c>
      <c r="C13" s="1938">
        <f t="shared" si="2"/>
        <v>205946.73159549895</v>
      </c>
      <c r="D13" s="3087" t="s">
        <v>97</v>
      </c>
      <c r="E13" s="1938">
        <f t="shared" si="0"/>
        <v>51.413708797970259</v>
      </c>
      <c r="F13" s="1938">
        <f t="shared" si="1"/>
        <v>0.90909090909090939</v>
      </c>
      <c r="G13" s="1938">
        <f t="shared" si="1"/>
        <v>0.90909090909090939</v>
      </c>
      <c r="H13" s="1938">
        <f t="shared" si="3"/>
        <v>10588.485286144723</v>
      </c>
      <c r="I13" s="1938">
        <f t="shared" si="3"/>
        <v>0.18722430145045363</v>
      </c>
      <c r="J13" s="1938">
        <f t="shared" si="3"/>
        <v>0.18722430145045363</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48237.752373494841</v>
      </c>
      <c r="D16" s="3087" t="s">
        <v>97</v>
      </c>
      <c r="E16" s="1938">
        <f t="shared" si="0"/>
        <v>77.325892419041637</v>
      </c>
      <c r="F16" s="1938">
        <f t="shared" si="1"/>
        <v>703.76524608014518</v>
      </c>
      <c r="G16" s="1938">
        <f t="shared" si="1"/>
        <v>1.8670311561751325</v>
      </c>
      <c r="H16" s="1938">
        <f t="shared" si="3"/>
        <v>3730.0272505692328</v>
      </c>
      <c r="I16" s="1938">
        <f t="shared" si="3"/>
        <v>33.948053669485702</v>
      </c>
      <c r="J16" s="1938">
        <f t="shared" si="3"/>
        <v>9.0061386585175818E-2</v>
      </c>
      <c r="K16" s="3064" t="str">
        <f t="shared" si="3"/>
        <v>NO</v>
      </c>
    </row>
    <row r="17" spans="2:11" ht="18" customHeight="1" x14ac:dyDescent="0.2">
      <c r="B17" s="1240" t="s">
        <v>322</v>
      </c>
      <c r="C17" s="3087">
        <f>IF(SUM(C18:C23)=0,"NO",SUM(C18:C23))</f>
        <v>86901.258712422801</v>
      </c>
      <c r="D17" s="3087" t="s">
        <v>97</v>
      </c>
      <c r="E17" s="615"/>
      <c r="F17" s="615"/>
      <c r="G17" s="615"/>
      <c r="H17" s="3057">
        <f>IF(SUM(H18:H22)=0,"NO",SUM(H18:H22))</f>
        <v>5154.5787394899089</v>
      </c>
      <c r="I17" s="3057">
        <f>IF(SUM(I18:I23)=0,"NO",SUM(I18:I23))</f>
        <v>0.10944557057126676</v>
      </c>
      <c r="J17" s="3088">
        <f>IF(SUM(J18:J23)=0,"NO",SUM(J18:J23))</f>
        <v>9.2407694743190313E-2</v>
      </c>
      <c r="K17" s="3064" t="str">
        <f>IF(SUM(K18:K23)=0,"NO",SUM(K18:K23))</f>
        <v>NO</v>
      </c>
    </row>
    <row r="18" spans="2:11" ht="18" customHeight="1" x14ac:dyDescent="0.2">
      <c r="B18" s="282" t="s">
        <v>243</v>
      </c>
      <c r="C18" s="3087">
        <f>IF(SUM(C26,C33)=0,"NO",SUM(C26,C33))</f>
        <v>39135.090108632859</v>
      </c>
      <c r="D18" s="3087" t="s">
        <v>97</v>
      </c>
      <c r="E18" s="1938">
        <f t="shared" ref="E18" si="4">IFERROR(H18*1000/$C18,"NA")</f>
        <v>69.252478235945006</v>
      </c>
      <c r="F18" s="1938">
        <f t="shared" ref="F18:G23" si="5">IFERROR(I18*1000000/$C18,"NA")</f>
        <v>1.6528211055484447</v>
      </c>
      <c r="G18" s="1938">
        <f t="shared" si="5"/>
        <v>1.2341186977450962</v>
      </c>
      <c r="H18" s="3087">
        <f>IF(SUM(H26,H33)=0,"NO",SUM(H26,H33))</f>
        <v>2710.2019760098437</v>
      </c>
      <c r="I18" s="3087">
        <f>IF(SUM(I26,I33)=0,"NO",SUM(I26,I33))</f>
        <v>6.4683302899088566E-2</v>
      </c>
      <c r="J18" s="3087">
        <f>IF(SUM(J26,J33)=0,"NO",SUM(J26,J33))</f>
        <v>4.8297346441002975E-2</v>
      </c>
      <c r="K18" s="3064" t="str">
        <f>IF(SUM(K26,K33)=0,"NO",SUM(K26,K33))</f>
        <v>NO</v>
      </c>
    </row>
    <row r="19" spans="2:11" ht="18" customHeight="1" x14ac:dyDescent="0.2">
      <c r="B19" s="282" t="s">
        <v>245</v>
      </c>
      <c r="C19" s="3087">
        <f t="shared" ref="C19:C21" si="6">IF(SUM(C27,C34)=0,"NO",SUM(C27,C34))</f>
        <v>461.67200000000003</v>
      </c>
      <c r="D19" s="3087" t="s">
        <v>97</v>
      </c>
      <c r="E19" s="1938">
        <f t="shared" ref="E19:E23" si="7">IFERROR(H19*1000/$C19,"NA")</f>
        <v>93.463911760316591</v>
      </c>
      <c r="F19" s="1938">
        <f t="shared" si="5"/>
        <v>0.95238095238095233</v>
      </c>
      <c r="G19" s="1938">
        <f t="shared" si="5"/>
        <v>0.66666666666666652</v>
      </c>
      <c r="H19" s="3087">
        <f t="shared" ref="H19:K21" si="8">IF(SUM(H27,H34)=0,"NO",SUM(H27,H34))</f>
        <v>43.149671070208882</v>
      </c>
      <c r="I19" s="3087">
        <f t="shared" si="8"/>
        <v>4.3968761904761901E-4</v>
      </c>
      <c r="J19" s="3087">
        <f t="shared" si="8"/>
        <v>3.0778133333333329E-4</v>
      </c>
      <c r="K19" s="3064" t="str">
        <f t="shared" si="8"/>
        <v>NO</v>
      </c>
    </row>
    <row r="20" spans="2:11" ht="18" customHeight="1" x14ac:dyDescent="0.2">
      <c r="B20" s="282" t="s">
        <v>246</v>
      </c>
      <c r="C20" s="3087">
        <f t="shared" si="6"/>
        <v>46698.478307078396</v>
      </c>
      <c r="D20" s="3087" t="s">
        <v>97</v>
      </c>
      <c r="E20" s="1938">
        <f t="shared" si="7"/>
        <v>51.419814509156851</v>
      </c>
      <c r="F20" s="1938">
        <f t="shared" si="5"/>
        <v>0.90909090909090917</v>
      </c>
      <c r="G20" s="1938">
        <f t="shared" si="5"/>
        <v>0.90909090909090917</v>
      </c>
      <c r="H20" s="3087">
        <f t="shared" si="8"/>
        <v>2401.2270924098561</v>
      </c>
      <c r="I20" s="3087">
        <f t="shared" si="8"/>
        <v>4.2453162097344004E-2</v>
      </c>
      <c r="J20" s="3087">
        <f t="shared" si="8"/>
        <v>4.2453162097344004E-2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606.01829671154712</v>
      </c>
      <c r="D23" s="3087" t="s">
        <v>97</v>
      </c>
      <c r="E23" s="1938">
        <f t="shared" si="7"/>
        <v>61.596957908308411</v>
      </c>
      <c r="F23" s="1938">
        <f t="shared" si="5"/>
        <v>3.0847549751066192</v>
      </c>
      <c r="G23" s="1938">
        <f t="shared" si="5"/>
        <v>2.226673483015793</v>
      </c>
      <c r="H23" s="3087">
        <f>IF(SUM(H31,H37)=0,"NO",SUM(H31,H37))</f>
        <v>37.328883514205927</v>
      </c>
      <c r="I23" s="3087">
        <f>IF(SUM(I31,I37)=0,"NO",SUM(I31,I37))</f>
        <v>1.8694179557865844E-3</v>
      </c>
      <c r="J23" s="3087">
        <f>IF(SUM(J31,J37)=0,"NO",SUM(J31,J37))</f>
        <v>1.3494048715099989E-3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86901.258712422801</v>
      </c>
      <c r="D25" s="3057" t="s">
        <v>97</v>
      </c>
      <c r="E25" s="615"/>
      <c r="F25" s="615"/>
      <c r="G25" s="615"/>
      <c r="H25" s="3057">
        <f>IF(SUM(H26:H30)=0,"NO",SUM(H26:H30))</f>
        <v>5154.5787394899089</v>
      </c>
      <c r="I25" s="3057">
        <f>IF(SUM(I26:I31)=0,"NO",SUM(I26:I31))</f>
        <v>0.10944557057126676</v>
      </c>
      <c r="J25" s="3088">
        <f>IF(SUM(J26:J31)=0,"NO",SUM(J26:J31))</f>
        <v>9.2407694743190313E-2</v>
      </c>
      <c r="K25" s="3064" t="str">
        <f>IF(SUM(K26:K31)=0,"NO",SUM(K26:K31))</f>
        <v>NO</v>
      </c>
    </row>
    <row r="26" spans="2:11" ht="18" customHeight="1" x14ac:dyDescent="0.2">
      <c r="B26" s="282" t="s">
        <v>243</v>
      </c>
      <c r="C26" s="699">
        <v>39135.090108632859</v>
      </c>
      <c r="D26" s="3057" t="s">
        <v>97</v>
      </c>
      <c r="E26" s="1938">
        <f t="shared" ref="E26:E31" si="9">IFERROR(H26*1000/$C26,"NA")</f>
        <v>69.252478235945006</v>
      </c>
      <c r="F26" s="1938">
        <f t="shared" ref="F26:G31" si="10">IFERROR(I26*1000000/$C26,"NA")</f>
        <v>1.6528211055484447</v>
      </c>
      <c r="G26" s="1938">
        <f t="shared" si="10"/>
        <v>1.2341186977450962</v>
      </c>
      <c r="H26" s="699">
        <v>2710.2019760098437</v>
      </c>
      <c r="I26" s="699">
        <v>6.4683302899088566E-2</v>
      </c>
      <c r="J26" s="699">
        <v>4.8297346441002975E-2</v>
      </c>
      <c r="K26" s="2921" t="s">
        <v>199</v>
      </c>
    </row>
    <row r="27" spans="2:11" ht="18" customHeight="1" x14ac:dyDescent="0.2">
      <c r="B27" s="282" t="s">
        <v>245</v>
      </c>
      <c r="C27" s="699">
        <v>461.67200000000003</v>
      </c>
      <c r="D27" s="3057" t="s">
        <v>97</v>
      </c>
      <c r="E27" s="1938">
        <f t="shared" si="9"/>
        <v>93.463911760316591</v>
      </c>
      <c r="F27" s="1938">
        <f t="shared" si="10"/>
        <v>0.95238095238095233</v>
      </c>
      <c r="G27" s="1938">
        <f t="shared" si="10"/>
        <v>0.66666666666666652</v>
      </c>
      <c r="H27" s="699">
        <v>43.149671070208882</v>
      </c>
      <c r="I27" s="699">
        <v>4.3968761904761901E-4</v>
      </c>
      <c r="J27" s="699">
        <v>3.0778133333333329E-4</v>
      </c>
      <c r="K27" s="2921" t="s">
        <v>199</v>
      </c>
    </row>
    <row r="28" spans="2:11" ht="18" customHeight="1" x14ac:dyDescent="0.2">
      <c r="B28" s="282" t="s">
        <v>246</v>
      </c>
      <c r="C28" s="699">
        <v>46698.478307078396</v>
      </c>
      <c r="D28" s="3057" t="s">
        <v>97</v>
      </c>
      <c r="E28" s="1938">
        <f t="shared" si="9"/>
        <v>51.419814509156851</v>
      </c>
      <c r="F28" s="1938">
        <f t="shared" si="10"/>
        <v>0.90909090909090917</v>
      </c>
      <c r="G28" s="1938">
        <f t="shared" si="10"/>
        <v>0.90909090909090917</v>
      </c>
      <c r="H28" s="699">
        <v>2401.2270924098561</v>
      </c>
      <c r="I28" s="699">
        <v>4.2453162097344004E-2</v>
      </c>
      <c r="J28" s="699">
        <v>4.2453162097344004E-2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606.01829671154712</v>
      </c>
      <c r="D31" s="3057" t="s">
        <v>97</v>
      </c>
      <c r="E31" s="1938">
        <f t="shared" si="9"/>
        <v>61.596957908308411</v>
      </c>
      <c r="F31" s="1938">
        <f t="shared" si="10"/>
        <v>3.0847549751066192</v>
      </c>
      <c r="G31" s="1938">
        <f t="shared" si="10"/>
        <v>2.226673483015793</v>
      </c>
      <c r="H31" s="699">
        <v>37.328883514205927</v>
      </c>
      <c r="I31" s="699">
        <v>1.8694179557865844E-3</v>
      </c>
      <c r="J31" s="699">
        <v>1.3494048715099989E-3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225290.11699434285</v>
      </c>
      <c r="D38" s="3057" t="s">
        <v>97</v>
      </c>
      <c r="E38" s="615"/>
      <c r="F38" s="615"/>
      <c r="G38" s="615"/>
      <c r="H38" s="1938">
        <f>IF(SUM(H39:H43)=0,"NO",SUM(H39:H43))</f>
        <v>9338.042351671269</v>
      </c>
      <c r="I38" s="1938">
        <f>IF(SUM(I39:I44)=0,"NO",SUM(I39:I44))</f>
        <v>34.77846063079744</v>
      </c>
      <c r="J38" s="1938">
        <f>IF(SUM(J39:J44)=0,"NO",SUM(J39:J44))</f>
        <v>0.2438242656854506</v>
      </c>
      <c r="K38" s="3064" t="str">
        <f>IF(SUM(K39:K44)=0,"NO",SUM(K39:K44))</f>
        <v>NO</v>
      </c>
    </row>
    <row r="39" spans="2:11" ht="18" customHeight="1" x14ac:dyDescent="0.2">
      <c r="B39" s="282" t="s">
        <v>243</v>
      </c>
      <c r="C39" s="3087">
        <f>IF(SUM(C47,C54)=0,"NO",SUM(C47,C54))</f>
        <v>19756.475629138989</v>
      </c>
      <c r="D39" s="3057" t="s">
        <v>97</v>
      </c>
      <c r="E39" s="1938">
        <f t="shared" ref="E39:E44" si="13">IFERROR(H39*1000/$C39,"NA")</f>
        <v>61.752025586254234</v>
      </c>
      <c r="F39" s="1938">
        <f t="shared" ref="F39:G44" si="14">IFERROR(I39*1000000/$C39,"NA")</f>
        <v>34.860933890845217</v>
      </c>
      <c r="G39" s="1938">
        <f t="shared" si="14"/>
        <v>0.58538252190631801</v>
      </c>
      <c r="H39" s="1938">
        <f>IF(SUM(H47,H54)=0,"NO",SUM(H47,H54))</f>
        <v>1220.002388544799</v>
      </c>
      <c r="I39" s="1938">
        <f>IF(SUM(I47,I54)=0,"NO",SUM(I47,I54))</f>
        <v>0.68872919082350903</v>
      </c>
      <c r="J39" s="1938">
        <f>IF(SUM(J47,J54)=0,"NO",SUM(J47,J54))</f>
        <v>1.1565095527766092E-2</v>
      </c>
      <c r="K39" s="3064" t="str">
        <f>IF(SUM(K47,K54)=0,"NO",SUM(K47,K54))</f>
        <v>NO</v>
      </c>
    </row>
    <row r="40" spans="2:11" ht="18" customHeight="1" x14ac:dyDescent="0.2">
      <c r="B40" s="282" t="s">
        <v>245</v>
      </c>
      <c r="C40" s="3087" t="str">
        <f t="shared" ref="C40:C42" si="15">IF(SUM(C48,C55)=0,"NO",SUM(C48,C55))</f>
        <v>NO</v>
      </c>
      <c r="D40" s="3057" t="s">
        <v>97</v>
      </c>
      <c r="E40" s="1938" t="str">
        <f t="shared" si="13"/>
        <v>NA</v>
      </c>
      <c r="F40" s="1938" t="str">
        <f t="shared" si="14"/>
        <v>NA</v>
      </c>
      <c r="G40" s="1938" t="str">
        <f t="shared" si="14"/>
        <v>NA</v>
      </c>
      <c r="H40" s="1938" t="str">
        <f t="shared" ref="H40:K42" si="16">IF(SUM(H48,H55)=0,"NO",SUM(H48,H55))</f>
        <v>NO</v>
      </c>
      <c r="I40" s="1938" t="str">
        <f t="shared" si="16"/>
        <v>NO</v>
      </c>
      <c r="J40" s="1938" t="str">
        <f t="shared" si="16"/>
        <v>NO</v>
      </c>
      <c r="K40" s="3064" t="str">
        <f t="shared" si="16"/>
        <v>NO</v>
      </c>
    </row>
    <row r="41" spans="2:11" ht="18" customHeight="1" x14ac:dyDescent="0.2">
      <c r="B41" s="282" t="s">
        <v>246</v>
      </c>
      <c r="C41" s="3087">
        <f t="shared" si="15"/>
        <v>157901.90728842057</v>
      </c>
      <c r="D41" s="3057" t="s">
        <v>97</v>
      </c>
      <c r="E41" s="1938">
        <f t="shared" si="13"/>
        <v>51.411918339265</v>
      </c>
      <c r="F41" s="1938">
        <f t="shared" si="14"/>
        <v>0.90909090909090917</v>
      </c>
      <c r="G41" s="1938">
        <f t="shared" si="14"/>
        <v>0.90909090909090917</v>
      </c>
      <c r="H41" s="1938">
        <f t="shared" si="16"/>
        <v>8118.0399631264709</v>
      </c>
      <c r="I41" s="1938">
        <f t="shared" si="16"/>
        <v>0.1435471884440187</v>
      </c>
      <c r="J41" s="1938">
        <f t="shared" si="16"/>
        <v>0.1435471884440187</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47631.734076783294</v>
      </c>
      <c r="D44" s="3057" t="s">
        <v>97</v>
      </c>
      <c r="E44" s="1938">
        <f t="shared" si="13"/>
        <v>77.526011568302849</v>
      </c>
      <c r="F44" s="1938">
        <f t="shared" si="14"/>
        <v>712.68000020339377</v>
      </c>
      <c r="G44" s="1938">
        <f t="shared" si="14"/>
        <v>1.8624554287832633</v>
      </c>
      <c r="H44" s="1938">
        <f>IF(SUM(H52,H58)=0,"NO",SUM(H52,H58))</f>
        <v>3692.6983670550267</v>
      </c>
      <c r="I44" s="1938">
        <f>IF(SUM(I52,I58)=0,"NO",SUM(I52,I58))</f>
        <v>33.946184251529914</v>
      </c>
      <c r="J44" s="1938">
        <f>IF(SUM(J52,J58)=0,"NO",SUM(J52,J58))</f>
        <v>8.8711981713665816E-2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221524.62147219956</v>
      </c>
      <c r="D46" s="3057" t="s">
        <v>97</v>
      </c>
      <c r="E46" s="615"/>
      <c r="F46" s="615"/>
      <c r="G46" s="615"/>
      <c r="H46" s="1938">
        <f>IF(SUM(H47:H51)=0,"NO",SUM(H47:H51))</f>
        <v>9082.6522902220731</v>
      </c>
      <c r="I46" s="1938">
        <f>IF(SUM(I47:I52)=0,"NO",SUM(I47:I52))</f>
        <v>34.082482370258525</v>
      </c>
      <c r="J46" s="1938">
        <f>IF(SUM(J47:J52)=0,"NO",SUM(J47:J52))</f>
        <v>0.24216865728704981</v>
      </c>
      <c r="K46" s="3064" t="str">
        <f>IF(SUM(K47:K52)=0,"NO",SUM(K47:K52))</f>
        <v>NO</v>
      </c>
    </row>
    <row r="47" spans="2:11" ht="18" customHeight="1" x14ac:dyDescent="0.2">
      <c r="B47" s="282" t="s">
        <v>243</v>
      </c>
      <c r="C47" s="699">
        <v>16023.460582983418</v>
      </c>
      <c r="D47" s="3057" t="s">
        <v>97</v>
      </c>
      <c r="E47" s="1938">
        <f t="shared" ref="E47:E52" si="17">IFERROR(H47*1000/$C47,"NA")</f>
        <v>60.2</v>
      </c>
      <c r="F47" s="1938">
        <f t="shared" ref="F47:G52" si="18">IFERROR(I47*1000000/$C47,"NA")</f>
        <v>1.0476190476190479</v>
      </c>
      <c r="G47" s="1938">
        <f t="shared" si="18"/>
        <v>0.62857142857142856</v>
      </c>
      <c r="H47" s="699">
        <v>964.61232709560181</v>
      </c>
      <c r="I47" s="699">
        <v>1.6786482515506441E-2</v>
      </c>
      <c r="J47" s="699">
        <v>1.0071889509303864E-2</v>
      </c>
      <c r="K47" s="2921" t="s">
        <v>199</v>
      </c>
    </row>
    <row r="48" spans="2:11" ht="18" customHeight="1" x14ac:dyDescent="0.2">
      <c r="B48" s="282" t="s">
        <v>245</v>
      </c>
      <c r="C48" s="699" t="s">
        <v>199</v>
      </c>
      <c r="D48" s="3057" t="s">
        <v>97</v>
      </c>
      <c r="E48" s="1938" t="str">
        <f t="shared" si="17"/>
        <v>NA</v>
      </c>
      <c r="F48" s="1938" t="str">
        <f t="shared" si="18"/>
        <v>NA</v>
      </c>
      <c r="G48" s="1938" t="str">
        <f t="shared" si="18"/>
        <v>NA</v>
      </c>
      <c r="H48" s="699" t="s">
        <v>199</v>
      </c>
      <c r="I48" s="699" t="s">
        <v>199</v>
      </c>
      <c r="J48" s="699" t="s">
        <v>199</v>
      </c>
      <c r="K48" s="2921" t="s">
        <v>199</v>
      </c>
    </row>
    <row r="49" spans="2:11" ht="18" customHeight="1" x14ac:dyDescent="0.2">
      <c r="B49" s="282" t="s">
        <v>246</v>
      </c>
      <c r="C49" s="699">
        <v>157901.90728842057</v>
      </c>
      <c r="D49" s="3057" t="s">
        <v>97</v>
      </c>
      <c r="E49" s="1938">
        <f t="shared" si="17"/>
        <v>51.411918339265</v>
      </c>
      <c r="F49" s="1938">
        <f t="shared" si="18"/>
        <v>0.90909090909090917</v>
      </c>
      <c r="G49" s="1938">
        <f t="shared" si="18"/>
        <v>0.90909090909090917</v>
      </c>
      <c r="H49" s="699">
        <v>8118.0399631264709</v>
      </c>
      <c r="I49" s="699">
        <v>0.1435471884440187</v>
      </c>
      <c r="J49" s="699">
        <v>0.1435471884440187</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47599.253600795579</v>
      </c>
      <c r="D52" s="3057" t="s">
        <v>97</v>
      </c>
      <c r="E52" s="1938">
        <f t="shared" si="17"/>
        <v>77.533016823995098</v>
      </c>
      <c r="F52" s="1938">
        <f t="shared" si="18"/>
        <v>712.66135775566079</v>
      </c>
      <c r="G52" s="1938">
        <f t="shared" si="18"/>
        <v>1.8603144510704515</v>
      </c>
      <c r="H52" s="699">
        <v>3690.5137302400926</v>
      </c>
      <c r="I52" s="699">
        <v>33.922148699299001</v>
      </c>
      <c r="J52" s="699">
        <v>8.854957933372723E-2</v>
      </c>
      <c r="K52" s="2921" t="s">
        <v>199</v>
      </c>
    </row>
    <row r="53" spans="2:11" ht="18" customHeight="1" x14ac:dyDescent="0.2">
      <c r="B53" s="1241" t="s">
        <v>329</v>
      </c>
      <c r="C53" s="3057">
        <f>IF(SUM(C54:C58)=0,"NO",SUM(C54:C58))</f>
        <v>3765.4955221432879</v>
      </c>
      <c r="D53" s="3057" t="s">
        <v>97</v>
      </c>
      <c r="E53" s="615"/>
      <c r="F53" s="615"/>
      <c r="G53" s="615"/>
      <c r="H53" s="3057">
        <f>IF(SUM(H54:H57)=0,"NO",SUM(H54:H57))</f>
        <v>255.39006144919733</v>
      </c>
      <c r="I53" s="3057">
        <f>IF(SUM(I54:I58)=0,"NO",SUM(I54:I58))</f>
        <v>0.6959782605389131</v>
      </c>
      <c r="J53" s="3057">
        <f>IF(SUM(J54:J58)=0,"NO",SUM(J54:J58))</f>
        <v>1.6556083984008126E-3</v>
      </c>
      <c r="K53" s="2931"/>
    </row>
    <row r="54" spans="2:11" ht="18" customHeight="1" x14ac:dyDescent="0.2">
      <c r="B54" s="282" t="s">
        <v>243</v>
      </c>
      <c r="C54" s="699">
        <v>3733.0150461555709</v>
      </c>
      <c r="D54" s="3057" t="s">
        <v>97</v>
      </c>
      <c r="E54" s="1938">
        <f t="shared" ref="E54:E58" si="19">IFERROR(H54*1000/$C54,"NA")</f>
        <v>68.413884833443049</v>
      </c>
      <c r="F54" s="1938">
        <f t="shared" ref="F54:G58" si="20">IFERROR(I54*1000000/$C54,"NA")</f>
        <v>179.99999999999997</v>
      </c>
      <c r="G54" s="1938">
        <f t="shared" si="20"/>
        <v>0.39999999999999997</v>
      </c>
      <c r="H54" s="699">
        <v>255.39006144919733</v>
      </c>
      <c r="I54" s="699">
        <v>0.67194270830800262</v>
      </c>
      <c r="J54" s="699">
        <v>1.4932060184622282E-3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32.480475987716879</v>
      </c>
      <c r="D58" s="3057" t="s">
        <v>97</v>
      </c>
      <c r="E58" s="1938">
        <f t="shared" si="19"/>
        <v>67.260000000000034</v>
      </c>
      <c r="F58" s="1938">
        <f t="shared" si="20"/>
        <v>740.00000000000011</v>
      </c>
      <c r="G58" s="1938">
        <f t="shared" si="20"/>
        <v>5</v>
      </c>
      <c r="H58" s="699">
        <v>2.184636814933838</v>
      </c>
      <c r="I58" s="699">
        <v>2.4035552230910494E-2</v>
      </c>
      <c r="J58" s="699">
        <v>1.6240237993858441E-4</v>
      </c>
      <c r="K58" s="2931"/>
    </row>
    <row r="59" spans="2:11" ht="18" customHeight="1" x14ac:dyDescent="0.2">
      <c r="B59" s="1244" t="s">
        <v>330</v>
      </c>
      <c r="C59" s="3057">
        <f>IF(SUM(C60:C65)=0,"NO",SUM(C60:C65))</f>
        <v>91014.555463301309</v>
      </c>
      <c r="D59" s="3057" t="s">
        <v>97</v>
      </c>
      <c r="E59" s="615"/>
      <c r="F59" s="615"/>
      <c r="G59" s="615"/>
      <c r="H59" s="1938">
        <f>IF(SUM(H60:H64)=0,"NO",SUM(H60:H64))</f>
        <v>6300.8294448409561</v>
      </c>
      <c r="I59" s="1938">
        <f>IF(SUM(I60:I65)=0,"NO",SUM(I60:I65))</f>
        <v>0.60668843037461384</v>
      </c>
      <c r="J59" s="1938">
        <f>IF(SUM(J60:J65)=0,"NO",SUM(J60:J65))</f>
        <v>0.3230027155786579</v>
      </c>
      <c r="K59" s="3064" t="str">
        <f>IF(SUM(K60:K65)=0,"NO",SUM(K60:K65))</f>
        <v>NO</v>
      </c>
    </row>
    <row r="60" spans="2:11" ht="18" customHeight="1" x14ac:dyDescent="0.2">
      <c r="B60" s="282" t="s">
        <v>243</v>
      </c>
      <c r="C60" s="1938">
        <f>IF(SUM(C67,C74:C77,C84:C87)=0,"NO",SUM(C67,C74:C77,C84:C87))</f>
        <v>89668.209463301304</v>
      </c>
      <c r="D60" s="3057" t="s">
        <v>97</v>
      </c>
      <c r="E60" s="1938">
        <f t="shared" ref="E60:E65" si="21">IFERROR(H60*1000/$C60,"NA")</f>
        <v>69.49632708772873</v>
      </c>
      <c r="F60" s="1938">
        <f t="shared" ref="F60:G65" si="22">IFERROR(I60*1000000/$C60,"NA")</f>
        <v>6.7522757852471971</v>
      </c>
      <c r="G60" s="1938">
        <f t="shared" si="22"/>
        <v>3.5885490141437706</v>
      </c>
      <c r="H60" s="1938">
        <f>IF(SUM(H67,H74:H77,H84:H87)=0,"NO",SUM(H67,H74:H77,H84:H87))</f>
        <v>6231.6112142325601</v>
      </c>
      <c r="I60" s="1938">
        <f>IF(SUM(I67,I74:I77,I84:I87)=0,"NO",SUM(I67,I74:I77,I84:I87))</f>
        <v>0.60546447946552295</v>
      </c>
      <c r="J60" s="1938">
        <f>IF(SUM(J67,J74:J77,J84:J87)=0,"NO",SUM(J67,J74:J77,J84:J87))</f>
        <v>0.32177876466956701</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1346.346</v>
      </c>
      <c r="D62" s="3057" t="s">
        <v>97</v>
      </c>
      <c r="E62" s="1938">
        <f t="shared" si="21"/>
        <v>51.411918339265</v>
      </c>
      <c r="F62" s="1938">
        <f t="shared" si="22"/>
        <v>0.90909090909090895</v>
      </c>
      <c r="G62" s="1938">
        <f t="shared" si="22"/>
        <v>0.90909090909090895</v>
      </c>
      <c r="H62" s="1938">
        <f>IF(SUM(H69,H79,H89)=0,"NO",SUM(H69,H79,H89))</f>
        <v>69.21823060839607</v>
      </c>
      <c r="I62" s="1938">
        <f>IF(SUM(I69,I79,I89)=0,"NO",SUM(I69,I79,I89))</f>
        <v>1.223950909090909E-3</v>
      </c>
      <c r="J62" s="1938">
        <f>IF(SUM(J69,J79,J89)=0,"NO",SUM(J69,J79,J89))</f>
        <v>1.223950909090909E-3</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91014.555463301309</v>
      </c>
      <c r="D66" s="3057" t="s">
        <v>97</v>
      </c>
      <c r="E66" s="2135"/>
      <c r="F66" s="2135"/>
      <c r="G66" s="2135"/>
      <c r="H66" s="1938">
        <f>IF(SUM(H67:H71)=0,"NO",SUM(H67:H71))</f>
        <v>6300.8294448409561</v>
      </c>
      <c r="I66" s="1938">
        <f>IF(SUM(I67:I72)=0,"NO",SUM(I67:I72))</f>
        <v>0.60668843037461384</v>
      </c>
      <c r="J66" s="1938">
        <f>IF(SUM(J67:J72)=0,"NO",SUM(J67:J72))</f>
        <v>0.3230027155786579</v>
      </c>
      <c r="K66" s="3064" t="str">
        <f>IF(SUM(K67:K72)=0,"NO",SUM(K67:K72))</f>
        <v>NO</v>
      </c>
    </row>
    <row r="67" spans="2:11" ht="18" customHeight="1" x14ac:dyDescent="0.2">
      <c r="B67" s="282" t="s">
        <v>243</v>
      </c>
      <c r="C67" s="699">
        <v>89668.209463301304</v>
      </c>
      <c r="D67" s="3057" t="s">
        <v>97</v>
      </c>
      <c r="E67" s="1938">
        <f t="shared" ref="E67:E72" si="23">IFERROR(H67*1000/$C67,"NA")</f>
        <v>69.49632708772873</v>
      </c>
      <c r="F67" s="1938">
        <f t="shared" ref="F67:G72" si="24">IFERROR(I67*1000000/$C67,"NA")</f>
        <v>6.7522757852471971</v>
      </c>
      <c r="G67" s="1938">
        <f t="shared" si="24"/>
        <v>3.5885490141437706</v>
      </c>
      <c r="H67" s="699">
        <v>6231.6112142325601</v>
      </c>
      <c r="I67" s="699">
        <v>0.60546447946552295</v>
      </c>
      <c r="J67" s="699">
        <v>0.32177876466956701</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1346.346</v>
      </c>
      <c r="D69" s="3057" t="s">
        <v>97</v>
      </c>
      <c r="E69" s="1938">
        <f t="shared" si="23"/>
        <v>51.411918339265</v>
      </c>
      <c r="F69" s="1938">
        <f t="shared" si="24"/>
        <v>0.90909090909090895</v>
      </c>
      <c r="G69" s="1938">
        <f t="shared" si="24"/>
        <v>0.90909090909090895</v>
      </c>
      <c r="H69" s="699">
        <v>69.21823060839607</v>
      </c>
      <c r="I69" s="699">
        <v>1.223950909090909E-3</v>
      </c>
      <c r="J69" s="699">
        <v>1.223950909090909E-3</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11270.058279763998</v>
      </c>
      <c r="D93" s="3057" t="s">
        <v>97</v>
      </c>
      <c r="E93" s="2160"/>
      <c r="F93" s="2160"/>
      <c r="G93" s="2160"/>
      <c r="H93" s="3087">
        <f>IF(SUM(H94:H98)=0,"NO",SUM(H94:H98))</f>
        <v>785.02589767037421</v>
      </c>
      <c r="I93" s="3087">
        <f>IF(SUM(I94:I99)=0,"NO",SUM(I94:I99))</f>
        <v>3.2140225473938654E-2</v>
      </c>
      <c r="J93" s="3091">
        <f>IF(SUM(J94:J99)=0,"NO",SUM(J94:J99))</f>
        <v>2.1900895657446368E-2</v>
      </c>
      <c r="K93" s="442" t="str">
        <f>IF(SUM(K94:K99)=0,"NO",SUM(K94:K99))</f>
        <v>NO</v>
      </c>
    </row>
    <row r="94" spans="2:11" ht="18" customHeight="1" x14ac:dyDescent="0.2">
      <c r="B94" s="282" t="s">
        <v>243</v>
      </c>
      <c r="C94" s="1938">
        <f>IF(SUM(C102,C110)=0,"NO",SUM(C102,C110))</f>
        <v>11268.710993658227</v>
      </c>
      <c r="D94" s="1938" t="s">
        <v>97</v>
      </c>
      <c r="E94" s="1938">
        <f t="shared" ref="E94:E99" si="32">IFERROR(H94*1000/$C94,"NA")</f>
        <v>69.664214310950811</v>
      </c>
      <c r="F94" s="1938">
        <f t="shared" ref="F94:G99" si="33">IFERROR(I94*1000000/$C94,"NA")</f>
        <v>2.7573542004537233</v>
      </c>
      <c r="G94" s="1938">
        <f t="shared" si="33"/>
        <v>1.943155149817233</v>
      </c>
      <c r="H94" s="1938">
        <f t="shared" ref="H94:K97" si="34">IF(SUM(H102,H110)=0,"NO",SUM(H102,H110))</f>
        <v>785.02589767037421</v>
      </c>
      <c r="I94" s="1938">
        <f t="shared" si="34"/>
        <v>3.1071827592062565E-2</v>
      </c>
      <c r="J94" s="1938">
        <f t="shared" si="34"/>
        <v>2.1896853799129055E-2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1.34728610577061</v>
      </c>
      <c r="D99" s="1938" t="s">
        <v>97</v>
      </c>
      <c r="E99" s="1938">
        <f t="shared" si="32"/>
        <v>67.259999999999849</v>
      </c>
      <c r="F99" s="1938">
        <f t="shared" si="33"/>
        <v>792.99999999999841</v>
      </c>
      <c r="G99" s="1938">
        <f t="shared" si="33"/>
        <v>2.9999999999999938</v>
      </c>
      <c r="H99" s="1938">
        <f>IF(SUM(H107,H114)=0,"NO",SUM(H107,H114))</f>
        <v>9.0618463474131022E-2</v>
      </c>
      <c r="I99" s="1938">
        <f>IF(SUM(I107,I114)=0,"NO",SUM(I107,I114))</f>
        <v>1.0683978818760915E-3</v>
      </c>
      <c r="J99" s="1938">
        <f>IF(SUM(J107,J114)=0,"NO",SUM(J107,J114))</f>
        <v>4.0418583173118213E-6</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11270.058279763998</v>
      </c>
      <c r="D108" s="1938" t="s">
        <v>97</v>
      </c>
      <c r="E108" s="1957"/>
      <c r="F108" s="1957"/>
      <c r="G108" s="1957"/>
      <c r="H108" s="3057">
        <f>H109</f>
        <v>785.02589767037421</v>
      </c>
      <c r="I108" s="3057">
        <f>I109</f>
        <v>3.2140225473938654E-2</v>
      </c>
      <c r="J108" s="3088">
        <f>J109</f>
        <v>2.1900895657446368E-2</v>
      </c>
      <c r="K108" s="2931"/>
    </row>
    <row r="109" spans="2:11" ht="18" customHeight="1" x14ac:dyDescent="0.2">
      <c r="B109" s="3103" t="s">
        <v>339</v>
      </c>
      <c r="C109" s="3077">
        <f>IF(SUM(C110:C114)=0,"NO",SUM(C110:C114))</f>
        <v>11270.058279763998</v>
      </c>
      <c r="D109" s="1938" t="s">
        <v>97</v>
      </c>
      <c r="E109" s="615"/>
      <c r="F109" s="615"/>
      <c r="G109" s="615"/>
      <c r="H109" s="3077">
        <f>IF(SUM(H110:H113)=0,"NO",SUM(H110:H113))</f>
        <v>785.02589767037421</v>
      </c>
      <c r="I109" s="3077">
        <f>IF(SUM(I110:I114)=0,"NO",SUM(I110:I114))</f>
        <v>3.2140225473938654E-2</v>
      </c>
      <c r="J109" s="3077">
        <f>IF(SUM(J110:J114)=0,"NO",SUM(J110:J114))</f>
        <v>2.1900895657446368E-2</v>
      </c>
      <c r="K109" s="2931"/>
    </row>
    <row r="110" spans="2:11" ht="18" customHeight="1" x14ac:dyDescent="0.2">
      <c r="B110" s="282" t="s">
        <v>243</v>
      </c>
      <c r="C110" s="699">
        <v>11268.710993658227</v>
      </c>
      <c r="D110" s="1938" t="s">
        <v>97</v>
      </c>
      <c r="E110" s="1938">
        <f t="shared" ref="E110:E114" si="37">IFERROR(H110*1000/$C110,"NA")</f>
        <v>69.664214310950811</v>
      </c>
      <c r="F110" s="1938">
        <f t="shared" ref="F110:G114" si="38">IFERROR(I110*1000000/$C110,"NA")</f>
        <v>2.7573542004537233</v>
      </c>
      <c r="G110" s="1938">
        <f t="shared" si="38"/>
        <v>1.943155149817233</v>
      </c>
      <c r="H110" s="699">
        <v>785.02589767037421</v>
      </c>
      <c r="I110" s="699">
        <v>3.1071827592062565E-2</v>
      </c>
      <c r="J110" s="699">
        <v>2.1896853799129055E-2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1.34728610577061</v>
      </c>
      <c r="D114" s="2891" t="s">
        <v>97</v>
      </c>
      <c r="E114" s="2891">
        <f t="shared" si="37"/>
        <v>67.259999999999849</v>
      </c>
      <c r="F114" s="2891">
        <f t="shared" si="38"/>
        <v>792.99999999999841</v>
      </c>
      <c r="G114" s="2891">
        <f t="shared" si="38"/>
        <v>2.9999999999999938</v>
      </c>
      <c r="H114" s="1562">
        <v>9.0618463474131022E-2</v>
      </c>
      <c r="I114" s="1562">
        <v>1.0683978818760915E-3</v>
      </c>
      <c r="J114" s="1562">
        <v>4.0418583173118213E-6</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4" t="s">
        <v>344</v>
      </c>
      <c r="C152" s="4495"/>
      <c r="D152" s="4495"/>
      <c r="E152" s="4495"/>
      <c r="F152" s="4495"/>
      <c r="G152" s="4495"/>
      <c r="H152" s="4495"/>
      <c r="I152" s="4495"/>
      <c r="J152" s="4495"/>
      <c r="K152" s="4496"/>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831413.38277170004</v>
      </c>
      <c r="G11" s="3326">
        <v>841507.32407129998</v>
      </c>
      <c r="H11" s="3326">
        <v>545351.29684299999</v>
      </c>
      <c r="I11" s="3346"/>
      <c r="J11" s="3326">
        <v>6328.4099999999899</v>
      </c>
      <c r="K11" s="3334">
        <f t="shared" ref="K11:K28" si="0">IF((SUM(F11:G11)-SUM(H11:J11))=0,"NO",(SUM(F11:G11)-SUM(H11:J11)))</f>
        <v>1121241</v>
      </c>
      <c r="L11" s="2597">
        <f>IF(K11="NO","NA",1)</f>
        <v>1</v>
      </c>
      <c r="M11" s="5" t="s">
        <v>97</v>
      </c>
      <c r="N11" s="3334">
        <f>K11</f>
        <v>1121241</v>
      </c>
      <c r="O11" s="3307">
        <v>18.9807162534435</v>
      </c>
      <c r="P11" s="3334">
        <f>IFERROR(N11*O11/1000,"NA")</f>
        <v>21281.957272727243</v>
      </c>
      <c r="Q11" s="3334" t="str">
        <f>'Table1.A(d)'!G11</f>
        <v>NA</v>
      </c>
      <c r="R11" s="3334">
        <f>IF(SUM(P11,-SUM(Q11))=0,"NO",SUM(P11,-SUM(Q11)))</f>
        <v>21281.957272727243</v>
      </c>
      <c r="S11" s="2597">
        <f>IF(R11="NO","NA",1)</f>
        <v>1</v>
      </c>
      <c r="T11" s="3340">
        <f>IF(R11="NO","NO",R11*S11*44/12)</f>
        <v>78033.843333333221</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106779.7391895</v>
      </c>
      <c r="G13" s="3326" t="s">
        <v>199</v>
      </c>
      <c r="H13" s="3326" t="s">
        <v>199</v>
      </c>
      <c r="I13" s="3346"/>
      <c r="J13" s="3326" t="s">
        <v>199</v>
      </c>
      <c r="K13" s="3334">
        <f t="shared" si="0"/>
        <v>106779.7391895</v>
      </c>
      <c r="L13" s="2597">
        <f t="shared" si="1"/>
        <v>1</v>
      </c>
      <c r="M13" s="5" t="s">
        <v>97</v>
      </c>
      <c r="N13" s="3334">
        <f t="shared" si="2"/>
        <v>106779.7391895</v>
      </c>
      <c r="O13" s="3307">
        <v>15.409090909090899</v>
      </c>
      <c r="P13" s="3334">
        <f t="shared" si="3"/>
        <v>1645.3787084200217</v>
      </c>
      <c r="Q13" s="3334" t="str">
        <f>'Table1.A(d)'!G13</f>
        <v>NA</v>
      </c>
      <c r="R13" s="3334">
        <f>IF(SUM(P13,-SUM(Q13))=0,"NO",SUM(P13,-SUM(Q13)))</f>
        <v>1645.3787084200217</v>
      </c>
      <c r="S13" s="2597">
        <f t="shared" si="4"/>
        <v>1</v>
      </c>
      <c r="T13" s="3340">
        <f t="shared" si="5"/>
        <v>6033.055264206746</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205301.38150925201</v>
      </c>
      <c r="H15" s="3326">
        <v>7122.7323913999999</v>
      </c>
      <c r="I15" s="3326" t="s">
        <v>199</v>
      </c>
      <c r="J15" s="3326">
        <v>1587.44</v>
      </c>
      <c r="K15" s="3334">
        <f t="shared" si="0"/>
        <v>196591.20911785201</v>
      </c>
      <c r="L15" s="2597">
        <f>IF(K15="NO","NA",1)</f>
        <v>1</v>
      </c>
      <c r="M15" s="5" t="s">
        <v>97</v>
      </c>
      <c r="N15" s="3334">
        <f t="shared" si="2"/>
        <v>196591.20911785201</v>
      </c>
      <c r="O15" s="3307">
        <v>18.3818181818182</v>
      </c>
      <c r="P15" s="3334">
        <f t="shared" si="3"/>
        <v>3613.7038621481561</v>
      </c>
      <c r="Q15" s="3334" t="str">
        <f>'Table1.A(d)'!G15</f>
        <v>NA</v>
      </c>
      <c r="R15" s="3334">
        <f>IF(SUM(P15,-SUM(Q15))=0,"NO",SUM(P15,-SUM(Q15)))</f>
        <v>3613.7038621481561</v>
      </c>
      <c r="S15" s="2597">
        <f>IF(R15="NO","NA",1)</f>
        <v>1</v>
      </c>
      <c r="T15" s="3340">
        <f>IF(R15="NO","NO",R15*S15*44/12)</f>
        <v>13250.247494543239</v>
      </c>
    </row>
    <row r="16" spans="2:20" ht="18" customHeight="1" x14ac:dyDescent="0.2">
      <c r="B16" s="1730"/>
      <c r="C16" s="1570"/>
      <c r="D16" s="36" t="s">
        <v>293</v>
      </c>
      <c r="E16" s="2595" t="s">
        <v>374</v>
      </c>
      <c r="F16" s="3347"/>
      <c r="G16" s="3326">
        <v>212352.238819177</v>
      </c>
      <c r="H16" s="3326">
        <v>677.41267039999502</v>
      </c>
      <c r="I16" s="3326">
        <v>220384.12580000001</v>
      </c>
      <c r="J16" s="3326">
        <v>8416.9599999999991</v>
      </c>
      <c r="K16" s="3334">
        <f t="shared" si="0"/>
        <v>-17126.259651222994</v>
      </c>
      <c r="L16" s="2597">
        <f t="shared" ref="L16:L28" si="6">IF(K16="NO","NA",1)</f>
        <v>1</v>
      </c>
      <c r="M16" s="5" t="s">
        <v>97</v>
      </c>
      <c r="N16" s="3334">
        <f t="shared" si="2"/>
        <v>-17126.259651222994</v>
      </c>
      <c r="O16" s="3307">
        <v>18.981818181818198</v>
      </c>
      <c r="P16" s="3334">
        <f t="shared" si="3"/>
        <v>-325.087546834124</v>
      </c>
      <c r="Q16" s="3334" t="str">
        <f>'Table1.A(d)'!G16</f>
        <v>NA</v>
      </c>
      <c r="R16" s="3334">
        <f t="shared" ref="R16:R44" si="7">IF(SUM(P16,-SUM(Q16))=0,"NO",SUM(P16,-SUM(Q16)))</f>
        <v>-325.087546834124</v>
      </c>
      <c r="S16" s="2597">
        <f t="shared" ref="S16:S28" si="8">IF(R16="NO","NA",1)</f>
        <v>1</v>
      </c>
      <c r="T16" s="3340">
        <f t="shared" ref="T16:T28" si="9">IF(R16="NO","NO",R16*S16*44/12)</f>
        <v>-1191.9876717251213</v>
      </c>
    </row>
    <row r="17" spans="2:20" ht="18" customHeight="1" x14ac:dyDescent="0.2">
      <c r="B17" s="1730"/>
      <c r="C17" s="1570"/>
      <c r="D17" s="36" t="s">
        <v>379</v>
      </c>
      <c r="E17" s="2595" t="s">
        <v>374</v>
      </c>
      <c r="F17" s="3346"/>
      <c r="G17" s="3326">
        <v>91.218728623773998</v>
      </c>
      <c r="H17" s="3326" t="s">
        <v>199</v>
      </c>
      <c r="I17" s="3326" t="s">
        <v>199</v>
      </c>
      <c r="J17" s="3326" t="s">
        <v>199</v>
      </c>
      <c r="K17" s="3334">
        <f t="shared" si="0"/>
        <v>91.218728623773998</v>
      </c>
      <c r="L17" s="2597">
        <f t="shared" si="6"/>
        <v>1</v>
      </c>
      <c r="M17" s="5" t="s">
        <v>97</v>
      </c>
      <c r="N17" s="3334">
        <f t="shared" si="2"/>
        <v>91.218728623773998</v>
      </c>
      <c r="O17" s="3307">
        <v>18.7909090909091</v>
      </c>
      <c r="P17" s="3334">
        <f t="shared" si="3"/>
        <v>1.7140828369576451</v>
      </c>
      <c r="Q17" s="3334" t="str">
        <f>'Table1.A(d)'!G17</f>
        <v>NA</v>
      </c>
      <c r="R17" s="3334">
        <f t="shared" si="7"/>
        <v>1.7140828369576451</v>
      </c>
      <c r="S17" s="2597">
        <f t="shared" si="8"/>
        <v>1</v>
      </c>
      <c r="T17" s="3340">
        <f t="shared" si="9"/>
        <v>6.2849704021780317</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785190.09508003003</v>
      </c>
      <c r="H19" s="3326">
        <v>4333.9697474000004</v>
      </c>
      <c r="I19" s="3326">
        <v>3491.0998</v>
      </c>
      <c r="J19" s="3326">
        <v>11664.48</v>
      </c>
      <c r="K19" s="3334">
        <f t="shared" si="0"/>
        <v>765700.54553263006</v>
      </c>
      <c r="L19" s="2597">
        <f t="shared" si="6"/>
        <v>1</v>
      </c>
      <c r="M19" s="5" t="s">
        <v>97</v>
      </c>
      <c r="N19" s="3334">
        <f t="shared" si="2"/>
        <v>765700.54553263006</v>
      </c>
      <c r="O19" s="3307">
        <v>19.063636363636402</v>
      </c>
      <c r="P19" s="3334">
        <f t="shared" si="3"/>
        <v>14597.036763472077</v>
      </c>
      <c r="Q19" s="3334" t="str">
        <f>'Table1.A(d)'!G19</f>
        <v>NA</v>
      </c>
      <c r="R19" s="3334">
        <f t="shared" si="7"/>
        <v>14597.036763472077</v>
      </c>
      <c r="S19" s="2597">
        <f t="shared" si="8"/>
        <v>1</v>
      </c>
      <c r="T19" s="3340">
        <f t="shared" si="9"/>
        <v>53522.468132730952</v>
      </c>
    </row>
    <row r="20" spans="2:20" ht="18" customHeight="1" x14ac:dyDescent="0.2">
      <c r="B20" s="1730"/>
      <c r="C20" s="1570"/>
      <c r="D20" s="36" t="s">
        <v>306</v>
      </c>
      <c r="E20" s="2595" t="s">
        <v>374</v>
      </c>
      <c r="F20" s="3346"/>
      <c r="G20" s="3326">
        <v>29071.654378189301</v>
      </c>
      <c r="H20" s="3326">
        <v>8505.7064203999998</v>
      </c>
      <c r="I20" s="3326">
        <v>29038.991999999998</v>
      </c>
      <c r="J20" s="3326" t="s">
        <v>199</v>
      </c>
      <c r="K20" s="3334">
        <f t="shared" si="0"/>
        <v>-8473.0440422106949</v>
      </c>
      <c r="L20" s="2597">
        <f t="shared" si="6"/>
        <v>1</v>
      </c>
      <c r="M20" s="5" t="s">
        <v>97</v>
      </c>
      <c r="N20" s="3334">
        <f t="shared" si="2"/>
        <v>-8473.0440422106949</v>
      </c>
      <c r="O20" s="3307">
        <v>20.072727272727299</v>
      </c>
      <c r="P20" s="3334">
        <f t="shared" si="3"/>
        <v>-170.07710222910217</v>
      </c>
      <c r="Q20" s="3334" t="str">
        <f>'Table1.A(d)'!G20</f>
        <v>NA</v>
      </c>
      <c r="R20" s="3334">
        <f t="shared" si="7"/>
        <v>-170.07710222910217</v>
      </c>
      <c r="S20" s="2597">
        <f t="shared" si="8"/>
        <v>1</v>
      </c>
      <c r="T20" s="3340">
        <f t="shared" si="9"/>
        <v>-623.61604150670792</v>
      </c>
    </row>
    <row r="21" spans="2:20" ht="18" customHeight="1" x14ac:dyDescent="0.2">
      <c r="B21" s="1730"/>
      <c r="C21" s="1570"/>
      <c r="D21" s="36" t="s">
        <v>283</v>
      </c>
      <c r="E21" s="2595" t="s">
        <v>374</v>
      </c>
      <c r="F21" s="3346"/>
      <c r="G21" s="3326">
        <v>20606.1569944</v>
      </c>
      <c r="H21" s="3326">
        <v>78197.615183899994</v>
      </c>
      <c r="I21" s="3346"/>
      <c r="J21" s="3326">
        <v>-1205.2799999999991</v>
      </c>
      <c r="K21" s="3334">
        <f t="shared" si="0"/>
        <v>-56386.178189499995</v>
      </c>
      <c r="L21" s="2597">
        <f t="shared" si="6"/>
        <v>1</v>
      </c>
      <c r="M21" s="5" t="s">
        <v>97</v>
      </c>
      <c r="N21" s="3334">
        <f t="shared" si="2"/>
        <v>-56386.178189499995</v>
      </c>
      <c r="O21" s="3307">
        <v>16.4181818181818</v>
      </c>
      <c r="P21" s="3334">
        <f t="shared" si="3"/>
        <v>-925.75852554760809</v>
      </c>
      <c r="Q21" s="3334" t="str">
        <f>'Table1.A(d)'!G21</f>
        <v>NA</v>
      </c>
      <c r="R21" s="3334">
        <f t="shared" si="7"/>
        <v>-925.75852554760809</v>
      </c>
      <c r="S21" s="2597">
        <f t="shared" si="8"/>
        <v>1</v>
      </c>
      <c r="T21" s="3340">
        <f t="shared" si="9"/>
        <v>-3394.4479270078959</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15.409090909090899</v>
      </c>
      <c r="P22" s="3334" t="str">
        <f t="shared" si="3"/>
        <v>NA</v>
      </c>
      <c r="Q22" s="3334">
        <f>'Table1.A(d)'!G22</f>
        <v>290.65836886363633</v>
      </c>
      <c r="R22" s="3334">
        <f t="shared" si="7"/>
        <v>-290.65836886363633</v>
      </c>
      <c r="S22" s="2597">
        <f t="shared" si="8"/>
        <v>1</v>
      </c>
      <c r="T22" s="3340">
        <f t="shared" si="9"/>
        <v>-1065.7473524999998</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39689.9227803006</v>
      </c>
      <c r="H24" s="3326">
        <v>4.1412383999999998</v>
      </c>
      <c r="I24" s="3346"/>
      <c r="J24" s="3326" t="s">
        <v>199</v>
      </c>
      <c r="K24" s="3334">
        <f t="shared" si="0"/>
        <v>39685.7815419006</v>
      </c>
      <c r="L24" s="2597">
        <f t="shared" si="6"/>
        <v>1</v>
      </c>
      <c r="M24" s="5" t="s">
        <v>97</v>
      </c>
      <c r="N24" s="3334">
        <f t="shared" si="2"/>
        <v>39685.7815419006</v>
      </c>
      <c r="O24" s="3307">
        <v>22.009090909090901</v>
      </c>
      <c r="P24" s="3334">
        <f t="shared" si="3"/>
        <v>873.44797375401208</v>
      </c>
      <c r="Q24" s="3334">
        <f>'Table1.A(d)'!G24</f>
        <v>750.05969399999992</v>
      </c>
      <c r="R24" s="3334">
        <f t="shared" si="7"/>
        <v>123.38827975401216</v>
      </c>
      <c r="S24" s="2597">
        <f t="shared" si="8"/>
        <v>1</v>
      </c>
      <c r="T24" s="3340">
        <f t="shared" si="9"/>
        <v>452.4236924313779</v>
      </c>
    </row>
    <row r="25" spans="2:20" ht="18" customHeight="1" x14ac:dyDescent="0.2">
      <c r="B25" s="1730"/>
      <c r="C25" s="1570"/>
      <c r="D25" s="36" t="s">
        <v>297</v>
      </c>
      <c r="E25" s="2595" t="s">
        <v>374</v>
      </c>
      <c r="F25" s="3346"/>
      <c r="G25" s="3326">
        <v>18624.476480379599</v>
      </c>
      <c r="H25" s="3326">
        <v>10317.0309292</v>
      </c>
      <c r="I25" s="3326" t="s">
        <v>199</v>
      </c>
      <c r="J25" s="3326">
        <v>-117.18</v>
      </c>
      <c r="K25" s="3334">
        <f t="shared" si="0"/>
        <v>8424.6255511795989</v>
      </c>
      <c r="L25" s="2597">
        <f t="shared" si="6"/>
        <v>1</v>
      </c>
      <c r="M25" s="5" t="s">
        <v>97</v>
      </c>
      <c r="N25" s="3334">
        <f t="shared" si="2"/>
        <v>8424.6255511795989</v>
      </c>
      <c r="O25" s="3307">
        <v>18.991363636363602</v>
      </c>
      <c r="P25" s="3334">
        <f t="shared" si="3"/>
        <v>159.9951273426519</v>
      </c>
      <c r="Q25" s="3334">
        <f>'Table1.A(d)'!G25</f>
        <v>249.41121231245489</v>
      </c>
      <c r="R25" s="3334">
        <f t="shared" si="7"/>
        <v>-89.416084969802995</v>
      </c>
      <c r="S25" s="2597">
        <f t="shared" si="8"/>
        <v>1</v>
      </c>
      <c r="T25" s="3340">
        <f t="shared" si="9"/>
        <v>-327.85897822261097</v>
      </c>
    </row>
    <row r="26" spans="2:20" ht="18" customHeight="1" x14ac:dyDescent="0.2">
      <c r="B26" s="1730"/>
      <c r="C26" s="1570"/>
      <c r="D26" s="36" t="s">
        <v>384</v>
      </c>
      <c r="E26" s="2595" t="s">
        <v>374</v>
      </c>
      <c r="F26" s="3346"/>
      <c r="G26" s="3326">
        <v>22308.012320400001</v>
      </c>
      <c r="H26" s="3326" t="s">
        <v>199</v>
      </c>
      <c r="I26" s="3346"/>
      <c r="J26" s="3326" t="s">
        <v>199</v>
      </c>
      <c r="K26" s="3334">
        <f t="shared" si="0"/>
        <v>22308.012320400001</v>
      </c>
      <c r="L26" s="2597">
        <f t="shared" si="6"/>
        <v>1</v>
      </c>
      <c r="M26" s="5" t="s">
        <v>97</v>
      </c>
      <c r="N26" s="3334">
        <f t="shared" si="2"/>
        <v>22308.012320400001</v>
      </c>
      <c r="O26" s="3307">
        <v>25.261363636363601</v>
      </c>
      <c r="P26" s="3334">
        <f t="shared" si="3"/>
        <v>563.53081123010384</v>
      </c>
      <c r="Q26" s="3334">
        <f>'Table1.A(d)'!G26</f>
        <v>563.53081123010497</v>
      </c>
      <c r="R26" s="3334">
        <f t="shared" si="7"/>
        <v>-1.1368683772161603E-12</v>
      </c>
      <c r="S26" s="2597">
        <f t="shared" si="8"/>
        <v>1</v>
      </c>
      <c r="T26" s="3340">
        <f t="shared" si="9"/>
        <v>-4.1685173831259208E-12</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22012.483805781801</v>
      </c>
      <c r="H28" s="3326">
        <v>4640.5634399999999</v>
      </c>
      <c r="I28" s="3346"/>
      <c r="J28" s="3326">
        <v>-5461.2</v>
      </c>
      <c r="K28" s="3334">
        <f t="shared" si="0"/>
        <v>22833.120365781801</v>
      </c>
      <c r="L28" s="2597">
        <f t="shared" si="6"/>
        <v>1</v>
      </c>
      <c r="M28" s="5" t="s">
        <v>97</v>
      </c>
      <c r="N28" s="3334">
        <f t="shared" si="2"/>
        <v>22833.120365781801</v>
      </c>
      <c r="O28" s="3307">
        <v>19.0363636363636</v>
      </c>
      <c r="P28" s="3334">
        <f t="shared" si="3"/>
        <v>434.65958223588183</v>
      </c>
      <c r="Q28" s="3334">
        <f>'Table1.A(d)'!G28</f>
        <v>723.79511594181804</v>
      </c>
      <c r="R28" s="3334">
        <f t="shared" si="7"/>
        <v>-289.13553370593621</v>
      </c>
      <c r="S28" s="2597">
        <f t="shared" si="8"/>
        <v>1</v>
      </c>
      <c r="T28" s="3340">
        <f t="shared" si="9"/>
        <v>-1060.1636235884328</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2201669.7704649349</v>
      </c>
      <c r="O31" s="3329"/>
      <c r="P31" s="3336">
        <f>SUM(P11:P29)</f>
        <v>41750.501009556268</v>
      </c>
      <c r="Q31" s="3336">
        <f>SUM(Q11:Q29)</f>
        <v>2577.4552023480142</v>
      </c>
      <c r="R31" s="3334">
        <f t="shared" si="7"/>
        <v>39173.045807208255</v>
      </c>
      <c r="S31" s="2598"/>
      <c r="T31" s="3342">
        <f>SUM(T11:T29)</f>
        <v>143634.50129309695</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v>29.836402531422038</v>
      </c>
      <c r="P34" s="3334" t="str">
        <f t="shared" si="13"/>
        <v>NA</v>
      </c>
      <c r="Q34" s="3334">
        <f>'Table1.A(d)'!G34</f>
        <v>3.0388375978253301</v>
      </c>
      <c r="R34" s="3334">
        <f t="shared" si="7"/>
        <v>-3.0388375978253301</v>
      </c>
      <c r="S34" s="2597">
        <f t="shared" si="14"/>
        <v>1</v>
      </c>
      <c r="T34" s="3340">
        <f t="shared" si="15"/>
        <v>-11.142404525359543</v>
      </c>
    </row>
    <row r="35" spans="2:20" ht="18" customHeight="1" x14ac:dyDescent="0.2">
      <c r="B35" s="1730"/>
      <c r="C35" s="1570"/>
      <c r="D35" s="31" t="s">
        <v>392</v>
      </c>
      <c r="E35" s="2595" t="s">
        <v>374</v>
      </c>
      <c r="F35" s="3326">
        <v>12593672</v>
      </c>
      <c r="G35" s="3326">
        <v>4546</v>
      </c>
      <c r="H35" s="3326">
        <v>11131284</v>
      </c>
      <c r="I35" s="3326" t="s">
        <v>199</v>
      </c>
      <c r="J35" s="3326">
        <v>103054</v>
      </c>
      <c r="K35" s="3334">
        <f t="shared" si="10"/>
        <v>1363880</v>
      </c>
      <c r="L35" s="2597">
        <f t="shared" si="11"/>
        <v>1</v>
      </c>
      <c r="M35" s="55" t="s">
        <v>97</v>
      </c>
      <c r="N35" s="3334">
        <f t="shared" si="12"/>
        <v>1363880</v>
      </c>
      <c r="O35" s="3307">
        <v>24.593859901591301</v>
      </c>
      <c r="P35" s="3334">
        <f t="shared" si="13"/>
        <v>33543.073642582349</v>
      </c>
      <c r="Q35" s="3334">
        <f>'Table1.A(d)'!G35</f>
        <v>508.44754908255078</v>
      </c>
      <c r="R35" s="3334">
        <f t="shared" si="7"/>
        <v>33034.626093499799</v>
      </c>
      <c r="S35" s="2597">
        <f t="shared" si="14"/>
        <v>1</v>
      </c>
      <c r="T35" s="3340">
        <f t="shared" si="15"/>
        <v>121126.96234283259</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444403</v>
      </c>
      <c r="G37" s="3326" t="s">
        <v>199</v>
      </c>
      <c r="H37" s="3326" t="s">
        <v>199</v>
      </c>
      <c r="I37" s="3346"/>
      <c r="J37" s="3326">
        <v>1180</v>
      </c>
      <c r="K37" s="3334">
        <f t="shared" si="10"/>
        <v>443223</v>
      </c>
      <c r="L37" s="2597">
        <f t="shared" si="11"/>
        <v>1</v>
      </c>
      <c r="M37" s="55" t="s">
        <v>97</v>
      </c>
      <c r="N37" s="3334">
        <f t="shared" si="12"/>
        <v>443223</v>
      </c>
      <c r="O37" s="3307">
        <v>25.321362438303002</v>
      </c>
      <c r="P37" s="3334">
        <f t="shared" si="13"/>
        <v>11223.010223991971</v>
      </c>
      <c r="Q37" s="3334" t="str">
        <f>'Table1.A(d)'!G37</f>
        <v>NO</v>
      </c>
      <c r="R37" s="3334">
        <f t="shared" si="7"/>
        <v>11223.010223991971</v>
      </c>
      <c r="S37" s="2597">
        <f t="shared" si="14"/>
        <v>1</v>
      </c>
      <c r="T37" s="3340">
        <f t="shared" si="15"/>
        <v>41151.037487970556</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12665</v>
      </c>
      <c r="H41" s="3326">
        <v>22823</v>
      </c>
      <c r="I41" s="3346"/>
      <c r="J41" s="3326">
        <v>-5459</v>
      </c>
      <c r="K41" s="3334">
        <f t="shared" si="16"/>
        <v>-4699</v>
      </c>
      <c r="L41" s="2597">
        <f t="shared" si="17"/>
        <v>1</v>
      </c>
      <c r="M41" s="55" t="s">
        <v>97</v>
      </c>
      <c r="N41" s="3334">
        <f t="shared" si="18"/>
        <v>-4699</v>
      </c>
      <c r="O41" s="3307">
        <v>29.836402531421999</v>
      </c>
      <c r="P41" s="3334">
        <f t="shared" si="19"/>
        <v>-140.20125549515197</v>
      </c>
      <c r="Q41" s="3334">
        <f>'Table1.A(d)'!G41</f>
        <v>1993.7540833677001</v>
      </c>
      <c r="R41" s="3334">
        <f t="shared" si="7"/>
        <v>-2133.9553388628519</v>
      </c>
      <c r="S41" s="2597">
        <f t="shared" si="20"/>
        <v>1</v>
      </c>
      <c r="T41" s="3340">
        <f t="shared" si="21"/>
        <v>-7824.5029091637907</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v>20.3705245081856</v>
      </c>
      <c r="P42" s="3334" t="str">
        <f t="shared" si="19"/>
        <v>NA</v>
      </c>
      <c r="Q42" s="3334">
        <f>'Table1.A(d)'!G42</f>
        <v>175.47463355901317</v>
      </c>
      <c r="R42" s="3334">
        <f t="shared" si="7"/>
        <v>-175.47463355901317</v>
      </c>
      <c r="S42" s="2597">
        <f t="shared" si="20"/>
        <v>1</v>
      </c>
      <c r="T42" s="3340">
        <f t="shared" si="21"/>
        <v>-643.40698971638164</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1802404</v>
      </c>
      <c r="O45" s="3329"/>
      <c r="P45" s="3336">
        <f>SUM(P33:P43)</f>
        <v>44625.882611079171</v>
      </c>
      <c r="Q45" s="3336">
        <f>SUM(Q33:Q43)</f>
        <v>2680.7151036070891</v>
      </c>
      <c r="R45" s="3336">
        <f>SUM(R33:R43)</f>
        <v>41945.167507472092</v>
      </c>
      <c r="S45" s="41"/>
      <c r="T45" s="3342">
        <f>SUM(T33:T43)</f>
        <v>153798.9475273976</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5483143.4390000002</v>
      </c>
      <c r="G47" s="3326">
        <v>201973</v>
      </c>
      <c r="H47" s="3326">
        <v>4128994</v>
      </c>
      <c r="I47" s="3326" t="s">
        <v>199</v>
      </c>
      <c r="J47" s="3326">
        <v>-5822</v>
      </c>
      <c r="K47" s="3334">
        <f t="shared" ref="K47" si="22">IF((SUM(F47:G47)-SUM(H47:J47))=0,"NO",(SUM(F47:G47)-SUM(H47:J47)))</f>
        <v>1561944.4390000002</v>
      </c>
      <c r="L47" s="2597">
        <f t="shared" ref="L47" si="23">IF(K47="NO","NA",1)</f>
        <v>1</v>
      </c>
      <c r="M47" s="55" t="s">
        <v>97</v>
      </c>
      <c r="N47" s="3334">
        <f t="shared" ref="N47" si="24">K47</f>
        <v>1561944.4390000002</v>
      </c>
      <c r="O47" s="3307">
        <v>13.974144053006579</v>
      </c>
      <c r="P47" s="3334">
        <f t="shared" ref="P47" si="25">IFERROR(N47*O47/1000,"NA")</f>
        <v>21826.83659337855</v>
      </c>
      <c r="Q47" s="3334">
        <f>'Table1.A(d)'!G47</f>
        <v>659.14200139361571</v>
      </c>
      <c r="R47" s="3334">
        <f t="shared" ref="R47" si="26">IF(SUM(P47,-SUM(Q47))=0,"NO",SUM(P47,-SUM(Q47)))</f>
        <v>21167.694591984935</v>
      </c>
      <c r="S47" s="2597">
        <f t="shared" ref="S47" si="27">IF(R47="NO","NA",1)</f>
        <v>1</v>
      </c>
      <c r="T47" s="3340">
        <f t="shared" ref="T47" si="28">IF(R47="NO","NO",R47*S47*44/12)</f>
        <v>77614.880170611432</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1561944.4390000002</v>
      </c>
      <c r="O50" s="3331"/>
      <c r="P50" s="3336">
        <f>SUM(P47:P48)</f>
        <v>21826.83659337855</v>
      </c>
      <c r="Q50" s="3336">
        <f>SUM(Q47:Q48)</f>
        <v>659.14200139361571</v>
      </c>
      <c r="R50" s="3336">
        <f>SUM(R47:R48)</f>
        <v>21167.694591984935</v>
      </c>
      <c r="S50" s="2379"/>
      <c r="T50" s="3342">
        <f>SUM(T47:T48)</f>
        <v>77614.880170611432</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-2341.96</v>
      </c>
      <c r="K52" s="3334">
        <f t="shared" ref="K52:K53" si="29">IF((SUM(F52:G52)-SUM(H52:J52))=0,"NO",(SUM(F52:G52)-SUM(H52:J52)))</f>
        <v>2341.96</v>
      </c>
      <c r="L52" s="2597">
        <f t="shared" ref="L52:L53" si="30">IF(K52="NO","NA",1)</f>
        <v>1</v>
      </c>
      <c r="M52" s="55" t="s">
        <v>97</v>
      </c>
      <c r="N52" s="3334">
        <f t="shared" ref="N52:N53" si="31">K52</f>
        <v>2341.96</v>
      </c>
      <c r="O52" s="3307">
        <v>13.382203649529648</v>
      </c>
      <c r="P52" s="3334">
        <f t="shared" ref="P52:P53" si="32">IFERROR(N52*O52/1000,"NA")</f>
        <v>31.340585659052458</v>
      </c>
      <c r="Q52" s="3339" t="str">
        <f>'Table1.A(d)'!G52</f>
        <v>NA</v>
      </c>
      <c r="R52" s="3334">
        <f t="shared" ref="R52:R53" si="33">IF(SUM(P52,-SUM(Q52))=0,"NO",SUM(P52,-SUM(Q52)))</f>
        <v>31.340585659052458</v>
      </c>
      <c r="S52" s="2597">
        <f t="shared" ref="S52:S53" si="34">IF(R52="NO","NA",1)</f>
        <v>1</v>
      </c>
      <c r="T52" s="3340">
        <f t="shared" ref="T52:T53" si="35">IF(R52="NO","NO",R52*S52*44/12)</f>
        <v>114.91548074985901</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2341.96</v>
      </c>
      <c r="O54" s="3332"/>
      <c r="P54" s="3338">
        <f>SUM(P51:P53)</f>
        <v>31.340585659052458</v>
      </c>
      <c r="Q54" s="3338">
        <f>SUM(Q51:Q53)</f>
        <v>0</v>
      </c>
      <c r="R54" s="3338">
        <f>SUM(R51:R53)</f>
        <v>31.340585659052458</v>
      </c>
      <c r="S54" s="2399"/>
      <c r="T54" s="3344">
        <f>SUM(T51:T53)</f>
        <v>114.91548074985901</v>
      </c>
    </row>
    <row r="55" spans="2:20" ht="18" customHeight="1" thickBot="1" x14ac:dyDescent="0.25">
      <c r="B55" s="2395" t="s">
        <v>409</v>
      </c>
      <c r="C55" s="2396"/>
      <c r="D55" s="2396"/>
      <c r="E55" s="100"/>
      <c r="F55" s="3356"/>
      <c r="G55" s="3356"/>
      <c r="H55" s="3356"/>
      <c r="I55" s="3356"/>
      <c r="J55" s="3356"/>
      <c r="K55" s="3357"/>
      <c r="L55" s="2397"/>
      <c r="M55" s="2398"/>
      <c r="N55" s="3338">
        <f>SUM(N31,N45,N50,N54)</f>
        <v>5568360.1694649355</v>
      </c>
      <c r="O55" s="3332"/>
      <c r="P55" s="3338">
        <f>SUM(P31,P45,P50,P54)</f>
        <v>108234.56079967304</v>
      </c>
      <c r="Q55" s="3338">
        <f>SUM(Q31,Q45,Q50,Q54)</f>
        <v>5917.3123073487195</v>
      </c>
      <c r="R55" s="3338">
        <f>SUM(R31,R45,R50,R54)</f>
        <v>102317.24849232435</v>
      </c>
      <c r="S55" s="2399"/>
      <c r="T55" s="3344">
        <f>SUM(T31,T45,T50,T54)</f>
        <v>375163.24447185587</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2201.669770464935</v>
      </c>
      <c r="D10" s="4127">
        <f>C10-'Table1.A(d)'!E31/1000</f>
        <v>2074.3282229411452</v>
      </c>
      <c r="E10" s="4126">
        <f>'Table1.A(b)'!T31</f>
        <v>143634.50129309695</v>
      </c>
      <c r="F10" s="4126">
        <f>'Table1.A(a)s1'!C11/1000</f>
        <v>2050.8147053451858</v>
      </c>
      <c r="G10" s="4126">
        <f>'Table1.A(a)s1'!H11</f>
        <v>140864.39320442738</v>
      </c>
      <c r="H10" s="4126">
        <f>100*((D10-F10)/F10)</f>
        <v>1.1465452015081854</v>
      </c>
      <c r="I10" s="4128">
        <f>100*((E10-G10)/G10)</f>
        <v>1.9665069544221103</v>
      </c>
      <c r="L10"/>
    </row>
    <row r="11" spans="2:12" ht="18" customHeight="1" x14ac:dyDescent="0.2">
      <c r="B11" s="50" t="s">
        <v>430</v>
      </c>
      <c r="C11" s="4126">
        <f>'Table1.A(b)'!N45/1000</f>
        <v>1802.404</v>
      </c>
      <c r="D11" s="4126">
        <f>C11-'Table1.A(d)'!E45/1000</f>
        <v>1708.1799940785731</v>
      </c>
      <c r="E11" s="4126">
        <f>'Table1.A(b)'!T45</f>
        <v>153798.9475273976</v>
      </c>
      <c r="F11" s="4126">
        <f>'Table1.A(a)s1'!C12/1000</f>
        <v>1724.6377431846261</v>
      </c>
      <c r="G11" s="4126">
        <f>'Table1.A(a)s1'!H12</f>
        <v>155868.621187863</v>
      </c>
      <c r="H11" s="4126">
        <f t="shared" ref="H11:H13" si="0">100*((D11-F11)/F11)</f>
        <v>-0.95427281300610389</v>
      </c>
      <c r="I11" s="4128">
        <f t="shared" ref="I11:I13" si="1">100*((E11-G11)/G11)</f>
        <v>-1.3278321478002262</v>
      </c>
      <c r="L11"/>
    </row>
    <row r="12" spans="2:12" ht="18" customHeight="1" x14ac:dyDescent="0.2">
      <c r="B12" s="50" t="s">
        <v>431</v>
      </c>
      <c r="C12" s="4126">
        <f>'Table1.A(b)'!N50/1000</f>
        <v>1561.9444390000003</v>
      </c>
      <c r="D12" s="4126">
        <f>C12-'Table1.A(d)'!E50/1000</f>
        <v>1517.1792118600004</v>
      </c>
      <c r="E12" s="4126">
        <f>'Table1.A(b)'!T50</f>
        <v>77614.880170611432</v>
      </c>
      <c r="F12" s="4126">
        <f>'Table1.A(a)s1'!C13/1000</f>
        <v>1495.8782131230428</v>
      </c>
      <c r="G12" s="4126">
        <f>'Table1.A(a)s1'!H13</f>
        <v>76642.247959256667</v>
      </c>
      <c r="H12" s="4126">
        <f t="shared" si="0"/>
        <v>1.4239794757412834</v>
      </c>
      <c r="I12" s="4128">
        <f t="shared" si="1"/>
        <v>1.2690549106438269</v>
      </c>
      <c r="L12"/>
    </row>
    <row r="13" spans="2:12" ht="18" customHeight="1" x14ac:dyDescent="0.2">
      <c r="B13" s="50" t="s">
        <v>432</v>
      </c>
      <c r="C13" s="4126">
        <f>'Table1.A(b)'!N54/1000</f>
        <v>2.3419599999999998</v>
      </c>
      <c r="D13" s="4126">
        <f>C13-SUM('Table1.A(d)'!E54)/1000</f>
        <v>2.3419599999999998</v>
      </c>
      <c r="E13" s="4126">
        <f>'Table1.A(b)'!T54</f>
        <v>114.91548074985901</v>
      </c>
      <c r="F13" s="4126">
        <f>'Table1.A(a)s1'!C14/1000</f>
        <v>2.3562089749207114</v>
      </c>
      <c r="G13" s="4126">
        <f>'Table1.A(a)s1'!H14</f>
        <v>115.96000391154709</v>
      </c>
      <c r="H13" s="4126">
        <f t="shared" si="0"/>
        <v>-0.60474156037840499</v>
      </c>
      <c r="I13" s="4128">
        <f t="shared" si="1"/>
        <v>-0.90076157852221705</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5568.3601694649351</v>
      </c>
      <c r="D15" s="4196">
        <f>SUM(D10:D14)</f>
        <v>5302.0293888797187</v>
      </c>
      <c r="E15" s="4196">
        <f>SUM(E10:E14)</f>
        <v>375163.24447185587</v>
      </c>
      <c r="F15" s="4196">
        <f>SUM(F10:F14)</f>
        <v>5273.6868706277746</v>
      </c>
      <c r="G15" s="4196">
        <f>SUM(G10:G14)</f>
        <v>373491.22235545859</v>
      </c>
      <c r="H15" s="4197">
        <f t="shared" ref="H15" si="2">100*((D15-F15)/F15)</f>
        <v>0.53743270973860813</v>
      </c>
      <c r="I15" s="4198">
        <f t="shared" ref="I15" si="3">100*((E15-G15)/G15)</f>
        <v>0.44767373804731075</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7" t="s">
        <v>435</v>
      </c>
      <c r="C35" s="4498"/>
      <c r="D35" s="4498"/>
      <c r="E35" s="4498"/>
      <c r="F35" s="4498"/>
      <c r="G35" s="4498"/>
      <c r="H35" s="4498"/>
      <c r="I35" s="4499"/>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2024-04-12T01:12:01Z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