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3" documentId="13_ncr:1_{78231A22-A158-4136-8B10-D87B1495B822}" xr6:coauthVersionLast="47" xr6:coauthVersionMax="47" xr10:uidLastSave="{08DF1645-2E33-43D6-8B32-593F17F19A33}"/>
  <bookViews>
    <workbookView xWindow="255" yWindow="705" windowWidth="28065" windowHeight="1360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12" i="8" s="1"/>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4" i="8" l="1"/>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V37" i="75"/>
  <c r="AL22" i="76"/>
  <c r="AL24" i="78"/>
  <c r="AL24" i="76"/>
  <c r="AL24" i="77"/>
  <c r="AL33" i="125" l="1"/>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E11" i="76"/>
  <c r="AL11" i="76" s="1"/>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8" l="1"/>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Z11" i="75"/>
  <c r="AL10" i="125"/>
  <c r="AN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I22" i="70" l="1"/>
  <c r="O12" i="70"/>
  <c r="C30" i="70"/>
  <c r="Q26" i="70"/>
  <c r="O41" i="70"/>
  <c r="I50" i="70"/>
  <c r="I18" i="70"/>
  <c r="C41" i="70"/>
  <c r="I41" i="70"/>
  <c r="O50" i="70" l="1"/>
  <c r="C18" i="70"/>
  <c r="O30" i="70"/>
  <c r="O18" i="70"/>
  <c r="O11" i="70" s="1"/>
  <c r="C22" i="70"/>
  <c r="I30" i="70"/>
  <c r="S26" i="70"/>
  <c r="T26" i="70"/>
  <c r="R26" i="70"/>
  <c r="I12" i="70"/>
  <c r="I11" i="70" s="1"/>
  <c r="I10" i="70" s="1"/>
  <c r="O22" i="70"/>
  <c r="C12" i="70"/>
  <c r="C11" i="70" s="1"/>
  <c r="C10" i="70" s="1"/>
  <c r="O10" i="70" l="1"/>
  <c r="C10" i="73" l="1"/>
  <c r="E34" i="73" s="1"/>
  <c r="E35" i="73" s="1"/>
  <c r="D282" i="56" l="1"/>
  <c r="D281" i="56"/>
  <c r="D302" i="56"/>
  <c r="D423" i="56"/>
  <c r="D415" i="56"/>
  <c r="C17" i="124"/>
  <c r="C11" i="124"/>
  <c r="C10" i="124" s="1"/>
  <c r="D277" i="56" l="1"/>
  <c r="D411" i="56"/>
  <c r="D331" i="56"/>
  <c r="D327" i="56" s="1"/>
  <c r="R18" i="50"/>
  <c r="R13" i="50" s="1"/>
  <c r="R10" i="50" s="1"/>
  <c r="Q17" i="52"/>
  <c r="Q11" i="52" s="1"/>
  <c r="Q10" i="52" s="1"/>
  <c r="Q11" i="53"/>
  <c r="P11" i="53"/>
  <c r="R21" i="51"/>
  <c r="R15" i="51" s="1"/>
  <c r="R10" i="51" s="1"/>
  <c r="Q21" i="51" l="1"/>
  <c r="S22" i="51"/>
  <c r="S21" i="51" s="1"/>
  <c r="D18" i="52"/>
  <c r="K18" i="52"/>
  <c r="K12" i="51"/>
  <c r="D12" i="51"/>
  <c r="L19" i="50"/>
  <c r="F18" i="50"/>
  <c r="N11" i="53"/>
  <c r="D22" i="51"/>
  <c r="K22" i="51"/>
  <c r="E21" i="51"/>
  <c r="K21" i="51" s="1"/>
  <c r="F21" i="51"/>
  <c r="L22" i="51"/>
  <c r="D15" i="52"/>
  <c r="E14" i="52"/>
  <c r="K15" i="52"/>
  <c r="D16" i="52"/>
  <c r="K16" i="52"/>
  <c r="I35" i="47"/>
  <c r="Q18" i="50"/>
  <c r="S19" i="50"/>
  <c r="S18" i="50" s="1"/>
  <c r="O12" i="51"/>
  <c r="K19" i="50"/>
  <c r="D19" i="50"/>
  <c r="E18" i="50"/>
  <c r="K18" i="50" s="1"/>
  <c r="P17" i="52"/>
  <c r="P11" i="52" s="1"/>
  <c r="P10" i="52" s="1"/>
  <c r="P11" i="51"/>
  <c r="N11" i="51" l="1"/>
  <c r="G16" i="52"/>
  <c r="H16" i="52"/>
  <c r="I16" i="52"/>
  <c r="J16" i="52"/>
  <c r="O19" i="52"/>
  <c r="S19" i="52" s="1"/>
  <c r="O18" i="52"/>
  <c r="M17" i="52"/>
  <c r="M11" i="52" s="1"/>
  <c r="L18" i="50"/>
  <c r="F13" i="50"/>
  <c r="P22" i="49"/>
  <c r="U22" i="49" s="1"/>
  <c r="N17" i="52"/>
  <c r="N11" i="52" s="1"/>
  <c r="O18" i="51"/>
  <c r="S18" i="51" s="1"/>
  <c r="G19" i="50"/>
  <c r="H19" i="50"/>
  <c r="J19" i="50"/>
  <c r="D18" i="50"/>
  <c r="I19" i="50"/>
  <c r="K14" i="52"/>
  <c r="I15" i="52"/>
  <c r="H15" i="52"/>
  <c r="G15" i="52"/>
  <c r="D14" i="52"/>
  <c r="J15" i="52"/>
  <c r="G12" i="51"/>
  <c r="H12" i="51"/>
  <c r="I12" i="51"/>
  <c r="J12" i="51"/>
  <c r="S12" i="51"/>
  <c r="F15" i="51"/>
  <c r="L21" i="51"/>
  <c r="I18" i="52"/>
  <c r="G18" i="52"/>
  <c r="J18" i="52"/>
  <c r="H18" i="52"/>
  <c r="J22" i="51"/>
  <c r="G22" i="51"/>
  <c r="I22" i="51"/>
  <c r="H22" i="51"/>
  <c r="D21" i="51"/>
  <c r="O12" i="53"/>
  <c r="M11" i="53"/>
  <c r="G45" i="59"/>
  <c r="G22" i="59"/>
  <c r="G16" i="59"/>
  <c r="I18" i="50" l="1"/>
  <c r="G18" i="50"/>
  <c r="J18" i="50"/>
  <c r="H18" i="50"/>
  <c r="G24" i="59"/>
  <c r="F23" i="59"/>
  <c r="G23" i="59" s="1"/>
  <c r="S18" i="52"/>
  <c r="S17" i="52" s="1"/>
  <c r="S11" i="52" s="1"/>
  <c r="O17" i="52"/>
  <c r="O11" i="52" s="1"/>
  <c r="F10" i="50"/>
  <c r="L10" i="50" s="1"/>
  <c r="L13" i="50"/>
  <c r="F50" i="59"/>
  <c r="G51" i="59"/>
  <c r="S12" i="53"/>
  <c r="S11" i="53" s="1"/>
  <c r="O11" i="53"/>
  <c r="P14" i="49"/>
  <c r="H14" i="52"/>
  <c r="G14" i="52"/>
  <c r="J14" i="52"/>
  <c r="I14" i="52"/>
  <c r="L15" i="51"/>
  <c r="F10" i="51"/>
  <c r="L10" i="51" s="1"/>
  <c r="G21" i="51"/>
  <c r="I21" i="51"/>
  <c r="H21" i="51"/>
  <c r="J21" i="51"/>
  <c r="P15" i="49"/>
  <c r="U15" i="49" s="1"/>
  <c r="G18" i="59"/>
  <c r="F17" i="59"/>
  <c r="G17" i="59" s="1"/>
  <c r="M11" i="51"/>
  <c r="O14" i="51"/>
  <c r="G14" i="59"/>
  <c r="G39" i="59"/>
  <c r="F38" i="59"/>
  <c r="C21" i="47" l="1"/>
  <c r="C24" i="47"/>
  <c r="G38" i="59"/>
  <c r="F37" i="59"/>
  <c r="S14" i="51"/>
  <c r="O11" i="51"/>
  <c r="F49" i="59"/>
  <c r="G50" i="59"/>
  <c r="T23" i="49"/>
  <c r="T16" i="49" s="1"/>
  <c r="T10" i="49" s="1"/>
  <c r="Q16" i="51"/>
  <c r="Q15" i="51" s="1"/>
  <c r="D21" i="49"/>
  <c r="Q14" i="53"/>
  <c r="Q13" i="53" s="1"/>
  <c r="Q10" i="53" s="1"/>
  <c r="R14" i="53"/>
  <c r="R13" i="53" s="1"/>
  <c r="R10" i="53" s="1"/>
  <c r="Q14" i="50"/>
  <c r="Q13" i="50" s="1"/>
  <c r="S25" i="49"/>
  <c r="S17" i="49"/>
  <c r="S11" i="49"/>
  <c r="D13" i="49" l="1"/>
  <c r="L13" i="49"/>
  <c r="M24" i="49"/>
  <c r="F23" i="49"/>
  <c r="D24" i="49"/>
  <c r="G49" i="59"/>
  <c r="F48" i="59"/>
  <c r="G48" i="59" s="1"/>
  <c r="G33" i="59"/>
  <c r="F32" i="59"/>
  <c r="D12" i="49"/>
  <c r="L12" i="49"/>
  <c r="D16" i="53"/>
  <c r="K16" i="53"/>
  <c r="E14" i="53"/>
  <c r="L18" i="49"/>
  <c r="D18" i="49"/>
  <c r="E17" i="49"/>
  <c r="E14" i="50"/>
  <c r="K15" i="50"/>
  <c r="D15" i="50"/>
  <c r="F66" i="59"/>
  <c r="G67" i="59"/>
  <c r="G37" i="59"/>
  <c r="F43" i="59"/>
  <c r="G44" i="59"/>
  <c r="I21" i="59"/>
  <c r="F20" i="59"/>
  <c r="G21" i="59"/>
  <c r="H21" i="59"/>
  <c r="K37" i="52"/>
  <c r="D37" i="52"/>
  <c r="E36" i="52"/>
  <c r="L15" i="53"/>
  <c r="D15" i="53"/>
  <c r="F14" i="53"/>
  <c r="L26" i="49"/>
  <c r="D26" i="49"/>
  <c r="E25" i="49"/>
  <c r="E16" i="51"/>
  <c r="D17" i="51"/>
  <c r="K17" i="51"/>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K21" i="49"/>
  <c r="S19" i="49"/>
  <c r="S16" i="49" s="1"/>
  <c r="S10" i="49" s="1"/>
  <c r="L21" i="49"/>
  <c r="O11" i="49"/>
  <c r="Q16" i="49" l="1"/>
  <c r="G43" i="59"/>
  <c r="F42" i="59"/>
  <c r="P12" i="49"/>
  <c r="N11" i="49"/>
  <c r="O17" i="51"/>
  <c r="M16" i="51"/>
  <c r="M15" i="51" s="1"/>
  <c r="M10" i="51" s="1"/>
  <c r="P14" i="53"/>
  <c r="P13" i="53" s="1"/>
  <c r="P10" i="53" s="1"/>
  <c r="K36" i="52"/>
  <c r="E35" i="52"/>
  <c r="K14" i="50"/>
  <c r="C23" i="57"/>
  <c r="E13" i="50"/>
  <c r="K13" i="50" s="1"/>
  <c r="F31" i="59"/>
  <c r="G32" i="59"/>
  <c r="N25" i="49"/>
  <c r="P26" i="49"/>
  <c r="D16" i="51"/>
  <c r="H17" i="51"/>
  <c r="G17" i="51"/>
  <c r="K14" i="53"/>
  <c r="E13" i="53"/>
  <c r="K13" i="53" s="1"/>
  <c r="C50" i="57"/>
  <c r="J16" i="53"/>
  <c r="C32" i="57"/>
  <c r="K16" i="51"/>
  <c r="E15" i="51"/>
  <c r="K15" i="51" s="1"/>
  <c r="E19" i="49"/>
  <c r="D20" i="49"/>
  <c r="L20" i="49"/>
  <c r="O16" i="53"/>
  <c r="L25" i="49"/>
  <c r="C18" i="57"/>
  <c r="G20" i="59"/>
  <c r="F19" i="59"/>
  <c r="G16" i="53"/>
  <c r="H16" i="53"/>
  <c r="J24" i="49"/>
  <c r="G24" i="49"/>
  <c r="D23" i="49"/>
  <c r="K24" i="49"/>
  <c r="H24" i="49"/>
  <c r="H37" i="52"/>
  <c r="J37" i="52"/>
  <c r="G37" i="52"/>
  <c r="D36" i="52"/>
  <c r="L17" i="49"/>
  <c r="C15" i="57"/>
  <c r="N23" i="49"/>
  <c r="P24" i="49"/>
  <c r="R19" i="49"/>
  <c r="R16" i="49" s="1"/>
  <c r="N14" i="53"/>
  <c r="N13" i="53" s="1"/>
  <c r="N10" i="53" s="1"/>
  <c r="P16" i="51"/>
  <c r="P15" i="51" s="1"/>
  <c r="P10" i="51" s="1"/>
  <c r="G26" i="49"/>
  <c r="D25" i="49"/>
  <c r="H26" i="49"/>
  <c r="J26" i="49"/>
  <c r="K26" i="49"/>
  <c r="G66" i="59"/>
  <c r="F65" i="59"/>
  <c r="F16" i="49"/>
  <c r="M23" i="49"/>
  <c r="N17" i="49"/>
  <c r="P18" i="49"/>
  <c r="O15" i="53"/>
  <c r="M14" i="53"/>
  <c r="M13" i="53" s="1"/>
  <c r="M10" i="53" s="1"/>
  <c r="P13" i="49"/>
  <c r="U13" i="49" s="1"/>
  <c r="O37" i="52"/>
  <c r="M36" i="52"/>
  <c r="M35" i="52" s="1"/>
  <c r="M23" i="52" s="1"/>
  <c r="M10" i="52" s="1"/>
  <c r="F21" i="52"/>
  <c r="L22" i="52"/>
  <c r="D22" i="52"/>
  <c r="L14" i="53"/>
  <c r="F13" i="53"/>
  <c r="G12" i="49"/>
  <c r="H12" i="49"/>
  <c r="K12" i="49"/>
  <c r="J12" i="49"/>
  <c r="I12" i="49"/>
  <c r="M14" i="50"/>
  <c r="M13" i="50" s="1"/>
  <c r="O15" i="50"/>
  <c r="G15" i="59"/>
  <c r="F13" i="59"/>
  <c r="J18" i="49"/>
  <c r="K18" i="49"/>
  <c r="D17" i="49"/>
  <c r="H18" i="49"/>
  <c r="G18" i="49"/>
  <c r="I18" i="49"/>
  <c r="R11" i="49"/>
  <c r="R10" i="49" s="1"/>
  <c r="H21" i="49"/>
  <c r="J15" i="53"/>
  <c r="D14" i="53"/>
  <c r="G15" i="53"/>
  <c r="H15" i="53"/>
  <c r="D14" i="50"/>
  <c r="H15" i="50"/>
  <c r="J15" i="50"/>
  <c r="G15" i="50"/>
  <c r="H13" i="49"/>
  <c r="K13" i="49"/>
  <c r="J13" i="49"/>
  <c r="G13" i="49"/>
  <c r="I13" i="49"/>
  <c r="G13" i="59" l="1"/>
  <c r="F12" i="59"/>
  <c r="G22" i="52"/>
  <c r="H22" i="52"/>
  <c r="I22" i="52"/>
  <c r="J22" i="52"/>
  <c r="D21" i="52"/>
  <c r="P23" i="49"/>
  <c r="I23" i="49" s="1"/>
  <c r="U24" i="49"/>
  <c r="U23" i="49" s="1"/>
  <c r="G23" i="49"/>
  <c r="K23" i="49"/>
  <c r="J23" i="49"/>
  <c r="H23" i="49"/>
  <c r="E23" i="52"/>
  <c r="K23" i="52" s="1"/>
  <c r="K35" i="52"/>
  <c r="F59" i="59"/>
  <c r="G65" i="59"/>
  <c r="H14" i="53"/>
  <c r="D13" i="53"/>
  <c r="I14" i="53"/>
  <c r="J14" i="53"/>
  <c r="G14" i="53"/>
  <c r="H20" i="49"/>
  <c r="K20" i="49"/>
  <c r="J20" i="49"/>
  <c r="G20" i="49"/>
  <c r="D19" i="49"/>
  <c r="I16" i="51"/>
  <c r="G16" i="51"/>
  <c r="D15" i="51"/>
  <c r="J16" i="51"/>
  <c r="H16" i="51"/>
  <c r="I37" i="52"/>
  <c r="S37" i="52"/>
  <c r="S36" i="52" s="1"/>
  <c r="S35" i="52" s="1"/>
  <c r="S23" i="52" s="1"/>
  <c r="O36" i="52"/>
  <c r="O35" i="52" s="1"/>
  <c r="O23" i="52" s="1"/>
  <c r="O10" i="52" s="1"/>
  <c r="S17" i="51"/>
  <c r="S16" i="51" s="1"/>
  <c r="S15" i="51" s="1"/>
  <c r="C19" i="47" s="1"/>
  <c r="O16" i="51"/>
  <c r="O15" i="51" s="1"/>
  <c r="O10" i="51" s="1"/>
  <c r="L21" i="52"/>
  <c r="F17" i="52"/>
  <c r="G36" i="52"/>
  <c r="J36" i="52"/>
  <c r="H36" i="52"/>
  <c r="D35" i="52"/>
  <c r="C30" i="57"/>
  <c r="U12" i="49"/>
  <c r="P11" i="49"/>
  <c r="E16" i="49"/>
  <c r="L16" i="49" s="1"/>
  <c r="C16" i="57"/>
  <c r="L19" i="49"/>
  <c r="J25" i="49"/>
  <c r="G25" i="49"/>
  <c r="K25" i="49"/>
  <c r="H25" i="49"/>
  <c r="C48" i="57"/>
  <c r="I26" i="49"/>
  <c r="P25" i="49"/>
  <c r="I25" i="49" s="1"/>
  <c r="U26" i="49"/>
  <c r="U25" i="49" s="1"/>
  <c r="O14" i="53"/>
  <c r="O13" i="53" s="1"/>
  <c r="O10" i="53" s="1"/>
  <c r="S15" i="53"/>
  <c r="P17" i="49"/>
  <c r="U18" i="49"/>
  <c r="U17" i="49" s="1"/>
  <c r="F25" i="59"/>
  <c r="G25" i="59" s="1"/>
  <c r="G31" i="59"/>
  <c r="J14" i="50"/>
  <c r="H14" i="50"/>
  <c r="G14" i="50"/>
  <c r="D13" i="50"/>
  <c r="H17" i="49"/>
  <c r="G17" i="49"/>
  <c r="J17" i="49"/>
  <c r="K17" i="49"/>
  <c r="I17" i="49"/>
  <c r="D16" i="49"/>
  <c r="I24" i="49"/>
  <c r="G42" i="59"/>
  <c r="F36" i="59"/>
  <c r="G36" i="59" s="1"/>
  <c r="O14" i="50"/>
  <c r="O13" i="50" s="1"/>
  <c r="S15" i="50"/>
  <c r="S14" i="50" s="1"/>
  <c r="S13" i="50" s="1"/>
  <c r="C16" i="47" s="1"/>
  <c r="P21" i="49"/>
  <c r="G21" i="49"/>
  <c r="J17" i="51"/>
  <c r="C21" i="57"/>
  <c r="C13" i="57"/>
  <c r="I15" i="50"/>
  <c r="N19" i="49"/>
  <c r="N16" i="49" s="1"/>
  <c r="N10" i="49" s="1"/>
  <c r="P20" i="49"/>
  <c r="I20" i="49" s="1"/>
  <c r="I15" i="53"/>
  <c r="F10" i="53"/>
  <c r="L10" i="53" s="1"/>
  <c r="L13" i="53"/>
  <c r="O19" i="49"/>
  <c r="O16" i="49" s="1"/>
  <c r="O10" i="49" s="1"/>
  <c r="M16" i="49"/>
  <c r="F10" i="49"/>
  <c r="M10" i="49" s="1"/>
  <c r="I16" i="53"/>
  <c r="S16" i="53"/>
  <c r="I17" i="51"/>
  <c r="D23" i="52" l="1"/>
  <c r="I35" i="52"/>
  <c r="J35" i="52"/>
  <c r="G35" i="52"/>
  <c r="H35" i="52"/>
  <c r="H15" i="51"/>
  <c r="J15" i="51"/>
  <c r="G15" i="51"/>
  <c r="I15" i="51"/>
  <c r="H13" i="53"/>
  <c r="I13" i="53"/>
  <c r="G13" i="53"/>
  <c r="J13" i="53"/>
  <c r="U21" i="49"/>
  <c r="I21" i="49"/>
  <c r="H21" i="52"/>
  <c r="I21" i="52"/>
  <c r="J21" i="52"/>
  <c r="G21" i="52"/>
  <c r="F11" i="52"/>
  <c r="L17" i="52"/>
  <c r="C20" i="57"/>
  <c r="I14" i="50"/>
  <c r="H19" i="49"/>
  <c r="K19" i="49"/>
  <c r="J19" i="49"/>
  <c r="G19" i="49"/>
  <c r="S14" i="53"/>
  <c r="S13" i="53" s="1"/>
  <c r="U20" i="49"/>
  <c r="U19" i="49" s="1"/>
  <c r="U16" i="49" s="1"/>
  <c r="C13" i="47" s="1"/>
  <c r="P19" i="49"/>
  <c r="I19" i="49" s="1"/>
  <c r="I13" i="50"/>
  <c r="G13" i="50"/>
  <c r="H13" i="50"/>
  <c r="J13" i="50"/>
  <c r="G59" i="59"/>
  <c r="D12" i="53"/>
  <c r="K12" i="53"/>
  <c r="E11" i="53"/>
  <c r="C22" i="47"/>
  <c r="C20" i="47" s="1"/>
  <c r="S10" i="52"/>
  <c r="G12" i="59"/>
  <c r="F11" i="59"/>
  <c r="H16" i="49"/>
  <c r="J16" i="49"/>
  <c r="K16" i="49"/>
  <c r="G16" i="49"/>
  <c r="I36" i="52"/>
  <c r="M13" i="48"/>
  <c r="D12" i="50" l="1"/>
  <c r="E11" i="50"/>
  <c r="D20" i="52"/>
  <c r="K20" i="52"/>
  <c r="E17" i="52"/>
  <c r="M15" i="48"/>
  <c r="D32" i="57"/>
  <c r="D30" i="57" s="1"/>
  <c r="F30" i="57" s="1"/>
  <c r="H30" i="57"/>
  <c r="M10" i="48"/>
  <c r="C20" i="48"/>
  <c r="L14" i="49"/>
  <c r="D14" i="49"/>
  <c r="E11" i="49"/>
  <c r="E20" i="48"/>
  <c r="C46" i="109"/>
  <c r="L11" i="52"/>
  <c r="F10" i="52"/>
  <c r="L10" i="52" s="1"/>
  <c r="F21" i="48"/>
  <c r="E10" i="53"/>
  <c r="K10" i="53" s="1"/>
  <c r="K11" i="53"/>
  <c r="C47" i="57"/>
  <c r="C25" i="47"/>
  <c r="S10" i="53"/>
  <c r="D11" i="54"/>
  <c r="D10" i="54" s="1"/>
  <c r="E10" i="54"/>
  <c r="I12" i="53"/>
  <c r="G12" i="53"/>
  <c r="J12" i="53"/>
  <c r="H12" i="53"/>
  <c r="D11" i="53"/>
  <c r="K20" i="48"/>
  <c r="M18" i="48"/>
  <c r="P16" i="49"/>
  <c r="D13" i="51"/>
  <c r="E11" i="51"/>
  <c r="F20" i="48"/>
  <c r="H20" i="48"/>
  <c r="M12" i="48"/>
  <c r="M17" i="48"/>
  <c r="J20" i="48"/>
  <c r="J21" i="48" s="1"/>
  <c r="F10" i="59"/>
  <c r="H23" i="52"/>
  <c r="I23" i="52"/>
  <c r="G23" i="52"/>
  <c r="J23" i="52"/>
  <c r="H72" i="34"/>
  <c r="G67" i="34"/>
  <c r="H67" i="34"/>
  <c r="I67" i="34"/>
  <c r="H71" i="34"/>
  <c r="G73" i="34"/>
  <c r="H66" i="34"/>
  <c r="H73" i="34"/>
  <c r="H75" i="34"/>
  <c r="G65" i="34"/>
  <c r="I66" i="34"/>
  <c r="G68" i="34"/>
  <c r="I75" i="34"/>
  <c r="H68" i="34"/>
  <c r="G70" i="34"/>
  <c r="G80" i="34"/>
  <c r="G86" i="34"/>
  <c r="G88" i="34"/>
  <c r="G78" i="34"/>
  <c r="H80" i="34"/>
  <c r="H84" i="34"/>
  <c r="I80" i="34"/>
  <c r="G85" i="34"/>
  <c r="G87" i="34"/>
  <c r="G89" i="34"/>
  <c r="H81" i="34"/>
  <c r="H83" i="34"/>
  <c r="H85" i="34"/>
  <c r="H89" i="34"/>
  <c r="I81" i="34"/>
  <c r="I87" i="34"/>
  <c r="I89" i="34"/>
  <c r="G61" i="34"/>
  <c r="I59" i="34"/>
  <c r="G63" i="34"/>
  <c r="I61" i="34"/>
  <c r="I63" i="34"/>
  <c r="G54" i="34"/>
  <c r="H54" i="34"/>
  <c r="H56" i="34"/>
  <c r="I54" i="34"/>
  <c r="I56" i="34"/>
  <c r="I58" i="34"/>
  <c r="G60" i="34"/>
  <c r="H60" i="34"/>
  <c r="I62" i="34"/>
  <c r="H52" i="34"/>
  <c r="G53" i="34"/>
  <c r="G52" i="34"/>
  <c r="H53" i="34"/>
  <c r="G55" i="34"/>
  <c r="G57" i="34"/>
  <c r="I53" i="34"/>
  <c r="H55" i="34"/>
  <c r="H57" i="34"/>
  <c r="G59" i="34"/>
  <c r="I92" i="34"/>
  <c r="I94" i="34"/>
  <c r="K107" i="34"/>
  <c r="K109" i="34"/>
  <c r="K111" i="34"/>
  <c r="K113" i="34"/>
  <c r="K115" i="34"/>
  <c r="M107" i="34"/>
  <c r="M109" i="34"/>
  <c r="M111" i="34"/>
  <c r="M113" i="34"/>
  <c r="M115" i="34"/>
  <c r="I99" i="34"/>
  <c r="I101" i="34"/>
  <c r="I103" i="34"/>
  <c r="J108" i="34"/>
  <c r="J110" i="34"/>
  <c r="J112" i="34"/>
  <c r="K106" i="34"/>
  <c r="K108" i="34"/>
  <c r="K110" i="34"/>
  <c r="K112" i="34"/>
  <c r="K114" i="34"/>
  <c r="K116" i="34"/>
  <c r="M106" i="34"/>
  <c r="M108" i="34"/>
  <c r="M110" i="34"/>
  <c r="M112" i="34"/>
  <c r="M114" i="34"/>
  <c r="M116" i="34"/>
  <c r="H118" i="34"/>
  <c r="H121" i="34"/>
  <c r="H125" i="34"/>
  <c r="I125" i="34"/>
  <c r="I129" i="34"/>
  <c r="G129" i="34"/>
  <c r="G125" i="34"/>
  <c r="H129" i="34"/>
  <c r="G120" i="34"/>
  <c r="G122" i="34"/>
  <c r="G126" i="34"/>
  <c r="H120" i="34"/>
  <c r="H122" i="34"/>
  <c r="H124" i="34"/>
  <c r="H126" i="34"/>
  <c r="D29" i="25"/>
  <c r="K29" i="25"/>
  <c r="H128" i="34"/>
  <c r="I120" i="34"/>
  <c r="G128" i="34"/>
  <c r="G118" i="34"/>
  <c r="G121" i="34"/>
  <c r="H132" i="34"/>
  <c r="G137" i="34"/>
  <c r="G134" i="34"/>
  <c r="H134" i="34"/>
  <c r="G139" i="34"/>
  <c r="H139" i="34"/>
  <c r="G132" i="34"/>
  <c r="G136" i="34"/>
  <c r="G141" i="34"/>
  <c r="M30" i="25"/>
  <c r="G133" i="34"/>
  <c r="G138" i="34"/>
  <c r="G140" i="34"/>
  <c r="H133" i="34"/>
  <c r="H30" i="25"/>
  <c r="G143" i="34"/>
  <c r="G135" i="34"/>
  <c r="D30" i="25"/>
  <c r="H140" i="34"/>
  <c r="G142" i="34"/>
  <c r="I154" i="34"/>
  <c r="H156" i="34"/>
  <c r="I147" i="34"/>
  <c r="H149" i="34"/>
  <c r="I149" i="34"/>
  <c r="H153" i="34"/>
  <c r="H157" i="34"/>
  <c r="I148" i="34"/>
  <c r="H150" i="34"/>
  <c r="H152" i="34"/>
  <c r="I152" i="34"/>
  <c r="H154" i="34"/>
  <c r="I16" i="59"/>
  <c r="D18" i="57"/>
  <c r="J47" i="34"/>
  <c r="J41" i="34"/>
  <c r="M48" i="34"/>
  <c r="K50" i="34"/>
  <c r="L41" i="34"/>
  <c r="J43" i="34"/>
  <c r="M50" i="34"/>
  <c r="M41" i="34"/>
  <c r="K43" i="34"/>
  <c r="M43" i="34"/>
  <c r="K45" i="34"/>
  <c r="K47" i="34"/>
  <c r="M47" i="34"/>
  <c r="K42" i="34"/>
  <c r="M45" i="34"/>
  <c r="L47" i="34"/>
  <c r="J49" i="34"/>
  <c r="K49" i="34"/>
  <c r="K40" i="34"/>
  <c r="M49" i="34"/>
  <c r="M40" i="34"/>
  <c r="K41" i="34"/>
  <c r="L50" i="34"/>
  <c r="M42" i="34"/>
  <c r="K44" i="34"/>
  <c r="M46" i="34"/>
  <c r="L44" i="34"/>
  <c r="K46" i="34"/>
  <c r="J48" i="34"/>
  <c r="M44" i="34"/>
  <c r="K48" i="34"/>
  <c r="J50" i="34"/>
  <c r="L42" i="34"/>
  <c r="L45" i="34"/>
  <c r="L43" i="34"/>
  <c r="L48" i="34"/>
  <c r="L49" i="34"/>
  <c r="L46" i="34"/>
  <c r="L40" i="34"/>
  <c r="I29" i="34"/>
  <c r="G33" i="34"/>
  <c r="G35" i="34"/>
  <c r="H33" i="34"/>
  <c r="G37" i="34"/>
  <c r="I37" i="34"/>
  <c r="G28" i="34"/>
  <c r="H28" i="34"/>
  <c r="G30" i="34"/>
  <c r="G32" i="34"/>
  <c r="I28" i="34"/>
  <c r="H32" i="34"/>
  <c r="G34" i="34"/>
  <c r="I35" i="34"/>
  <c r="G36" i="34"/>
  <c r="G26" i="34"/>
  <c r="H36" i="34"/>
  <c r="I36" i="34"/>
  <c r="G27" i="34"/>
  <c r="G29" i="34"/>
  <c r="I33" i="34"/>
  <c r="H29" i="34"/>
  <c r="G31" i="34"/>
  <c r="D16" i="57"/>
  <c r="I22" i="59"/>
  <c r="I45" i="59"/>
  <c r="I15" i="59"/>
  <c r="H16" i="59"/>
  <c r="H22" i="59"/>
  <c r="H15" i="59"/>
  <c r="H45" i="59"/>
  <c r="D12" i="57"/>
  <c r="Q11" i="50"/>
  <c r="Q10" i="50" s="1"/>
  <c r="J40" i="34" l="1"/>
  <c r="D27" i="25"/>
  <c r="G14" i="34"/>
  <c r="D40" i="34"/>
  <c r="G40" i="34" s="1"/>
  <c r="G21" i="34"/>
  <c r="D47" i="34"/>
  <c r="G47" i="34" s="1"/>
  <c r="G153" i="34"/>
  <c r="K31" i="25"/>
  <c r="K146" i="34"/>
  <c r="T30" i="25"/>
  <c r="I30" i="25"/>
  <c r="J131" i="34"/>
  <c r="J130" i="34" s="1"/>
  <c r="C30" i="25"/>
  <c r="L117" i="34"/>
  <c r="I29" i="25"/>
  <c r="M28" i="25"/>
  <c r="H99" i="34"/>
  <c r="E112" i="34"/>
  <c r="H112" i="34" s="1"/>
  <c r="J111" i="34"/>
  <c r="K28" i="25"/>
  <c r="H98" i="34"/>
  <c r="E111" i="34"/>
  <c r="H111" i="34" s="1"/>
  <c r="L51" i="34"/>
  <c r="P10" i="49"/>
  <c r="I16" i="49"/>
  <c r="C46" i="57"/>
  <c r="M21" i="48"/>
  <c r="M20" i="48"/>
  <c r="C21" i="48"/>
  <c r="U27" i="25"/>
  <c r="I15" i="34"/>
  <c r="F41" i="34"/>
  <c r="I41" i="34" s="1"/>
  <c r="J44" i="34"/>
  <c r="I27" i="25"/>
  <c r="G20" i="34"/>
  <c r="D46" i="34"/>
  <c r="G46" i="34" s="1"/>
  <c r="G13" i="34"/>
  <c r="D39" i="34"/>
  <c r="G39" i="34" s="1"/>
  <c r="G19" i="34"/>
  <c r="D45" i="34"/>
  <c r="G45" i="34" s="1"/>
  <c r="G157" i="34"/>
  <c r="T31" i="25"/>
  <c r="H158" i="34"/>
  <c r="H137" i="34"/>
  <c r="F29" i="25"/>
  <c r="H29" i="25"/>
  <c r="G124" i="34"/>
  <c r="H119" i="34"/>
  <c r="G29" i="25"/>
  <c r="H123" i="34"/>
  <c r="I28" i="25"/>
  <c r="H97" i="34"/>
  <c r="E110" i="34"/>
  <c r="H110" i="34" s="1"/>
  <c r="J109" i="34"/>
  <c r="H28" i="25"/>
  <c r="H96" i="34"/>
  <c r="E109" i="34"/>
  <c r="H109" i="34" s="1"/>
  <c r="I60" i="34"/>
  <c r="H82" i="34"/>
  <c r="J64" i="34"/>
  <c r="I70" i="34"/>
  <c r="I16" i="34"/>
  <c r="F42" i="34"/>
  <c r="I42" i="34" s="1"/>
  <c r="E43" i="34"/>
  <c r="H43" i="34" s="1"/>
  <c r="H17" i="34"/>
  <c r="R31" i="25"/>
  <c r="G156" i="34"/>
  <c r="G28" i="25"/>
  <c r="E108" i="34"/>
  <c r="H108" i="34" s="1"/>
  <c r="H95" i="34"/>
  <c r="J107" i="34"/>
  <c r="F28" i="25" s="1"/>
  <c r="H94" i="34"/>
  <c r="E107" i="34"/>
  <c r="H107" i="34" s="1"/>
  <c r="G62" i="34"/>
  <c r="J51" i="34"/>
  <c r="L64" i="34"/>
  <c r="H76" i="34"/>
  <c r="K21" i="48"/>
  <c r="I15" i="57"/>
  <c r="G13" i="57"/>
  <c r="E15" i="57"/>
  <c r="I16" i="57"/>
  <c r="E16" i="57"/>
  <c r="I26" i="34"/>
  <c r="I22" i="34"/>
  <c r="F48" i="34"/>
  <c r="I48" i="34" s="1"/>
  <c r="F46" i="34"/>
  <c r="I46" i="34" s="1"/>
  <c r="I20" i="34"/>
  <c r="H18" i="34"/>
  <c r="E44" i="34"/>
  <c r="H44" i="34" s="1"/>
  <c r="F49" i="34"/>
  <c r="I49" i="34" s="1"/>
  <c r="I23" i="34"/>
  <c r="G23" i="34"/>
  <c r="D49" i="34"/>
  <c r="G49" i="34" s="1"/>
  <c r="F27" i="25"/>
  <c r="I151" i="34"/>
  <c r="K131" i="34"/>
  <c r="K130" i="34" s="1"/>
  <c r="K117" i="34"/>
  <c r="G123" i="34"/>
  <c r="L91" i="34"/>
  <c r="L90" i="34" s="1"/>
  <c r="J106" i="34"/>
  <c r="D28" i="25"/>
  <c r="H93" i="34"/>
  <c r="E106" i="34"/>
  <c r="H106" i="34" s="1"/>
  <c r="M91" i="34"/>
  <c r="M105" i="34"/>
  <c r="M104" i="34" s="1"/>
  <c r="J105" i="34"/>
  <c r="J91" i="34"/>
  <c r="E105" i="34"/>
  <c r="H105" i="34" s="1"/>
  <c r="H92" i="34"/>
  <c r="H79" i="34"/>
  <c r="M77" i="34"/>
  <c r="J77" i="34"/>
  <c r="H78" i="34"/>
  <c r="I74" i="34"/>
  <c r="H65" i="34"/>
  <c r="H11" i="53"/>
  <c r="D10" i="53"/>
  <c r="J11" i="53"/>
  <c r="I11" i="53"/>
  <c r="G11" i="53"/>
  <c r="L20" i="59"/>
  <c r="G17" i="34"/>
  <c r="D43" i="34"/>
  <c r="G43" i="34" s="1"/>
  <c r="G103" i="34"/>
  <c r="D116" i="34"/>
  <c r="G116" i="34" s="1"/>
  <c r="I102" i="34"/>
  <c r="D105" i="34"/>
  <c r="G105" i="34" s="1"/>
  <c r="G92" i="34"/>
  <c r="H63" i="34"/>
  <c r="I88" i="34"/>
  <c r="G66" i="34"/>
  <c r="I69" i="34"/>
  <c r="L17" i="59"/>
  <c r="I17" i="59" s="1"/>
  <c r="I18" i="59"/>
  <c r="I34" i="34"/>
  <c r="L23" i="59"/>
  <c r="I23" i="59" s="1"/>
  <c r="I24" i="59"/>
  <c r="K12" i="34"/>
  <c r="K39" i="34"/>
  <c r="K38" i="34" s="1"/>
  <c r="U14" i="49"/>
  <c r="U11" i="49" s="1"/>
  <c r="Q11" i="49"/>
  <c r="Q10" i="49" s="1"/>
  <c r="O27" i="25"/>
  <c r="I150" i="34"/>
  <c r="M146" i="34"/>
  <c r="I118" i="34"/>
  <c r="I126" i="34"/>
  <c r="I127" i="34"/>
  <c r="T29" i="25"/>
  <c r="D114" i="34"/>
  <c r="G114" i="34" s="1"/>
  <c r="G101" i="34"/>
  <c r="I100" i="34"/>
  <c r="D115" i="34"/>
  <c r="G115" i="34" s="1"/>
  <c r="G102" i="34"/>
  <c r="M51" i="34"/>
  <c r="I86" i="34"/>
  <c r="G74" i="34"/>
  <c r="F50" i="34"/>
  <c r="I50" i="34" s="1"/>
  <c r="I24" i="34"/>
  <c r="E48" i="34"/>
  <c r="H48" i="34" s="1"/>
  <c r="H22" i="34"/>
  <c r="I19" i="34"/>
  <c r="F45" i="34"/>
  <c r="I45" i="34" s="1"/>
  <c r="K17" i="59"/>
  <c r="H17" i="59" s="1"/>
  <c r="H18" i="59"/>
  <c r="I27" i="34"/>
  <c r="H27" i="25"/>
  <c r="F39" i="34"/>
  <c r="I39" i="34" s="1"/>
  <c r="I13" i="34"/>
  <c r="G148" i="34"/>
  <c r="D31" i="25"/>
  <c r="H155" i="34"/>
  <c r="I158" i="34"/>
  <c r="G152" i="34"/>
  <c r="I31" i="25"/>
  <c r="F30" i="25"/>
  <c r="H142" i="34"/>
  <c r="I124" i="34"/>
  <c r="D112" i="34"/>
  <c r="G112" i="34" s="1"/>
  <c r="G99" i="34"/>
  <c r="I98" i="34"/>
  <c r="G100" i="34"/>
  <c r="D113" i="34"/>
  <c r="G113" i="34" s="1"/>
  <c r="G58" i="34"/>
  <c r="H59" i="34"/>
  <c r="I85" i="34"/>
  <c r="I84" i="34"/>
  <c r="K64" i="34"/>
  <c r="G69" i="34"/>
  <c r="I72" i="34"/>
  <c r="G72" i="34"/>
  <c r="K17" i="52"/>
  <c r="E11" i="52"/>
  <c r="T27" i="25"/>
  <c r="O31" i="25"/>
  <c r="G155" i="34"/>
  <c r="M25" i="34"/>
  <c r="G28" i="57"/>
  <c r="H13" i="57"/>
  <c r="H11" i="57" s="1"/>
  <c r="D15" i="57"/>
  <c r="D13" i="57" s="1"/>
  <c r="F13" i="57" s="1"/>
  <c r="H30" i="34"/>
  <c r="R27" i="25"/>
  <c r="K38" i="59"/>
  <c r="H39" i="59"/>
  <c r="K23" i="59"/>
  <c r="H23" i="59" s="1"/>
  <c r="H24" i="59"/>
  <c r="D41" i="34"/>
  <c r="G41" i="34" s="1"/>
  <c r="G15" i="34"/>
  <c r="D48" i="34"/>
  <c r="G48" i="34" s="1"/>
  <c r="G22" i="34"/>
  <c r="G18" i="34"/>
  <c r="D44" i="34"/>
  <c r="G44" i="34" s="1"/>
  <c r="D42" i="34"/>
  <c r="G42" i="34" s="1"/>
  <c r="G16" i="34"/>
  <c r="I153" i="34"/>
  <c r="C31" i="25"/>
  <c r="G147" i="34"/>
  <c r="J146" i="34"/>
  <c r="O30" i="25"/>
  <c r="K30" i="25"/>
  <c r="M131" i="34"/>
  <c r="M130" i="34" s="1"/>
  <c r="G30" i="25"/>
  <c r="I122" i="34"/>
  <c r="G119" i="34"/>
  <c r="I123" i="34"/>
  <c r="I97" i="34"/>
  <c r="D110" i="34"/>
  <c r="G110" i="34" s="1"/>
  <c r="G97" i="34"/>
  <c r="I96" i="34"/>
  <c r="D111" i="34"/>
  <c r="G111" i="34" s="1"/>
  <c r="G98" i="34"/>
  <c r="H62" i="34"/>
  <c r="K51" i="34"/>
  <c r="G56" i="34"/>
  <c r="I57" i="34"/>
  <c r="I83" i="34"/>
  <c r="G83" i="34"/>
  <c r="I82" i="34"/>
  <c r="G84" i="34"/>
  <c r="I76" i="34"/>
  <c r="H70" i="34"/>
  <c r="C46" i="65"/>
  <c r="D11" i="57"/>
  <c r="K25" i="34"/>
  <c r="F43" i="34"/>
  <c r="I43" i="34" s="1"/>
  <c r="I17" i="34"/>
  <c r="I12" i="57"/>
  <c r="G11" i="57"/>
  <c r="F47" i="34"/>
  <c r="I47" i="34" s="1"/>
  <c r="I21" i="34"/>
  <c r="G21" i="57"/>
  <c r="I23" i="57"/>
  <c r="E23" i="57"/>
  <c r="G30" i="57"/>
  <c r="I32" i="57"/>
  <c r="E32" i="57"/>
  <c r="I18" i="57"/>
  <c r="E18" i="57"/>
  <c r="K20" i="59"/>
  <c r="L25" i="34"/>
  <c r="H34" i="34"/>
  <c r="J25" i="34"/>
  <c r="H35" i="34"/>
  <c r="E49" i="34"/>
  <c r="H49" i="34" s="1"/>
  <c r="H23" i="34"/>
  <c r="E46" i="34"/>
  <c r="H46" i="34" s="1"/>
  <c r="H20" i="34"/>
  <c r="H16" i="34"/>
  <c r="E42" i="34"/>
  <c r="H42" i="34" s="1"/>
  <c r="H14" i="34"/>
  <c r="E40" i="34"/>
  <c r="H40" i="34" s="1"/>
  <c r="M39" i="34"/>
  <c r="M38" i="34" s="1"/>
  <c r="M12" i="34"/>
  <c r="I157" i="34"/>
  <c r="H148" i="34"/>
  <c r="H31" i="25"/>
  <c r="G151" i="34"/>
  <c r="I156" i="34"/>
  <c r="H135" i="34"/>
  <c r="I128" i="34"/>
  <c r="M117" i="34"/>
  <c r="I121" i="34"/>
  <c r="I95" i="34"/>
  <c r="G95" i="34"/>
  <c r="D108" i="34"/>
  <c r="G108" i="34" s="1"/>
  <c r="G96" i="34"/>
  <c r="D109" i="34"/>
  <c r="G109" i="34" s="1"/>
  <c r="I55" i="34"/>
  <c r="G81" i="34"/>
  <c r="G82" i="34"/>
  <c r="I71" i="34"/>
  <c r="I65" i="34"/>
  <c r="I68" i="34"/>
  <c r="H21" i="48"/>
  <c r="E21" i="48"/>
  <c r="H20" i="52"/>
  <c r="J20" i="52"/>
  <c r="I20" i="52"/>
  <c r="G20" i="52"/>
  <c r="D17" i="52"/>
  <c r="H31" i="34"/>
  <c r="J39" i="34"/>
  <c r="J12" i="34"/>
  <c r="L38" i="59"/>
  <c r="I39" i="59"/>
  <c r="H27" i="34"/>
  <c r="F44" i="34"/>
  <c r="I44" i="34" s="1"/>
  <c r="I18" i="34"/>
  <c r="J45" i="34"/>
  <c r="K27" i="25" s="1"/>
  <c r="K26" i="25" s="1"/>
  <c r="M31" i="25"/>
  <c r="G154" i="34"/>
  <c r="R30" i="25"/>
  <c r="H141" i="34"/>
  <c r="I119" i="34"/>
  <c r="J117" i="34"/>
  <c r="C29" i="25"/>
  <c r="I93" i="34"/>
  <c r="G93" i="34"/>
  <c r="D106" i="34"/>
  <c r="G106" i="34" s="1"/>
  <c r="K91" i="34"/>
  <c r="K105" i="34"/>
  <c r="K104" i="34" s="1"/>
  <c r="D107" i="34"/>
  <c r="G107" i="34" s="1"/>
  <c r="G94" i="34"/>
  <c r="I52" i="34"/>
  <c r="I79" i="34"/>
  <c r="G79" i="34"/>
  <c r="K77" i="34"/>
  <c r="I78" i="34"/>
  <c r="G76" i="34"/>
  <c r="E10" i="49"/>
  <c r="L10" i="49" s="1"/>
  <c r="L11" i="49"/>
  <c r="C12" i="57"/>
  <c r="K12" i="50"/>
  <c r="L12" i="34"/>
  <c r="L39" i="34"/>
  <c r="L38" i="34" s="1"/>
  <c r="D23" i="57"/>
  <c r="D21" i="57" s="1"/>
  <c r="H21" i="57"/>
  <c r="H20" i="57" s="1"/>
  <c r="E50" i="34"/>
  <c r="H50" i="34" s="1"/>
  <c r="H24" i="34"/>
  <c r="J46" i="34"/>
  <c r="M27" i="25"/>
  <c r="F31" i="25"/>
  <c r="G149" i="34"/>
  <c r="K13" i="51"/>
  <c r="S13" i="51"/>
  <c r="S11" i="51" s="1"/>
  <c r="Q11" i="51"/>
  <c r="Q10" i="51" s="1"/>
  <c r="L43" i="59"/>
  <c r="I44" i="59"/>
  <c r="I32" i="34"/>
  <c r="I14" i="34"/>
  <c r="F40" i="34"/>
  <c r="I40" i="34" s="1"/>
  <c r="E45" i="34"/>
  <c r="H45" i="34" s="1"/>
  <c r="H19" i="34"/>
  <c r="H147" i="34"/>
  <c r="I30" i="34"/>
  <c r="H26" i="34"/>
  <c r="I31" i="34"/>
  <c r="E41" i="34"/>
  <c r="H41" i="34" s="1"/>
  <c r="H15" i="34"/>
  <c r="J42" i="34"/>
  <c r="G27" i="25"/>
  <c r="D50" i="34"/>
  <c r="G50" i="34" s="1"/>
  <c r="G24" i="34"/>
  <c r="L146" i="34"/>
  <c r="H151" i="34"/>
  <c r="H136" i="34"/>
  <c r="U29" i="25"/>
  <c r="R29" i="25"/>
  <c r="J116" i="34"/>
  <c r="U28" i="25"/>
  <c r="E116" i="34"/>
  <c r="H116" i="34" s="1"/>
  <c r="H103" i="34"/>
  <c r="J115" i="34"/>
  <c r="T28" i="25"/>
  <c r="E115" i="34"/>
  <c r="H115" i="34" s="1"/>
  <c r="H102" i="34"/>
  <c r="L77" i="34"/>
  <c r="H88" i="34"/>
  <c r="I73" i="34"/>
  <c r="G71" i="34"/>
  <c r="H74" i="34"/>
  <c r="C29" i="57"/>
  <c r="E10" i="51"/>
  <c r="J14" i="49"/>
  <c r="G14" i="49"/>
  <c r="I14" i="49"/>
  <c r="H14" i="49"/>
  <c r="K14" i="49"/>
  <c r="D11" i="49"/>
  <c r="E10" i="50"/>
  <c r="K10" i="50" s="1"/>
  <c r="K11" i="50"/>
  <c r="K13" i="59"/>
  <c r="H14" i="59"/>
  <c r="L13" i="59"/>
  <c r="I14" i="59"/>
  <c r="H37" i="34"/>
  <c r="E39" i="34"/>
  <c r="H39" i="34" s="1"/>
  <c r="H13" i="34"/>
  <c r="H21" i="34"/>
  <c r="E47" i="34"/>
  <c r="H47" i="34" s="1"/>
  <c r="G31" i="25"/>
  <c r="G150" i="34"/>
  <c r="I155" i="34"/>
  <c r="U31" i="25"/>
  <c r="G158" i="34"/>
  <c r="U30" i="25"/>
  <c r="H143" i="34"/>
  <c r="H138" i="34"/>
  <c r="O29" i="25"/>
  <c r="G127" i="34"/>
  <c r="M29" i="25"/>
  <c r="H127" i="34"/>
  <c r="J114" i="34"/>
  <c r="R28" i="25" s="1"/>
  <c r="H101" i="34"/>
  <c r="E114" i="34"/>
  <c r="H114" i="34" s="1"/>
  <c r="J113" i="34"/>
  <c r="O28" i="25" s="1"/>
  <c r="H100" i="34"/>
  <c r="E113" i="34"/>
  <c r="H113" i="34" s="1"/>
  <c r="H58" i="34"/>
  <c r="H61" i="34"/>
  <c r="H87" i="34"/>
  <c r="H86" i="34"/>
  <c r="G75" i="34"/>
  <c r="M64" i="34"/>
  <c r="H69" i="34"/>
  <c r="I13" i="51"/>
  <c r="G13" i="51"/>
  <c r="H13" i="51"/>
  <c r="J13" i="51"/>
  <c r="D11" i="51"/>
  <c r="C23" i="47"/>
  <c r="J12" i="50"/>
  <c r="D11" i="50"/>
  <c r="F14" i="124"/>
  <c r="D14" i="124" s="1"/>
  <c r="K43" i="25" l="1"/>
  <c r="K39" i="25" s="1"/>
  <c r="K10" i="25"/>
  <c r="I11" i="57"/>
  <c r="D10" i="50"/>
  <c r="J10" i="50" s="1"/>
  <c r="J11" i="50"/>
  <c r="M26" i="25"/>
  <c r="K19" i="59"/>
  <c r="H20" i="59"/>
  <c r="M90" i="34"/>
  <c r="I26" i="25"/>
  <c r="U10" i="49"/>
  <c r="C12" i="47"/>
  <c r="J415" i="56"/>
  <c r="J423" i="56"/>
  <c r="J416" i="56" s="1"/>
  <c r="G427" i="56"/>
  <c r="F48" i="22"/>
  <c r="K11" i="34"/>
  <c r="K10" i="34" s="1"/>
  <c r="I13" i="57"/>
  <c r="E13" i="57"/>
  <c r="L37" i="59"/>
  <c r="I38" i="59"/>
  <c r="C47" i="109"/>
  <c r="C27" i="25"/>
  <c r="U26" i="25"/>
  <c r="J282" i="56"/>
  <c r="G307" i="56"/>
  <c r="G282" i="56" s="1"/>
  <c r="K50" i="59"/>
  <c r="H51" i="59"/>
  <c r="I31" i="47"/>
  <c r="E30" i="47"/>
  <c r="E50" i="109" s="1"/>
  <c r="E50" i="65" s="1"/>
  <c r="P49" i="70" s="1"/>
  <c r="Q49" i="70" s="1"/>
  <c r="F11" i="57"/>
  <c r="C10" i="127"/>
  <c r="L50" i="59"/>
  <c r="I51" i="59"/>
  <c r="K11" i="51"/>
  <c r="F21" i="57"/>
  <c r="D20" i="57"/>
  <c r="F20" i="57" s="1"/>
  <c r="J38" i="34"/>
  <c r="J11" i="34" s="1"/>
  <c r="I30" i="57"/>
  <c r="E19" i="47" s="1"/>
  <c r="E30" i="57"/>
  <c r="L32" i="59"/>
  <c r="I33" i="59"/>
  <c r="K32" i="59"/>
  <c r="H33" i="59"/>
  <c r="G11" i="51"/>
  <c r="H11" i="51"/>
  <c r="I11" i="51"/>
  <c r="D10" i="51"/>
  <c r="J11" i="51"/>
  <c r="G26" i="25"/>
  <c r="L12" i="59"/>
  <c r="I13" i="59"/>
  <c r="K10" i="51"/>
  <c r="L42" i="59"/>
  <c r="I42" i="59" s="1"/>
  <c r="I43" i="59"/>
  <c r="D45" i="70"/>
  <c r="E45" i="70" s="1"/>
  <c r="T26" i="25"/>
  <c r="L19" i="59"/>
  <c r="I19" i="59" s="1"/>
  <c r="I20" i="59"/>
  <c r="G17" i="52"/>
  <c r="H17" i="52"/>
  <c r="J17" i="52"/>
  <c r="I17" i="52"/>
  <c r="D11" i="52"/>
  <c r="E10" i="52"/>
  <c r="K10" i="52" s="1"/>
  <c r="K11" i="52"/>
  <c r="D10" i="49"/>
  <c r="H11" i="49"/>
  <c r="I11" i="49"/>
  <c r="K11" i="49"/>
  <c r="G11" i="49"/>
  <c r="J11" i="49"/>
  <c r="I29" i="57"/>
  <c r="D29" i="57"/>
  <c r="D28" i="57" s="1"/>
  <c r="F28" i="57" s="1"/>
  <c r="H28" i="57"/>
  <c r="I28" i="57" s="1"/>
  <c r="G20" i="57"/>
  <c r="I21" i="57"/>
  <c r="E21" i="57"/>
  <c r="F50" i="22"/>
  <c r="C28" i="25"/>
  <c r="F47" i="22" s="1"/>
  <c r="J281" i="56"/>
  <c r="J302" i="56"/>
  <c r="G306" i="56"/>
  <c r="G281" i="56" s="1"/>
  <c r="I32" i="47"/>
  <c r="C30" i="47"/>
  <c r="K43" i="59"/>
  <c r="H44" i="59"/>
  <c r="K12" i="59"/>
  <c r="H13" i="59"/>
  <c r="E12" i="57"/>
  <c r="C11" i="57"/>
  <c r="K90" i="34"/>
  <c r="K37" i="59"/>
  <c r="H38" i="59"/>
  <c r="H26" i="25"/>
  <c r="O26" i="25"/>
  <c r="D26" i="25"/>
  <c r="E29" i="57"/>
  <c r="C28" i="57"/>
  <c r="E28" i="57" s="1"/>
  <c r="L11" i="34"/>
  <c r="L10" i="34" s="1"/>
  <c r="S10" i="51"/>
  <c r="C18" i="47"/>
  <c r="M11" i="34"/>
  <c r="M10" i="34" s="1"/>
  <c r="R26" i="25"/>
  <c r="G10" i="53"/>
  <c r="I10" i="53"/>
  <c r="H10" i="53"/>
  <c r="J10" i="53"/>
  <c r="J104" i="34"/>
  <c r="J90" i="34" s="1"/>
  <c r="F26" i="25"/>
  <c r="F49" i="22"/>
  <c r="G10" i="126"/>
  <c r="H10" i="126"/>
  <c r="C30" i="128"/>
  <c r="C67" i="109"/>
  <c r="C11" i="126"/>
  <c r="F16" i="124"/>
  <c r="D16" i="124" s="1"/>
  <c r="F11" i="126" l="1"/>
  <c r="F10" i="126" s="1"/>
  <c r="D12" i="1" s="1"/>
  <c r="D23" i="73"/>
  <c r="E23" i="73" s="1"/>
  <c r="O48" i="22"/>
  <c r="D13" i="47"/>
  <c r="H19" i="59"/>
  <c r="J295" i="56"/>
  <c r="J277" i="56"/>
  <c r="G302" i="56"/>
  <c r="R43" i="25"/>
  <c r="R39" i="25" s="1"/>
  <c r="R10" i="25"/>
  <c r="D18" i="47"/>
  <c r="H37" i="59"/>
  <c r="T10" i="25"/>
  <c r="T43" i="25"/>
  <c r="T39" i="25" s="1"/>
  <c r="G415" i="56"/>
  <c r="G423" i="56"/>
  <c r="M43" i="25"/>
  <c r="M39" i="25" s="1"/>
  <c r="M10" i="25"/>
  <c r="K49" i="59"/>
  <c r="H50" i="59"/>
  <c r="O47" i="22"/>
  <c r="D22" i="73"/>
  <c r="E22" i="73" s="1"/>
  <c r="L49" i="59"/>
  <c r="I50" i="59"/>
  <c r="U43" i="25"/>
  <c r="U39" i="25" s="1"/>
  <c r="U10" i="25"/>
  <c r="C66" i="65"/>
  <c r="O67" i="109"/>
  <c r="C17" i="47"/>
  <c r="I18" i="47"/>
  <c r="E11" i="57"/>
  <c r="C10" i="57"/>
  <c r="D25" i="73"/>
  <c r="E25" i="73" s="1"/>
  <c r="O50" i="22"/>
  <c r="I10" i="49"/>
  <c r="H10" i="49"/>
  <c r="G10" i="49"/>
  <c r="J10" i="49"/>
  <c r="K10" i="49"/>
  <c r="F45" i="70"/>
  <c r="C26" i="25"/>
  <c r="C43" i="25" s="1"/>
  <c r="F46" i="22"/>
  <c r="J411" i="56"/>
  <c r="J404" i="56" s="1"/>
  <c r="J331" i="56"/>
  <c r="J327" i="56" s="1"/>
  <c r="J320" i="56" s="1"/>
  <c r="D22" i="47" s="1"/>
  <c r="I22" i="47" s="1"/>
  <c r="D10" i="25"/>
  <c r="D43" i="25"/>
  <c r="D39" i="25" s="1"/>
  <c r="G10" i="51"/>
  <c r="I10" i="51"/>
  <c r="H10" i="51"/>
  <c r="J10" i="51"/>
  <c r="K31" i="59"/>
  <c r="H32" i="59"/>
  <c r="N11" i="50"/>
  <c r="H12" i="50"/>
  <c r="C10" i="126"/>
  <c r="E10" i="126" s="1"/>
  <c r="E11" i="126"/>
  <c r="K42" i="59"/>
  <c r="K36" i="59" s="1"/>
  <c r="H36" i="59" s="1"/>
  <c r="H43" i="59"/>
  <c r="C47" i="65"/>
  <c r="M11" i="50"/>
  <c r="O12" i="50"/>
  <c r="G12" i="50"/>
  <c r="H43" i="25"/>
  <c r="H39" i="25" s="1"/>
  <c r="H10" i="25"/>
  <c r="C23" i="128"/>
  <c r="C21" i="128" s="1"/>
  <c r="C10" i="128" s="1"/>
  <c r="G11" i="124"/>
  <c r="F13" i="124"/>
  <c r="O49" i="22"/>
  <c r="D24" i="73"/>
  <c r="E24" i="73" s="1"/>
  <c r="K11" i="59"/>
  <c r="D12" i="47"/>
  <c r="D11" i="47" s="1"/>
  <c r="H12" i="59"/>
  <c r="I20" i="57"/>
  <c r="E20" i="57"/>
  <c r="J11" i="52"/>
  <c r="H11" i="52"/>
  <c r="G11" i="52"/>
  <c r="D10" i="52"/>
  <c r="I11" i="52"/>
  <c r="L31" i="59"/>
  <c r="I32" i="59"/>
  <c r="C11" i="47"/>
  <c r="I12" i="47"/>
  <c r="F10" i="25"/>
  <c r="F43" i="25"/>
  <c r="F39" i="25" s="1"/>
  <c r="L11" i="59"/>
  <c r="I12" i="59"/>
  <c r="R49" i="70"/>
  <c r="E18" i="47"/>
  <c r="L36" i="59"/>
  <c r="I36" i="59" s="1"/>
  <c r="I37" i="59"/>
  <c r="I10" i="25"/>
  <c r="I43" i="25"/>
  <c r="I39" i="25" s="1"/>
  <c r="I30" i="47"/>
  <c r="C50" i="109"/>
  <c r="G43" i="25"/>
  <c r="G39" i="25" s="1"/>
  <c r="G10" i="25"/>
  <c r="J10" i="34"/>
  <c r="E17" i="47"/>
  <c r="E45" i="109" s="1"/>
  <c r="E45" i="65" s="1"/>
  <c r="P44" i="70" s="1"/>
  <c r="Q44" i="70" s="1"/>
  <c r="O10" i="25"/>
  <c r="O43" i="25"/>
  <c r="O39" i="25" s="1"/>
  <c r="E13" i="47"/>
  <c r="E12" i="47"/>
  <c r="E11" i="47" s="1"/>
  <c r="F18" i="124"/>
  <c r="F22" i="73" l="1"/>
  <c r="F25" i="73"/>
  <c r="F45" i="22"/>
  <c r="O46" i="22"/>
  <c r="D21" i="73"/>
  <c r="E21" i="73" s="1"/>
  <c r="K48" i="59"/>
  <c r="H48" i="59" s="1"/>
  <c r="H49" i="59"/>
  <c r="R44" i="70"/>
  <c r="I11" i="59"/>
  <c r="N10" i="50"/>
  <c r="H10" i="50" s="1"/>
  <c r="H11" i="50"/>
  <c r="W43" i="25"/>
  <c r="J270" i="56"/>
  <c r="J269" i="56" s="1"/>
  <c r="J10" i="56" s="1"/>
  <c r="G277" i="56"/>
  <c r="J10" i="52"/>
  <c r="G10" i="52"/>
  <c r="H10" i="52"/>
  <c r="I10" i="52"/>
  <c r="S12" i="50"/>
  <c r="S11" i="50" s="1"/>
  <c r="O11" i="50"/>
  <c r="I12" i="50"/>
  <c r="C45" i="109"/>
  <c r="D13" i="124"/>
  <c r="D11" i="124" s="1"/>
  <c r="F11" i="124"/>
  <c r="D18" i="124"/>
  <c r="D17" i="124" s="1"/>
  <c r="F17" i="124"/>
  <c r="G17" i="124" s="1"/>
  <c r="G10" i="124" s="1"/>
  <c r="C29" i="47" s="1"/>
  <c r="D16" i="47"/>
  <c r="K25" i="59"/>
  <c r="H25" i="59" s="1"/>
  <c r="H31" i="59"/>
  <c r="L48" i="59"/>
  <c r="I48" i="59" s="1"/>
  <c r="E21" i="47"/>
  <c r="E20" i="47" s="1"/>
  <c r="E46" i="109" s="1"/>
  <c r="E46" i="65" s="1"/>
  <c r="P45" i="70" s="1"/>
  <c r="Q45" i="70" s="1"/>
  <c r="I49" i="59"/>
  <c r="C50" i="65"/>
  <c r="O50" i="109"/>
  <c r="C43" i="109"/>
  <c r="I11" i="47"/>
  <c r="D43" i="109"/>
  <c r="D43" i="65" s="1"/>
  <c r="J42" i="70" s="1"/>
  <c r="K42" i="70" s="1"/>
  <c r="D65" i="70"/>
  <c r="E65" i="70" s="1"/>
  <c r="K66" i="65"/>
  <c r="G411" i="56"/>
  <c r="G331" i="56"/>
  <c r="G327" i="56" s="1"/>
  <c r="I13" i="47"/>
  <c r="D46" i="70"/>
  <c r="E46" i="70" s="1"/>
  <c r="D19" i="47"/>
  <c r="I19" i="47" s="1"/>
  <c r="H42" i="59"/>
  <c r="E43" i="109"/>
  <c r="E43" i="65" s="1"/>
  <c r="P42" i="70" s="1"/>
  <c r="Q42" i="70" s="1"/>
  <c r="H11" i="59"/>
  <c r="F24" i="73"/>
  <c r="F23" i="73"/>
  <c r="M10" i="50"/>
  <c r="G10" i="50" s="1"/>
  <c r="G11" i="50"/>
  <c r="E16" i="47"/>
  <c r="E14" i="47" s="1"/>
  <c r="E44" i="109" s="1"/>
  <c r="E44" i="65" s="1"/>
  <c r="P43" i="70" s="1"/>
  <c r="Q43" i="70" s="1"/>
  <c r="L25" i="59"/>
  <c r="I25" i="59" s="1"/>
  <c r="I31" i="59"/>
  <c r="D11" i="1"/>
  <c r="J12" i="1"/>
  <c r="C49" i="109" l="1"/>
  <c r="I29" i="47"/>
  <c r="F10" i="124"/>
  <c r="F21" i="73"/>
  <c r="C43" i="65"/>
  <c r="O43" i="109"/>
  <c r="D10" i="124"/>
  <c r="O45" i="22"/>
  <c r="F28" i="109"/>
  <c r="F46" i="70"/>
  <c r="C45" i="65"/>
  <c r="L42" i="70"/>
  <c r="D49" i="70"/>
  <c r="E49" i="70" s="1"/>
  <c r="K50" i="65"/>
  <c r="D21" i="47"/>
  <c r="R42" i="70"/>
  <c r="O10" i="50"/>
  <c r="I10" i="50" s="1"/>
  <c r="I11" i="50"/>
  <c r="C15" i="47"/>
  <c r="S10" i="50"/>
  <c r="D17" i="47"/>
  <c r="R43" i="70"/>
  <c r="R45" i="70"/>
  <c r="D52" i="109"/>
  <c r="J11" i="1"/>
  <c r="F65" i="70"/>
  <c r="D14" i="47"/>
  <c r="I16" i="47"/>
  <c r="D22" i="128" l="1"/>
  <c r="G10" i="127"/>
  <c r="E11" i="127"/>
  <c r="D52" i="65"/>
  <c r="O52" i="109"/>
  <c r="D20" i="47"/>
  <c r="I21" i="47"/>
  <c r="H21" i="128"/>
  <c r="E22" i="128"/>
  <c r="D42" i="70"/>
  <c r="E42" i="70" s="1"/>
  <c r="K43" i="65"/>
  <c r="D27" i="128"/>
  <c r="F49" i="70"/>
  <c r="H49" i="70"/>
  <c r="D22" i="1"/>
  <c r="F10" i="129"/>
  <c r="E22" i="1"/>
  <c r="E21" i="1" s="1"/>
  <c r="E55" i="109" s="1"/>
  <c r="E55" i="65" s="1"/>
  <c r="P54" i="70" s="1"/>
  <c r="Q54" i="70" s="1"/>
  <c r="G10" i="129"/>
  <c r="I21" i="128"/>
  <c r="F22" i="128"/>
  <c r="F28" i="65"/>
  <c r="K28" i="65" s="1"/>
  <c r="O28" i="109"/>
  <c r="F10" i="127"/>
  <c r="D11" i="127"/>
  <c r="D12" i="43"/>
  <c r="D44" i="109"/>
  <c r="D44" i="65" s="1"/>
  <c r="J43" i="70" s="1"/>
  <c r="K43" i="70" s="1"/>
  <c r="D45" i="109"/>
  <c r="I17" i="47"/>
  <c r="D44" i="70"/>
  <c r="E44" i="70" s="1"/>
  <c r="I15" i="47"/>
  <c r="C14" i="47"/>
  <c r="G30" i="128"/>
  <c r="D30" i="128" s="1"/>
  <c r="D31" i="128"/>
  <c r="F11" i="129"/>
  <c r="D23" i="1"/>
  <c r="J23" i="1" s="1"/>
  <c r="C49" i="65"/>
  <c r="O49" i="109"/>
  <c r="E11" i="43"/>
  <c r="F12" i="43"/>
  <c r="E36" i="38" s="1"/>
  <c r="J36" i="38" s="1"/>
  <c r="D11" i="46"/>
  <c r="E14" i="43"/>
  <c r="C46" i="38"/>
  <c r="E38" i="38"/>
  <c r="J38" i="38" s="1"/>
  <c r="E37" i="38"/>
  <c r="J37" i="38" s="1"/>
  <c r="E23" i="43"/>
  <c r="D12" i="46"/>
  <c r="E39" i="38"/>
  <c r="J39" i="38" s="1"/>
  <c r="L43" i="70" l="1"/>
  <c r="D21" i="1"/>
  <c r="J22" i="1"/>
  <c r="E21" i="128"/>
  <c r="H10" i="128"/>
  <c r="D48" i="70"/>
  <c r="E48" i="70" s="1"/>
  <c r="K49" i="65"/>
  <c r="E22" i="43"/>
  <c r="F21" i="43"/>
  <c r="E42" i="38" s="1"/>
  <c r="J42" i="38" s="1"/>
  <c r="E13" i="43"/>
  <c r="E12" i="43"/>
  <c r="D46" i="109"/>
  <c r="I20" i="47"/>
  <c r="D16" i="1"/>
  <c r="D10" i="127"/>
  <c r="E16" i="43"/>
  <c r="E18" i="43"/>
  <c r="D45" i="65"/>
  <c r="O45" i="109"/>
  <c r="C44" i="109"/>
  <c r="I14" i="47"/>
  <c r="C10" i="47"/>
  <c r="E17" i="43"/>
  <c r="J46" i="38"/>
  <c r="C39" i="109"/>
  <c r="G23" i="128"/>
  <c r="J51" i="70"/>
  <c r="K51" i="70" s="1"/>
  <c r="K52" i="65"/>
  <c r="E35" i="38"/>
  <c r="F10" i="43"/>
  <c r="F44" i="70"/>
  <c r="F21" i="128"/>
  <c r="I10" i="128"/>
  <c r="E16" i="1"/>
  <c r="E15" i="1" s="1"/>
  <c r="E10" i="127"/>
  <c r="E40" i="38"/>
  <c r="J40" i="38" s="1"/>
  <c r="E19" i="43"/>
  <c r="E10" i="46"/>
  <c r="C45" i="38" s="1"/>
  <c r="F42" i="70"/>
  <c r="R54" i="70"/>
  <c r="D13" i="46"/>
  <c r="C53" i="11"/>
  <c r="P22" i="12"/>
  <c r="K25" i="12"/>
  <c r="K15" i="12"/>
  <c r="K42" i="12"/>
  <c r="K19" i="12"/>
  <c r="K24" i="12"/>
  <c r="K26" i="12"/>
  <c r="F28" i="15"/>
  <c r="K16" i="12"/>
  <c r="K13" i="12"/>
  <c r="K40" i="12"/>
  <c r="P34" i="12"/>
  <c r="E50" i="15"/>
  <c r="K37" i="12"/>
  <c r="F13" i="33"/>
  <c r="E64" i="132" l="1"/>
  <c r="H64" i="132"/>
  <c r="C31" i="22" s="1"/>
  <c r="H47" i="15"/>
  <c r="G50" i="15"/>
  <c r="H50" i="15" s="1"/>
  <c r="Q47" i="12"/>
  <c r="F41" i="15"/>
  <c r="N13" i="12"/>
  <c r="P13" i="12" s="1"/>
  <c r="R13" i="12" s="1"/>
  <c r="S13" i="12" s="1"/>
  <c r="T13" i="12" s="1"/>
  <c r="L13" i="12"/>
  <c r="N16" i="12"/>
  <c r="P16" i="12" s="1"/>
  <c r="R16" i="12" s="1"/>
  <c r="S16" i="12" s="1"/>
  <c r="T16" i="12" s="1"/>
  <c r="L16" i="12"/>
  <c r="C42" i="109"/>
  <c r="H42" i="15"/>
  <c r="Q42" i="12"/>
  <c r="Q35" i="12"/>
  <c r="H35" i="15"/>
  <c r="L40" i="12"/>
  <c r="N40" i="12"/>
  <c r="P40" i="12" s="1"/>
  <c r="R40" i="12" s="1"/>
  <c r="S40" i="12" s="1"/>
  <c r="T40" i="12" s="1"/>
  <c r="C44" i="65"/>
  <c r="O44" i="109"/>
  <c r="E34" i="38"/>
  <c r="J35" i="38"/>
  <c r="H24" i="15"/>
  <c r="Q24" i="12"/>
  <c r="R24" i="12" s="1"/>
  <c r="S24" i="12" s="1"/>
  <c r="T24" i="12" s="1"/>
  <c r="K52" i="12"/>
  <c r="E31" i="15"/>
  <c r="H26" i="15"/>
  <c r="Q26" i="12"/>
  <c r="R26" i="12" s="1"/>
  <c r="S26" i="12" s="1"/>
  <c r="T26" i="12" s="1"/>
  <c r="H28" i="15"/>
  <c r="Q28" i="12"/>
  <c r="J44" i="70"/>
  <c r="K44" i="70" s="1"/>
  <c r="K45" i="65"/>
  <c r="F48" i="70"/>
  <c r="C13" i="25"/>
  <c r="C12" i="25" s="1"/>
  <c r="C11" i="25" s="1"/>
  <c r="G12" i="33"/>
  <c r="G11" i="33" s="1"/>
  <c r="G10" i="33" s="1"/>
  <c r="N26" i="12"/>
  <c r="P26" i="12" s="1"/>
  <c r="L26" i="12"/>
  <c r="Q41" i="12"/>
  <c r="H41" i="15"/>
  <c r="I50" i="15"/>
  <c r="F50" i="15" s="1"/>
  <c r="F47" i="15"/>
  <c r="K35" i="12"/>
  <c r="K28" i="12"/>
  <c r="I45" i="15"/>
  <c r="F35" i="15"/>
  <c r="C10" i="38"/>
  <c r="C38" i="109"/>
  <c r="J45" i="38"/>
  <c r="L51" i="70"/>
  <c r="D19" i="1"/>
  <c r="D18" i="1" s="1"/>
  <c r="D54" i="109" s="1"/>
  <c r="D54" i="65" s="1"/>
  <c r="J53" i="70" s="1"/>
  <c r="E10" i="128"/>
  <c r="Q22" i="12"/>
  <c r="G31" i="15"/>
  <c r="H22" i="15"/>
  <c r="N19" i="12"/>
  <c r="P19" i="12" s="1"/>
  <c r="R19" i="12" s="1"/>
  <c r="S19" i="12" s="1"/>
  <c r="T19" i="12" s="1"/>
  <c r="L19" i="12"/>
  <c r="H45" i="132"/>
  <c r="H42" i="132" s="1"/>
  <c r="H36" i="132"/>
  <c r="H35" i="132"/>
  <c r="C24" i="22" s="1"/>
  <c r="H39" i="132"/>
  <c r="C25" i="42"/>
  <c r="G45" i="15"/>
  <c r="H45" i="15" s="1"/>
  <c r="Q34" i="12"/>
  <c r="H34" i="15"/>
  <c r="D23" i="128"/>
  <c r="G21" i="128"/>
  <c r="Q37" i="12"/>
  <c r="H37" i="15"/>
  <c r="F26" i="15"/>
  <c r="I31" i="15"/>
  <c r="L15" i="12"/>
  <c r="N15" i="12"/>
  <c r="P15" i="12" s="1"/>
  <c r="R15" i="12" s="1"/>
  <c r="S15" i="12" s="1"/>
  <c r="T15" i="12" s="1"/>
  <c r="K21" i="12"/>
  <c r="K20" i="12"/>
  <c r="L25" i="12"/>
  <c r="N25" i="12"/>
  <c r="P25" i="12" s="1"/>
  <c r="J16" i="1"/>
  <c r="D15" i="1"/>
  <c r="J21" i="1"/>
  <c r="D55" i="109"/>
  <c r="N24" i="12"/>
  <c r="P24" i="12" s="1"/>
  <c r="L24" i="12"/>
  <c r="F42" i="15"/>
  <c r="K41" i="12"/>
  <c r="E45" i="15"/>
  <c r="E55" i="15" s="1"/>
  <c r="E53" i="109"/>
  <c r="E53" i="65" s="1"/>
  <c r="P52" i="70" s="1"/>
  <c r="Q52" i="70" s="1"/>
  <c r="C39" i="65"/>
  <c r="O39" i="109"/>
  <c r="H25" i="15"/>
  <c r="Q25" i="12"/>
  <c r="K47" i="12"/>
  <c r="L37" i="12"/>
  <c r="N37" i="12"/>
  <c r="P37" i="12" s="1"/>
  <c r="K11" i="12"/>
  <c r="K17" i="12"/>
  <c r="L42" i="12"/>
  <c r="N42" i="12"/>
  <c r="P42" i="12" s="1"/>
  <c r="F10" i="128"/>
  <c r="E19" i="1"/>
  <c r="E18" i="1" s="1"/>
  <c r="E54" i="109" s="1"/>
  <c r="E54" i="65" s="1"/>
  <c r="P53" i="70" s="1"/>
  <c r="D46" i="65"/>
  <c r="O46" i="109"/>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J28" i="41"/>
  <c r="J27" i="41" s="1"/>
  <c r="J30" i="41"/>
  <c r="K28" i="41"/>
  <c r="K27" i="41" s="1"/>
  <c r="K30" i="41"/>
  <c r="R22" i="41"/>
  <c r="L28" i="41"/>
  <c r="L27" i="41" s="1"/>
  <c r="L30" i="41"/>
  <c r="O28" i="41"/>
  <c r="O27" i="41" s="1"/>
  <c r="Q28" i="41"/>
  <c r="Q27" i="41" s="1"/>
  <c r="N30" i="41"/>
  <c r="N48" i="41" s="1"/>
  <c r="N49" i="41" s="1"/>
  <c r="O30" i="41"/>
  <c r="O48" i="41" s="1"/>
  <c r="R33" i="41"/>
  <c r="Q30" i="41"/>
  <c r="G22" i="40"/>
  <c r="E22" i="41" s="1"/>
  <c r="G29" i="40"/>
  <c r="E29" i="41" s="1"/>
  <c r="G23" i="40"/>
  <c r="E23" i="41" s="1"/>
  <c r="G26" i="40"/>
  <c r="E26" i="41" s="1"/>
  <c r="G21" i="40"/>
  <c r="E21" i="41" s="1"/>
  <c r="J49" i="41"/>
  <c r="K49" i="41"/>
  <c r="L49" i="41"/>
  <c r="W47" i="41"/>
  <c r="V47" i="41"/>
  <c r="C23" i="10"/>
  <c r="C104" i="10"/>
  <c r="H98" i="132"/>
  <c r="C58" i="22" s="1"/>
  <c r="E31" i="38"/>
  <c r="J31" i="38" s="1"/>
  <c r="G28" i="39"/>
  <c r="G27" i="39" s="1"/>
  <c r="D19" i="38" s="1"/>
  <c r="J19" i="38" s="1"/>
  <c r="G45" i="39"/>
  <c r="K28" i="40"/>
  <c r="K27" i="40" s="1"/>
  <c r="D29" i="38" s="1"/>
  <c r="C22" i="22"/>
  <c r="O22" i="22" s="1"/>
  <c r="K20" i="40"/>
  <c r="K15" i="40" s="1"/>
  <c r="G25" i="39"/>
  <c r="G24" i="39" s="1"/>
  <c r="D18" i="38" s="1"/>
  <c r="J18" i="38" s="1"/>
  <c r="K25" i="40"/>
  <c r="K24" i="40" s="1"/>
  <c r="D28" i="38" s="1"/>
  <c r="J28" i="38" s="1"/>
  <c r="K45" i="40"/>
  <c r="X30" i="41"/>
  <c r="E30" i="38" s="1"/>
  <c r="Y17" i="25"/>
  <c r="Y16" i="25" s="1"/>
  <c r="Y41" i="25" l="1"/>
  <c r="Y39" i="25" s="1"/>
  <c r="Y10" i="25"/>
  <c r="C21" i="10"/>
  <c r="C30" i="10"/>
  <c r="C81" i="10"/>
  <c r="F32" i="39"/>
  <c r="C32" i="41"/>
  <c r="C32" i="40"/>
  <c r="J20" i="41"/>
  <c r="J15" i="41" s="1"/>
  <c r="J10" i="41" s="1"/>
  <c r="J48" i="41" s="1"/>
  <c r="O38" i="109"/>
  <c r="C38" i="65"/>
  <c r="D27" i="38"/>
  <c r="K10" i="40"/>
  <c r="F98" i="10"/>
  <c r="G98" i="10"/>
  <c r="C26" i="41"/>
  <c r="C25" i="41" s="1"/>
  <c r="C24" i="41" s="1"/>
  <c r="C25" i="39"/>
  <c r="C26" i="40"/>
  <c r="F26" i="39"/>
  <c r="F20" i="41"/>
  <c r="R21" i="41"/>
  <c r="D53" i="109"/>
  <c r="J15" i="1"/>
  <c r="D10" i="1"/>
  <c r="R37" i="12"/>
  <c r="S37" i="12" s="1"/>
  <c r="T37" i="12" s="1"/>
  <c r="C31" i="109"/>
  <c r="C40" i="25"/>
  <c r="C10" i="25"/>
  <c r="C42" i="65"/>
  <c r="C21" i="40"/>
  <c r="C15" i="39"/>
  <c r="C21" i="41"/>
  <c r="F21" i="39"/>
  <c r="F14" i="45"/>
  <c r="F10" i="45" s="1"/>
  <c r="J45" i="70"/>
  <c r="K45" i="70" s="1"/>
  <c r="K46" i="65"/>
  <c r="G10" i="128"/>
  <c r="D21" i="128"/>
  <c r="C22" i="10"/>
  <c r="G84" i="10"/>
  <c r="F84" i="10"/>
  <c r="C23" i="41"/>
  <c r="U23" i="41" s="1"/>
  <c r="C23" i="40"/>
  <c r="J23" i="40" s="1"/>
  <c r="F23" i="39"/>
  <c r="M20" i="41"/>
  <c r="M15" i="41" s="1"/>
  <c r="M10" i="41" s="1"/>
  <c r="R26" i="41"/>
  <c r="M25" i="41"/>
  <c r="K162" i="34"/>
  <c r="E73" i="132"/>
  <c r="D38" i="70"/>
  <c r="E38" i="70" s="1"/>
  <c r="K39" i="65"/>
  <c r="R25" i="12"/>
  <c r="S25" i="12" s="1"/>
  <c r="T25" i="12" s="1"/>
  <c r="F45" i="15"/>
  <c r="E33" i="38"/>
  <c r="J34" i="38"/>
  <c r="E10" i="1"/>
  <c r="E51" i="109" s="1"/>
  <c r="E51" i="65" s="1"/>
  <c r="P50" i="70" s="1"/>
  <c r="Q50" i="70" s="1"/>
  <c r="H31" i="15"/>
  <c r="G55" i="15"/>
  <c r="H55" i="15" s="1"/>
  <c r="L28" i="12"/>
  <c r="N28" i="12"/>
  <c r="P28" i="12" s="1"/>
  <c r="R28" i="12" s="1"/>
  <c r="S28" i="12" s="1"/>
  <c r="T28" i="12" s="1"/>
  <c r="X20" i="41"/>
  <c r="U21" i="41"/>
  <c r="C16" i="10"/>
  <c r="C22" i="40"/>
  <c r="J22" i="40" s="1"/>
  <c r="C22" i="41"/>
  <c r="F22" i="39"/>
  <c r="M45" i="41"/>
  <c r="R45" i="41" s="1"/>
  <c r="R46" i="41"/>
  <c r="E63" i="132"/>
  <c r="R52" i="70"/>
  <c r="L20" i="12"/>
  <c r="N20" i="12"/>
  <c r="P20" i="12" s="1"/>
  <c r="R20" i="12" s="1"/>
  <c r="S20" i="12" s="1"/>
  <c r="T20" i="12" s="1"/>
  <c r="R34" i="12"/>
  <c r="Q45" i="12"/>
  <c r="R22" i="12"/>
  <c r="S22" i="12" s="1"/>
  <c r="T22" i="12" s="1"/>
  <c r="Q31" i="12"/>
  <c r="N35" i="12"/>
  <c r="L35" i="12"/>
  <c r="L44" i="70"/>
  <c r="K44" i="65"/>
  <c r="D43" i="70"/>
  <c r="E43" i="70" s="1"/>
  <c r="R32" i="41"/>
  <c r="G20" i="39"/>
  <c r="G15" i="39" s="1"/>
  <c r="H48" i="57"/>
  <c r="D50" i="57"/>
  <c r="D48" i="57" s="1"/>
  <c r="F48" i="57" s="1"/>
  <c r="K39" i="40"/>
  <c r="K30" i="40" s="1"/>
  <c r="D30" i="38" s="1"/>
  <c r="J30" i="38" s="1"/>
  <c r="O58" i="22"/>
  <c r="C57" i="22"/>
  <c r="C27" i="10"/>
  <c r="C15" i="10" s="1"/>
  <c r="C26" i="10"/>
  <c r="F43" i="39"/>
  <c r="C43" i="40"/>
  <c r="C43" i="41"/>
  <c r="C39" i="41" s="1"/>
  <c r="C39" i="39"/>
  <c r="F39" i="39" s="1"/>
  <c r="L20" i="41"/>
  <c r="L15" i="41" s="1"/>
  <c r="L10" i="41" s="1"/>
  <c r="F25" i="33"/>
  <c r="F26" i="33"/>
  <c r="H164" i="34"/>
  <c r="F46" i="132"/>
  <c r="E46" i="132"/>
  <c r="N21" i="12"/>
  <c r="P21" i="12" s="1"/>
  <c r="R21" i="12" s="1"/>
  <c r="S21" i="12" s="1"/>
  <c r="T21" i="12" s="1"/>
  <c r="L21" i="12"/>
  <c r="E18" i="22"/>
  <c r="J22" i="132"/>
  <c r="I45" i="132"/>
  <c r="I42" i="132" s="1"/>
  <c r="I35" i="132"/>
  <c r="L66" i="59"/>
  <c r="I67" i="59"/>
  <c r="C38" i="40"/>
  <c r="J38" i="40" s="1"/>
  <c r="C38" i="41"/>
  <c r="U38" i="41" s="1"/>
  <c r="I30" i="41"/>
  <c r="R38" i="41"/>
  <c r="F27" i="45"/>
  <c r="N17" i="12"/>
  <c r="P17" i="12" s="1"/>
  <c r="R17" i="12" s="1"/>
  <c r="S17" i="12" s="1"/>
  <c r="T17" i="12" s="1"/>
  <c r="L17" i="12"/>
  <c r="L41" i="12"/>
  <c r="N41" i="12"/>
  <c r="P41" i="12" s="1"/>
  <c r="Q50" i="12"/>
  <c r="C45" i="39"/>
  <c r="F45" i="39" s="1"/>
  <c r="C46" i="40"/>
  <c r="F46" i="39"/>
  <c r="C46" i="41"/>
  <c r="C45" i="41" s="1"/>
  <c r="AJ34" i="25"/>
  <c r="AJ33" i="25" s="1"/>
  <c r="AJ44" i="25" s="1"/>
  <c r="J162" i="34"/>
  <c r="I53" i="22"/>
  <c r="C30" i="22"/>
  <c r="X28" i="41"/>
  <c r="H72" i="132"/>
  <c r="C36" i="22"/>
  <c r="G69" i="10"/>
  <c r="C29" i="10"/>
  <c r="F69" i="10"/>
  <c r="C68" i="10"/>
  <c r="C60" i="10" s="1"/>
  <c r="C40" i="10"/>
  <c r="C36" i="40"/>
  <c r="J36" i="40" s="1"/>
  <c r="C36" i="41"/>
  <c r="F36" i="39"/>
  <c r="F37" i="39"/>
  <c r="C37" i="40"/>
  <c r="J37" i="40" s="1"/>
  <c r="C37" i="41"/>
  <c r="G164" i="34"/>
  <c r="G23" i="132"/>
  <c r="E23" i="132"/>
  <c r="F23" i="132"/>
  <c r="L11" i="12"/>
  <c r="N11" i="12"/>
  <c r="I54" i="22"/>
  <c r="AJ35" i="25"/>
  <c r="C17" i="22"/>
  <c r="C102" i="10"/>
  <c r="C105" i="10"/>
  <c r="Q49" i="41"/>
  <c r="C34" i="41"/>
  <c r="F34" i="39"/>
  <c r="C34" i="40"/>
  <c r="J34" i="40" s="1"/>
  <c r="R23" i="41"/>
  <c r="R43" i="41"/>
  <c r="F21" i="45"/>
  <c r="G24" i="132"/>
  <c r="R41" i="12"/>
  <c r="S41" i="12" s="1"/>
  <c r="T41" i="12" s="1"/>
  <c r="F120" i="10"/>
  <c r="C103" i="10"/>
  <c r="G120" i="10"/>
  <c r="C112" i="10"/>
  <c r="C111" i="10" s="1"/>
  <c r="C100" i="10"/>
  <c r="C35" i="41"/>
  <c r="F35" i="39"/>
  <c r="C35" i="40"/>
  <c r="J35" i="40" s="1"/>
  <c r="K20" i="41"/>
  <c r="K15" i="41" s="1"/>
  <c r="K10" i="41" s="1"/>
  <c r="K48" i="41" s="1"/>
  <c r="G24" i="33"/>
  <c r="G23" i="33" s="1"/>
  <c r="G22" i="33" s="1"/>
  <c r="X17" i="25"/>
  <c r="X16" i="25" s="1"/>
  <c r="G39" i="39"/>
  <c r="G30" i="39" s="1"/>
  <c r="D20" i="38" s="1"/>
  <c r="J20" i="38" s="1"/>
  <c r="C96" i="10"/>
  <c r="C88" i="10" s="1"/>
  <c r="C12" i="10"/>
  <c r="F33" i="39"/>
  <c r="C33" i="40"/>
  <c r="J33" i="40" s="1"/>
  <c r="C33" i="41"/>
  <c r="Q48" i="41"/>
  <c r="L48" i="41"/>
  <c r="I55" i="15"/>
  <c r="F55" i="15" s="1"/>
  <c r="F31" i="15"/>
  <c r="R42" i="12"/>
  <c r="S42" i="12" s="1"/>
  <c r="T42" i="12" s="1"/>
  <c r="I31" i="22"/>
  <c r="AJ18" i="25"/>
  <c r="AJ16" i="25" s="1"/>
  <c r="C50" i="10"/>
  <c r="C29" i="41"/>
  <c r="C28" i="41" s="1"/>
  <c r="C27" i="41" s="1"/>
  <c r="C28" i="39"/>
  <c r="F29" i="39"/>
  <c r="C29" i="40"/>
  <c r="F28" i="41"/>
  <c r="R29" i="41"/>
  <c r="N47" i="12"/>
  <c r="L47" i="12"/>
  <c r="D55" i="65"/>
  <c r="O55" i="109"/>
  <c r="L52" i="12"/>
  <c r="N52" i="12"/>
  <c r="C99" i="11"/>
  <c r="D16" i="20"/>
  <c r="C10" i="20"/>
  <c r="G24" i="114"/>
  <c r="E38" i="7"/>
  <c r="F23" i="114"/>
  <c r="G26" i="114"/>
  <c r="G23" i="114"/>
  <c r="F26" i="114"/>
  <c r="G14" i="114"/>
  <c r="F25" i="114"/>
  <c r="F38" i="114"/>
  <c r="G30" i="114"/>
  <c r="G38" i="114"/>
  <c r="G11" i="114"/>
  <c r="F11" i="16"/>
  <c r="I27" i="114"/>
  <c r="J27" i="114"/>
  <c r="H38" i="114"/>
  <c r="F24" i="114"/>
  <c r="C10" i="16"/>
  <c r="E35" i="114"/>
  <c r="H35" i="114" s="1"/>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N62" i="109" l="1"/>
  <c r="K38" i="65"/>
  <c r="D37" i="70"/>
  <c r="E37" i="70" s="1"/>
  <c r="H30" i="8"/>
  <c r="F36" i="10"/>
  <c r="I26" i="10"/>
  <c r="F33" i="10"/>
  <c r="I23" i="10"/>
  <c r="F23" i="10" s="1"/>
  <c r="E36" i="10"/>
  <c r="H26" i="10"/>
  <c r="J119" i="9"/>
  <c r="J118" i="9" s="1"/>
  <c r="N54" i="12"/>
  <c r="C13" i="13" s="1"/>
  <c r="D13" i="13" s="1"/>
  <c r="P52" i="12"/>
  <c r="F28" i="39"/>
  <c r="C27" i="39"/>
  <c r="F27" i="39" s="1"/>
  <c r="H52" i="132"/>
  <c r="E35" i="109"/>
  <c r="J33" i="38"/>
  <c r="C20" i="41"/>
  <c r="C15" i="41" s="1"/>
  <c r="C10" i="41" s="1"/>
  <c r="D53" i="65"/>
  <c r="O53" i="109"/>
  <c r="G121" i="10"/>
  <c r="J104" i="10"/>
  <c r="G104" i="10" s="1"/>
  <c r="I102" i="9"/>
  <c r="H61" i="9"/>
  <c r="H67" i="9"/>
  <c r="H60" i="9"/>
  <c r="G37" i="114"/>
  <c r="J36" i="114"/>
  <c r="K10" i="114"/>
  <c r="E43" i="7" s="1"/>
  <c r="H11" i="114"/>
  <c r="C99" i="10"/>
  <c r="M39" i="41"/>
  <c r="V28" i="73"/>
  <c r="W28" i="73" s="1"/>
  <c r="O54" i="22"/>
  <c r="C27" i="22"/>
  <c r="L65" i="59"/>
  <c r="I66" i="59"/>
  <c r="D17" i="38"/>
  <c r="G10" i="39"/>
  <c r="S34" i="12"/>
  <c r="T34" i="12" s="1"/>
  <c r="C10" i="39"/>
  <c r="F10" i="39" s="1"/>
  <c r="F15" i="39"/>
  <c r="H50" i="10"/>
  <c r="E51" i="10"/>
  <c r="G31" i="10"/>
  <c r="J21" i="10"/>
  <c r="K66" i="59"/>
  <c r="H67" i="59"/>
  <c r="K36" i="114"/>
  <c r="K31" i="114" s="1"/>
  <c r="E45" i="7" s="1"/>
  <c r="H37" i="114"/>
  <c r="J52" i="9"/>
  <c r="E22" i="7" s="1"/>
  <c r="I36" i="114"/>
  <c r="F37" i="114"/>
  <c r="K21" i="114"/>
  <c r="E44" i="7" s="1"/>
  <c r="H22" i="114"/>
  <c r="P11" i="12"/>
  <c r="N31" i="12"/>
  <c r="I22" i="132"/>
  <c r="D24" i="22"/>
  <c r="C20" i="40"/>
  <c r="J21" i="40"/>
  <c r="R20" i="41"/>
  <c r="R15" i="41" s="1"/>
  <c r="R10" i="41" s="1"/>
  <c r="F15" i="41"/>
  <c r="F10" i="41" s="1"/>
  <c r="C30" i="39"/>
  <c r="F30" i="39" s="1"/>
  <c r="U28" i="41"/>
  <c r="X27" i="41"/>
  <c r="H100" i="10"/>
  <c r="E113" i="10"/>
  <c r="H112" i="10"/>
  <c r="H111" i="10" s="1"/>
  <c r="J61" i="9"/>
  <c r="J60" i="9"/>
  <c r="J67" i="9"/>
  <c r="H25" i="8"/>
  <c r="J40" i="10"/>
  <c r="G41" i="10"/>
  <c r="E69" i="10"/>
  <c r="H68" i="10"/>
  <c r="H60" i="10" s="1"/>
  <c r="H29" i="10"/>
  <c r="I104" i="10"/>
  <c r="F104" i="10" s="1"/>
  <c r="F121" i="10"/>
  <c r="I30" i="10"/>
  <c r="I21" i="10"/>
  <c r="I11" i="10" s="1"/>
  <c r="F31" i="10"/>
  <c r="H31" i="9"/>
  <c r="C19" i="7" s="1"/>
  <c r="H45" i="9"/>
  <c r="C21" i="7" s="1"/>
  <c r="H81" i="9"/>
  <c r="J25" i="8"/>
  <c r="I26" i="8"/>
  <c r="D47" i="57"/>
  <c r="D46" i="57" s="1"/>
  <c r="H46" i="57"/>
  <c r="H10" i="57" s="1"/>
  <c r="E41" i="10"/>
  <c r="H40" i="10"/>
  <c r="D13" i="16"/>
  <c r="D14" i="16"/>
  <c r="E15" i="19"/>
  <c r="C49" i="7" s="1"/>
  <c r="E27" i="19"/>
  <c r="E25" i="19" s="1"/>
  <c r="E28" i="19" s="1"/>
  <c r="J54" i="70"/>
  <c r="K54" i="70" s="1"/>
  <c r="K55" i="65"/>
  <c r="AJ41" i="25"/>
  <c r="AJ39" i="25" s="1"/>
  <c r="AJ10" i="25"/>
  <c r="J32" i="40"/>
  <c r="J26" i="10"/>
  <c r="G36" i="10"/>
  <c r="E19" i="109"/>
  <c r="E19" i="65" s="1"/>
  <c r="P19" i="70" s="1"/>
  <c r="Q19" i="70" s="1"/>
  <c r="E33" i="10"/>
  <c r="H23" i="10"/>
  <c r="E23" i="10" s="1"/>
  <c r="F82" i="10"/>
  <c r="I81" i="10"/>
  <c r="D27" i="7" s="1"/>
  <c r="I62" i="8"/>
  <c r="G48" i="57"/>
  <c r="I50" i="57"/>
  <c r="E50" i="57"/>
  <c r="J43" i="40"/>
  <c r="F43" i="70"/>
  <c r="D41" i="70"/>
  <c r="E41" i="70" s="1"/>
  <c r="C25" i="40"/>
  <c r="J26" i="40"/>
  <c r="C30" i="41"/>
  <c r="U30" i="41" s="1"/>
  <c r="O17" i="22"/>
  <c r="C16" i="22"/>
  <c r="G61" i="10"/>
  <c r="J60" i="10"/>
  <c r="G35" i="114"/>
  <c r="J32" i="114"/>
  <c r="J31" i="114" s="1"/>
  <c r="D45" i="7" s="1"/>
  <c r="V14" i="73"/>
  <c r="I27" i="22"/>
  <c r="E12" i="10"/>
  <c r="G12" i="10"/>
  <c r="F12" i="10"/>
  <c r="F103" i="10"/>
  <c r="G103" i="10"/>
  <c r="O53" i="22"/>
  <c r="V27" i="73"/>
  <c r="W27" i="73" s="1"/>
  <c r="I52" i="22"/>
  <c r="F38" i="70"/>
  <c r="I60" i="10"/>
  <c r="F61" i="10"/>
  <c r="H30" i="10"/>
  <c r="H21" i="10"/>
  <c r="E31" i="10"/>
  <c r="H119" i="9"/>
  <c r="H118" i="9" s="1"/>
  <c r="J65" i="9"/>
  <c r="J12" i="9"/>
  <c r="H38" i="9"/>
  <c r="C20" i="7" s="1"/>
  <c r="I47" i="57"/>
  <c r="E24" i="47" s="1"/>
  <c r="I24" i="47" s="1"/>
  <c r="E47" i="57"/>
  <c r="J38" i="9"/>
  <c r="E20" i="7" s="1"/>
  <c r="E34" i="22"/>
  <c r="E27" i="22" s="1"/>
  <c r="E25" i="109" s="1"/>
  <c r="E25" i="65" s="1"/>
  <c r="P25" i="70" s="1"/>
  <c r="Q25" i="70" s="1"/>
  <c r="J52" i="132"/>
  <c r="E15" i="16"/>
  <c r="G12" i="114"/>
  <c r="G22" i="114"/>
  <c r="F14" i="114"/>
  <c r="N50" i="12"/>
  <c r="C12" i="13" s="1"/>
  <c r="D12" i="13" s="1"/>
  <c r="P47" i="12"/>
  <c r="O31" i="22"/>
  <c r="O18" i="22"/>
  <c r="E16" i="22"/>
  <c r="X15" i="41"/>
  <c r="U20" i="41"/>
  <c r="D10" i="128"/>
  <c r="C19" i="1"/>
  <c r="C24" i="39"/>
  <c r="F24" i="39" s="1"/>
  <c r="F25" i="39"/>
  <c r="J102" i="9"/>
  <c r="F41" i="10"/>
  <c r="I40" i="10"/>
  <c r="G97" i="10"/>
  <c r="J96" i="10"/>
  <c r="J14" i="10" s="1"/>
  <c r="G17" i="10"/>
  <c r="J16" i="10"/>
  <c r="E25" i="7" s="1"/>
  <c r="J11" i="9"/>
  <c r="J17" i="9"/>
  <c r="E17" i="7" s="1"/>
  <c r="H95" i="9"/>
  <c r="J24" i="9"/>
  <c r="E18" i="7" s="1"/>
  <c r="I27" i="8"/>
  <c r="J66" i="8"/>
  <c r="I65" i="9"/>
  <c r="E12" i="16"/>
  <c r="G11" i="16"/>
  <c r="D19" i="16"/>
  <c r="F18" i="16"/>
  <c r="D18" i="16" s="1"/>
  <c r="C16" i="19"/>
  <c r="D16" i="19" s="1"/>
  <c r="L24" i="114"/>
  <c r="L21" i="114" s="1"/>
  <c r="C11" i="19"/>
  <c r="E23" i="19"/>
  <c r="E29" i="19" s="1"/>
  <c r="C58" i="7"/>
  <c r="C17" i="19"/>
  <c r="G29" i="10"/>
  <c r="C28" i="10"/>
  <c r="C14" i="10" s="1"/>
  <c r="C10" i="10" s="1"/>
  <c r="F29" i="10"/>
  <c r="C13" i="10"/>
  <c r="C39" i="25"/>
  <c r="W40" i="25"/>
  <c r="I102" i="10"/>
  <c r="F102" i="10" s="1"/>
  <c r="F108" i="10"/>
  <c r="I105" i="10"/>
  <c r="I81" i="9"/>
  <c r="F20" i="45"/>
  <c r="J81" i="10"/>
  <c r="E27" i="7" s="1"/>
  <c r="G82" i="10"/>
  <c r="I38" i="9"/>
  <c r="D20" i="7" s="1"/>
  <c r="J81" i="9"/>
  <c r="F97" i="10"/>
  <c r="I96" i="10"/>
  <c r="I14" i="10" s="1"/>
  <c r="H104" i="10"/>
  <c r="E104" i="10" s="1"/>
  <c r="E121" i="10"/>
  <c r="F17" i="10"/>
  <c r="I16" i="10"/>
  <c r="D25" i="7" s="1"/>
  <c r="F89" i="10"/>
  <c r="J22" i="10"/>
  <c r="G22" i="10" s="1"/>
  <c r="G32" i="10"/>
  <c r="J50" i="10"/>
  <c r="G51" i="10"/>
  <c r="E108" i="10"/>
  <c r="H105" i="10"/>
  <c r="H102" i="10"/>
  <c r="E102" i="10" s="1"/>
  <c r="J26" i="8"/>
  <c r="I30" i="8"/>
  <c r="J13" i="9"/>
  <c r="D34" i="22"/>
  <c r="D27" i="22" s="1"/>
  <c r="D25" i="109" s="1"/>
  <c r="D25" i="65" s="1"/>
  <c r="J25" i="70" s="1"/>
  <c r="K25" i="70" s="1"/>
  <c r="I52" i="132"/>
  <c r="G25" i="114"/>
  <c r="I21" i="114"/>
  <c r="C44" i="7" s="1"/>
  <c r="F22" i="114"/>
  <c r="M9" i="20"/>
  <c r="L9" i="20" s="1"/>
  <c r="X41" i="25"/>
  <c r="X10" i="25"/>
  <c r="C11" i="10"/>
  <c r="M24" i="41"/>
  <c r="R24" i="41" s="1"/>
  <c r="R25" i="41"/>
  <c r="L45" i="70"/>
  <c r="E97" i="10"/>
  <c r="H96" i="10"/>
  <c r="H88" i="10" s="1"/>
  <c r="C28" i="7" s="1"/>
  <c r="E120" i="10"/>
  <c r="H103" i="10"/>
  <c r="E103" i="10" s="1"/>
  <c r="H18" i="132"/>
  <c r="J45" i="9"/>
  <c r="E21" i="7" s="1"/>
  <c r="I32" i="114"/>
  <c r="I31" i="114" s="1"/>
  <c r="C45" i="7" s="1"/>
  <c r="F35" i="114"/>
  <c r="E19" i="132"/>
  <c r="C35" i="22"/>
  <c r="O36" i="22"/>
  <c r="C30" i="109"/>
  <c r="O57" i="22"/>
  <c r="C31" i="65"/>
  <c r="C20" i="10"/>
  <c r="I62" i="9"/>
  <c r="I10" i="20"/>
  <c r="E53" i="7" s="1"/>
  <c r="F11" i="20"/>
  <c r="G89" i="10"/>
  <c r="J88" i="10"/>
  <c r="E28" i="7" s="1"/>
  <c r="E17" i="10"/>
  <c r="H16" i="10"/>
  <c r="C25" i="7" s="1"/>
  <c r="H11" i="10"/>
  <c r="J95" i="9"/>
  <c r="H99" i="11"/>
  <c r="E99" i="11" s="1"/>
  <c r="E114" i="11"/>
  <c r="J112" i="10"/>
  <c r="J111" i="10" s="1"/>
  <c r="J100" i="10"/>
  <c r="G113" i="10"/>
  <c r="I22" i="10"/>
  <c r="F22" i="10" s="1"/>
  <c r="F32" i="10"/>
  <c r="F51" i="10"/>
  <c r="I50" i="10"/>
  <c r="H24" i="9"/>
  <c r="C18" i="7" s="1"/>
  <c r="I52" i="9"/>
  <c r="D22" i="7" s="1"/>
  <c r="D15" i="16"/>
  <c r="I10" i="114"/>
  <c r="C43" i="7" s="1"/>
  <c r="F11" i="114"/>
  <c r="G18" i="16"/>
  <c r="E18" i="16" s="1"/>
  <c r="E19" i="16"/>
  <c r="J16" i="114"/>
  <c r="J10" i="114" s="1"/>
  <c r="D43" i="7" s="1"/>
  <c r="G18" i="114"/>
  <c r="C14" i="20"/>
  <c r="M10" i="20" s="1"/>
  <c r="L10" i="20" s="1"/>
  <c r="R28" i="41"/>
  <c r="F27" i="41"/>
  <c r="J46" i="40"/>
  <c r="C45" i="40"/>
  <c r="J45" i="40" s="1"/>
  <c r="I48" i="41"/>
  <c r="I49" i="41" s="1"/>
  <c r="P35" i="12"/>
  <c r="N45" i="12"/>
  <c r="C11" i="13" s="1"/>
  <c r="D11" i="13" s="1"/>
  <c r="G37" i="10"/>
  <c r="J27" i="10"/>
  <c r="I100" i="10"/>
  <c r="F113" i="10"/>
  <c r="I112" i="10"/>
  <c r="I111" i="10" s="1"/>
  <c r="G108" i="10"/>
  <c r="J105" i="10"/>
  <c r="J102" i="10"/>
  <c r="G102" i="10" s="1"/>
  <c r="E32" i="10"/>
  <c r="H22" i="10"/>
  <c r="E22" i="10" s="1"/>
  <c r="F37" i="10"/>
  <c r="I27" i="10"/>
  <c r="I67" i="9"/>
  <c r="I60" i="9"/>
  <c r="I119" i="9"/>
  <c r="I118" i="9" s="1"/>
  <c r="H102" i="9"/>
  <c r="I95" i="9"/>
  <c r="I61" i="9"/>
  <c r="G13" i="114"/>
  <c r="H14" i="114"/>
  <c r="C109" i="11"/>
  <c r="C108" i="11" s="1"/>
  <c r="C94" i="11"/>
  <c r="C93" i="11" s="1"/>
  <c r="C28" i="40"/>
  <c r="J29" i="40"/>
  <c r="H22" i="132"/>
  <c r="U29" i="41"/>
  <c r="Q55" i="12"/>
  <c r="R50" i="70"/>
  <c r="D51" i="109"/>
  <c r="D51" i="65" s="1"/>
  <c r="J50" i="70" s="1"/>
  <c r="K50" i="70" s="1"/>
  <c r="C15" i="68"/>
  <c r="D21" i="38"/>
  <c r="D33" i="109" s="1"/>
  <c r="D22" i="38"/>
  <c r="E20" i="132"/>
  <c r="E21" i="132"/>
  <c r="H13" i="9"/>
  <c r="H32" i="8"/>
  <c r="J32" i="8"/>
  <c r="E47" i="10"/>
  <c r="N63" i="109"/>
  <c r="E95" i="10"/>
  <c r="M63" i="109"/>
  <c r="K63" i="109"/>
  <c r="L63" i="109"/>
  <c r="F11" i="10" l="1"/>
  <c r="H27" i="8"/>
  <c r="J63" i="8"/>
  <c r="F27" i="10"/>
  <c r="I15" i="10"/>
  <c r="F15" i="10" s="1"/>
  <c r="E62" i="109"/>
  <c r="E61" i="65" s="1"/>
  <c r="P60" i="70" s="1"/>
  <c r="Q60" i="70" s="1"/>
  <c r="E52" i="7"/>
  <c r="E61" i="109" s="1"/>
  <c r="E60" i="65" s="1"/>
  <c r="P59" i="70" s="1"/>
  <c r="Q59" i="70" s="1"/>
  <c r="W39" i="25"/>
  <c r="F25" i="22"/>
  <c r="E21" i="10"/>
  <c r="C10" i="13"/>
  <c r="N55" i="12"/>
  <c r="E11" i="20"/>
  <c r="H10" i="20"/>
  <c r="D53" i="7" s="1"/>
  <c r="I66" i="8"/>
  <c r="J45" i="7"/>
  <c r="J21" i="114"/>
  <c r="D44" i="7" s="1"/>
  <c r="J44" i="7" s="1"/>
  <c r="J20" i="7"/>
  <c r="J49" i="7"/>
  <c r="C47" i="7"/>
  <c r="H99" i="10"/>
  <c r="C29" i="7" s="1"/>
  <c r="E100" i="10"/>
  <c r="P31" i="12"/>
  <c r="R11" i="12"/>
  <c r="S11" i="12" s="1"/>
  <c r="T11" i="12" s="1"/>
  <c r="T31" i="12" s="1"/>
  <c r="D11" i="38"/>
  <c r="J17" i="38"/>
  <c r="O35" i="109"/>
  <c r="E35" i="65"/>
  <c r="I13" i="10"/>
  <c r="F13" i="10" s="1"/>
  <c r="F26" i="10"/>
  <c r="H12" i="9"/>
  <c r="H52" i="9"/>
  <c r="C22" i="7" s="1"/>
  <c r="J22" i="7" s="1"/>
  <c r="H16" i="9"/>
  <c r="H75" i="8"/>
  <c r="J31" i="9"/>
  <c r="E19" i="7" s="1"/>
  <c r="P45" i="12"/>
  <c r="R35" i="12"/>
  <c r="D11" i="20"/>
  <c r="G10" i="20"/>
  <c r="C53" i="7" s="1"/>
  <c r="I21" i="8"/>
  <c r="J75" i="8"/>
  <c r="I45" i="9"/>
  <c r="D21" i="7" s="1"/>
  <c r="J21" i="7" s="1"/>
  <c r="J30" i="10"/>
  <c r="J23" i="10"/>
  <c r="G23" i="10" s="1"/>
  <c r="G33" i="10"/>
  <c r="D33" i="65"/>
  <c r="C42" i="7"/>
  <c r="J43" i="7"/>
  <c r="G10" i="16"/>
  <c r="C39" i="7" s="1"/>
  <c r="E11" i="16"/>
  <c r="G46" i="57"/>
  <c r="I48" i="57"/>
  <c r="E25" i="47" s="1"/>
  <c r="E23" i="47" s="1"/>
  <c r="E48" i="57"/>
  <c r="R19" i="70"/>
  <c r="H24" i="8"/>
  <c r="C13" i="7" s="1"/>
  <c r="E29" i="38"/>
  <c r="J29" i="38" s="1"/>
  <c r="U27" i="41"/>
  <c r="I20" i="10"/>
  <c r="D26" i="7" s="1"/>
  <c r="D24" i="7" s="1"/>
  <c r="D15" i="109" s="1"/>
  <c r="D15" i="65" s="1"/>
  <c r="J15" i="70" s="1"/>
  <c r="K15" i="70" s="1"/>
  <c r="F21" i="10"/>
  <c r="G21" i="10"/>
  <c r="J20" i="10"/>
  <c r="E26" i="7" s="1"/>
  <c r="L59" i="59"/>
  <c r="I65" i="59"/>
  <c r="H82" i="8"/>
  <c r="I59" i="9"/>
  <c r="D23" i="7" s="1"/>
  <c r="H68" i="8"/>
  <c r="H61" i="8"/>
  <c r="I14" i="20"/>
  <c r="E54" i="7" s="1"/>
  <c r="E63" i="109" s="1"/>
  <c r="E62" i="65" s="1"/>
  <c r="P61" i="70" s="1"/>
  <c r="Q61" i="70" s="1"/>
  <c r="F15" i="20"/>
  <c r="C24" i="40"/>
  <c r="J24" i="40" s="1"/>
  <c r="J25" i="40"/>
  <c r="L50" i="70"/>
  <c r="O34" i="22"/>
  <c r="W14" i="73"/>
  <c r="V10" i="73"/>
  <c r="W10" i="73" s="1"/>
  <c r="I82" i="8"/>
  <c r="H23" i="8"/>
  <c r="I31" i="9"/>
  <c r="D19" i="7" s="1"/>
  <c r="J19" i="7" s="1"/>
  <c r="E11" i="10"/>
  <c r="D42" i="7"/>
  <c r="D20" i="109" s="1"/>
  <c r="D20" i="65" s="1"/>
  <c r="J20" i="70" s="1"/>
  <c r="K20" i="70" s="1"/>
  <c r="F41" i="70"/>
  <c r="J13" i="10"/>
  <c r="G13" i="10" s="1"/>
  <c r="G26" i="10"/>
  <c r="J59" i="9"/>
  <c r="E23" i="7" s="1"/>
  <c r="E16" i="7" s="1"/>
  <c r="E14" i="109" s="1"/>
  <c r="E14" i="65" s="1"/>
  <c r="P14" i="70" s="1"/>
  <c r="Q14" i="70" s="1"/>
  <c r="C25" i="109"/>
  <c r="R52" i="12"/>
  <c r="P54" i="12"/>
  <c r="J61" i="8"/>
  <c r="J82" i="8"/>
  <c r="J68" i="8"/>
  <c r="J62" i="8"/>
  <c r="H62" i="8"/>
  <c r="F52" i="7"/>
  <c r="K61" i="109" s="1"/>
  <c r="K62" i="109"/>
  <c r="I53" i="8"/>
  <c r="D14" i="7" s="1"/>
  <c r="I13" i="9"/>
  <c r="H53" i="8"/>
  <c r="C14" i="7" s="1"/>
  <c r="H21" i="8"/>
  <c r="J25" i="7"/>
  <c r="F14" i="10"/>
  <c r="G14" i="10"/>
  <c r="X10" i="41"/>
  <c r="E27" i="38"/>
  <c r="U15" i="41"/>
  <c r="R25" i="70"/>
  <c r="I99" i="10"/>
  <c r="D29" i="7" s="1"/>
  <c r="F100" i="10"/>
  <c r="H11" i="16"/>
  <c r="D12" i="16"/>
  <c r="I32" i="8"/>
  <c r="I25" i="8"/>
  <c r="J28" i="40"/>
  <c r="C27" i="40"/>
  <c r="J27" i="40" s="1"/>
  <c r="L25" i="70"/>
  <c r="H63" i="8"/>
  <c r="H26" i="8"/>
  <c r="C57" i="7"/>
  <c r="J58" i="7"/>
  <c r="E10" i="22"/>
  <c r="E22" i="109" s="1"/>
  <c r="E22" i="65" s="1"/>
  <c r="P22" i="70" s="1"/>
  <c r="Q22" i="70" s="1"/>
  <c r="E24" i="109"/>
  <c r="E24" i="65" s="1"/>
  <c r="P24" i="70" s="1"/>
  <c r="Q24" i="70" s="1"/>
  <c r="O52" i="22"/>
  <c r="I29" i="109"/>
  <c r="H28" i="10"/>
  <c r="H14" i="10" s="1"/>
  <c r="E14" i="10" s="1"/>
  <c r="E29" i="10"/>
  <c r="I24" i="9"/>
  <c r="D18" i="7" s="1"/>
  <c r="J18" i="7" s="1"/>
  <c r="X28" i="73"/>
  <c r="F37" i="70"/>
  <c r="C14" i="22"/>
  <c r="O14" i="22" s="1"/>
  <c r="E13" i="132"/>
  <c r="L62" i="109"/>
  <c r="G52" i="7"/>
  <c r="L61" i="109" s="1"/>
  <c r="C18" i="1"/>
  <c r="J19" i="1"/>
  <c r="I10" i="22"/>
  <c r="I22" i="109" s="1"/>
  <c r="I25" i="109"/>
  <c r="I25" i="65" s="1"/>
  <c r="H44" i="11"/>
  <c r="C13" i="22"/>
  <c r="O13" i="22" s="1"/>
  <c r="E12" i="132"/>
  <c r="H14" i="132"/>
  <c r="C15" i="22" s="1"/>
  <c r="O15" i="22" s="1"/>
  <c r="H14" i="20"/>
  <c r="D54" i="7" s="1"/>
  <c r="D63" i="109" s="1"/>
  <c r="D62" i="65" s="1"/>
  <c r="J61" i="70" s="1"/>
  <c r="K61" i="70" s="1"/>
  <c r="E15" i="20"/>
  <c r="I61" i="8"/>
  <c r="I68" i="8"/>
  <c r="R27" i="41"/>
  <c r="F48" i="41"/>
  <c r="D30" i="70"/>
  <c r="E30" i="70" s="1"/>
  <c r="H66" i="8"/>
  <c r="H65" i="9"/>
  <c r="D15" i="20"/>
  <c r="G14" i="20"/>
  <c r="C54" i="7" s="1"/>
  <c r="E37" i="10"/>
  <c r="H27" i="10"/>
  <c r="J30" i="8"/>
  <c r="J53" i="8"/>
  <c r="E14" i="7" s="1"/>
  <c r="J21" i="8"/>
  <c r="I16" i="9"/>
  <c r="C12" i="22"/>
  <c r="H10" i="132"/>
  <c r="E11" i="132"/>
  <c r="H62" i="9"/>
  <c r="E82" i="10"/>
  <c r="H81" i="10"/>
  <c r="C27" i="7" s="1"/>
  <c r="J27" i="7" s="1"/>
  <c r="C30" i="65"/>
  <c r="O30" i="109"/>
  <c r="J16" i="9"/>
  <c r="J10" i="9" s="1"/>
  <c r="X27" i="73"/>
  <c r="C39" i="40"/>
  <c r="R39" i="41"/>
  <c r="M30" i="41"/>
  <c r="R30" i="41" s="1"/>
  <c r="H59" i="9"/>
  <c r="C23" i="7" s="1"/>
  <c r="J23" i="7" s="1"/>
  <c r="H13" i="10"/>
  <c r="E13" i="10" s="1"/>
  <c r="E26" i="10"/>
  <c r="F46" i="57"/>
  <c r="D10" i="57"/>
  <c r="F10" i="57" s="1"/>
  <c r="C15" i="40"/>
  <c r="J20" i="40"/>
  <c r="H11" i="9"/>
  <c r="I52" i="7"/>
  <c r="N61" i="109" s="1"/>
  <c r="M62" i="109"/>
  <c r="H52" i="7"/>
  <c r="M61" i="109" s="1"/>
  <c r="I75" i="8"/>
  <c r="J15" i="10"/>
  <c r="G15" i="10" s="1"/>
  <c r="G27" i="10"/>
  <c r="G100" i="10"/>
  <c r="J99" i="10"/>
  <c r="E29" i="7" s="1"/>
  <c r="O35" i="22"/>
  <c r="C26" i="109"/>
  <c r="X39" i="25"/>
  <c r="G30" i="22"/>
  <c r="AH41" i="25"/>
  <c r="I23" i="8"/>
  <c r="P50" i="12"/>
  <c r="R47" i="12"/>
  <c r="C24" i="109"/>
  <c r="F10" i="16"/>
  <c r="D39" i="7" s="1"/>
  <c r="D38" i="7" s="1"/>
  <c r="D16" i="22"/>
  <c r="O24" i="22"/>
  <c r="K53" i="65"/>
  <c r="J52" i="70"/>
  <c r="K52" i="70" s="1"/>
  <c r="H17" i="9"/>
  <c r="C17" i="7" s="1"/>
  <c r="I63" i="8"/>
  <c r="J27" i="8"/>
  <c r="I12" i="9"/>
  <c r="I11" i="9"/>
  <c r="I17" i="9"/>
  <c r="D17" i="7" s="1"/>
  <c r="D16" i="7" s="1"/>
  <c r="D14" i="109" s="1"/>
  <c r="D14" i="65" s="1"/>
  <c r="J14" i="70" s="1"/>
  <c r="K14" i="70" s="1"/>
  <c r="I88" i="10"/>
  <c r="D28" i="7" s="1"/>
  <c r="J28" i="7" s="1"/>
  <c r="L54" i="70"/>
  <c r="I19" i="8"/>
  <c r="K65" i="59"/>
  <c r="H66" i="59"/>
  <c r="E42" i="7"/>
  <c r="L15" i="70" l="1"/>
  <c r="R61" i="70"/>
  <c r="J32" i="70"/>
  <c r="K32" i="70" s="1"/>
  <c r="J29" i="7"/>
  <c r="R60" i="70"/>
  <c r="C63" i="109"/>
  <c r="J54" i="7"/>
  <c r="I60" i="8"/>
  <c r="D15" i="7" s="1"/>
  <c r="S35" i="12"/>
  <c r="T35" i="12" s="1"/>
  <c r="T45" i="12" s="1"/>
  <c r="E11" i="13" s="1"/>
  <c r="R45" i="12"/>
  <c r="J47" i="7"/>
  <c r="C21" i="109"/>
  <c r="D10" i="13"/>
  <c r="C15" i="13"/>
  <c r="E47" i="109"/>
  <c r="E47" i="65" s="1"/>
  <c r="P46" i="70" s="1"/>
  <c r="Q46" i="70" s="1"/>
  <c r="E10" i="47"/>
  <c r="E42" i="109" s="1"/>
  <c r="E42" i="65" s="1"/>
  <c r="P41" i="70" s="1"/>
  <c r="Q41" i="70" s="1"/>
  <c r="I10" i="9"/>
  <c r="R14" i="70"/>
  <c r="K59" i="59"/>
  <c r="D25" i="47"/>
  <c r="H65" i="59"/>
  <c r="J39" i="40"/>
  <c r="C30" i="40"/>
  <c r="J30" i="40" s="1"/>
  <c r="X10" i="73"/>
  <c r="C11" i="22"/>
  <c r="O12" i="22"/>
  <c r="H19" i="8"/>
  <c r="J27" i="38"/>
  <c r="E21" i="38"/>
  <c r="E22" i="38"/>
  <c r="J22" i="38" s="1"/>
  <c r="X14" i="73"/>
  <c r="Z14" i="73"/>
  <c r="Y14" i="73"/>
  <c r="I46" i="57"/>
  <c r="E46" i="57"/>
  <c r="G10" i="57"/>
  <c r="H20" i="10"/>
  <c r="C26" i="7" s="1"/>
  <c r="D37" i="7"/>
  <c r="D18" i="109" s="1"/>
  <c r="D18" i="65" s="1"/>
  <c r="J18" i="70" s="1"/>
  <c r="K18" i="70" s="1"/>
  <c r="D19" i="109"/>
  <c r="D19" i="65" s="1"/>
  <c r="J19" i="70" s="1"/>
  <c r="K19" i="70" s="1"/>
  <c r="H15" i="10"/>
  <c r="E15" i="10" s="1"/>
  <c r="E27" i="10"/>
  <c r="I22" i="65"/>
  <c r="I10" i="109"/>
  <c r="I10" i="65" s="1"/>
  <c r="C66" i="109"/>
  <c r="J57" i="7"/>
  <c r="R50" i="12"/>
  <c r="S47" i="12"/>
  <c r="T47" i="12" s="1"/>
  <c r="T50" i="12" s="1"/>
  <c r="E12" i="13" s="1"/>
  <c r="L61" i="70"/>
  <c r="C10" i="40"/>
  <c r="J10" i="40" s="1"/>
  <c r="J15" i="40"/>
  <c r="X50" i="41"/>
  <c r="U50" i="41" s="1"/>
  <c r="U10" i="41"/>
  <c r="J11" i="10"/>
  <c r="R59" i="70"/>
  <c r="C26" i="65"/>
  <c r="O26" i="109"/>
  <c r="H14" i="8"/>
  <c r="C24" i="65"/>
  <c r="D24" i="70" s="1"/>
  <c r="E24" i="70" s="1"/>
  <c r="H10" i="9"/>
  <c r="C10" i="1"/>
  <c r="J18" i="1"/>
  <c r="C54" i="109"/>
  <c r="I18" i="8"/>
  <c r="I24" i="8"/>
  <c r="D13" i="7" s="1"/>
  <c r="D12" i="7" s="1"/>
  <c r="J60" i="8"/>
  <c r="E15" i="7" s="1"/>
  <c r="H60" i="8"/>
  <c r="C15" i="7" s="1"/>
  <c r="J15" i="7" s="1"/>
  <c r="J24" i="8"/>
  <c r="E13" i="7" s="1"/>
  <c r="J20" i="8"/>
  <c r="H10" i="16"/>
  <c r="D11" i="16"/>
  <c r="J14" i="7"/>
  <c r="C38" i="7"/>
  <c r="J39" i="7"/>
  <c r="P34" i="70"/>
  <c r="Q34" i="70" s="1"/>
  <c r="K35" i="65"/>
  <c r="J17" i="7"/>
  <c r="C16" i="7"/>
  <c r="L20" i="70"/>
  <c r="C12" i="7"/>
  <c r="I20" i="8"/>
  <c r="C52" i="7"/>
  <c r="J53" i="7"/>
  <c r="C62" i="109"/>
  <c r="E20" i="109"/>
  <c r="E20" i="65" s="1"/>
  <c r="P20" i="70" s="1"/>
  <c r="Q20" i="70" s="1"/>
  <c r="E37" i="7"/>
  <c r="E18" i="109" s="1"/>
  <c r="E18" i="65" s="1"/>
  <c r="P18" i="70" s="1"/>
  <c r="Q18" i="70" s="1"/>
  <c r="J14" i="8"/>
  <c r="I29" i="65"/>
  <c r="K29" i="65" s="1"/>
  <c r="O29" i="109"/>
  <c r="H10" i="10"/>
  <c r="H18" i="8"/>
  <c r="O25" i="22"/>
  <c r="D11" i="73"/>
  <c r="F16" i="22"/>
  <c r="H20" i="8"/>
  <c r="R54" i="12"/>
  <c r="S52" i="12"/>
  <c r="T52" i="12" s="1"/>
  <c r="T54" i="12" s="1"/>
  <c r="E13" i="13" s="1"/>
  <c r="J11" i="38"/>
  <c r="D32" i="109"/>
  <c r="I10" i="10"/>
  <c r="F30" i="70"/>
  <c r="J13" i="73"/>
  <c r="AH39" i="25"/>
  <c r="D29" i="70"/>
  <c r="E29" i="70" s="1"/>
  <c r="K30" i="65"/>
  <c r="R24" i="70"/>
  <c r="I59" i="59"/>
  <c r="L10" i="59"/>
  <c r="I10" i="59" s="1"/>
  <c r="J18" i="8"/>
  <c r="I14" i="8"/>
  <c r="E10" i="13"/>
  <c r="D62" i="109"/>
  <c r="D61" i="65" s="1"/>
  <c r="J60" i="70" s="1"/>
  <c r="K60" i="70" s="1"/>
  <c r="D52" i="7"/>
  <c r="D61" i="109" s="1"/>
  <c r="D60" i="65" s="1"/>
  <c r="J59" i="70" s="1"/>
  <c r="K59" i="70" s="1"/>
  <c r="L52" i="70"/>
  <c r="L14" i="70"/>
  <c r="D24" i="109"/>
  <c r="D24" i="65" s="1"/>
  <c r="J24" i="70" s="1"/>
  <c r="K24" i="70" s="1"/>
  <c r="D10" i="22"/>
  <c r="G27" i="22"/>
  <c r="O30" i="22"/>
  <c r="J23" i="8"/>
  <c r="R22" i="70"/>
  <c r="C25" i="65"/>
  <c r="D25" i="70" s="1"/>
  <c r="E25" i="70" s="1"/>
  <c r="E24" i="7"/>
  <c r="E15" i="109" s="1"/>
  <c r="E15" i="65" s="1"/>
  <c r="P15" i="70" s="1"/>
  <c r="Q15" i="70" s="1"/>
  <c r="C20" i="109"/>
  <c r="J42" i="7"/>
  <c r="H23" i="11"/>
  <c r="P55" i="12"/>
  <c r="R31" i="12"/>
  <c r="R55" i="12" s="1"/>
  <c r="J19" i="8"/>
  <c r="L19" i="70" l="1"/>
  <c r="J21" i="38"/>
  <c r="E33" i="109"/>
  <c r="D23" i="47"/>
  <c r="I25" i="47"/>
  <c r="K26" i="65"/>
  <c r="D26" i="70"/>
  <c r="E26" i="70" s="1"/>
  <c r="L18" i="70"/>
  <c r="H59" i="59"/>
  <c r="K10" i="59"/>
  <c r="H10" i="59" s="1"/>
  <c r="D15" i="13"/>
  <c r="D13" i="109"/>
  <c r="D13" i="65" s="1"/>
  <c r="J13" i="70" s="1"/>
  <c r="K13" i="70" s="1"/>
  <c r="T55" i="12"/>
  <c r="F29" i="70"/>
  <c r="I17" i="8"/>
  <c r="C21" i="65"/>
  <c r="O21" i="109"/>
  <c r="R18" i="70"/>
  <c r="C54" i="65"/>
  <c r="O54" i="109"/>
  <c r="J26" i="7"/>
  <c r="C24" i="7"/>
  <c r="H17" i="8"/>
  <c r="G10" i="22"/>
  <c r="G22" i="109" s="1"/>
  <c r="G25" i="109"/>
  <c r="O27" i="22"/>
  <c r="C12" i="68"/>
  <c r="D22" i="109"/>
  <c r="D22" i="65" s="1"/>
  <c r="J22" i="70" s="1"/>
  <c r="K22" i="70" s="1"/>
  <c r="R20" i="70"/>
  <c r="I10" i="57"/>
  <c r="E10" i="57"/>
  <c r="L32" i="70"/>
  <c r="O20" i="109"/>
  <c r="C20" i="65"/>
  <c r="L24" i="70"/>
  <c r="O62" i="109"/>
  <c r="C61" i="65"/>
  <c r="C51" i="109"/>
  <c r="J10" i="1"/>
  <c r="G11" i="10"/>
  <c r="J10" i="10"/>
  <c r="C23" i="109"/>
  <c r="O11" i="22"/>
  <c r="C10" i="22"/>
  <c r="L60" i="70"/>
  <c r="F10" i="22"/>
  <c r="F22" i="109" s="1"/>
  <c r="F24" i="109"/>
  <c r="F24" i="65" s="1"/>
  <c r="K24" i="65" s="1"/>
  <c r="O16" i="22"/>
  <c r="J16" i="7"/>
  <c r="C14" i="109"/>
  <c r="J10" i="73"/>
  <c r="K10" i="73" s="1"/>
  <c r="K13" i="73"/>
  <c r="R15" i="70"/>
  <c r="J17" i="8"/>
  <c r="E11" i="73"/>
  <c r="D10" i="73"/>
  <c r="E10" i="73" s="1"/>
  <c r="C61" i="109"/>
  <c r="J52" i="7"/>
  <c r="E12" i="7"/>
  <c r="C65" i="65"/>
  <c r="O66" i="109"/>
  <c r="H16" i="11"/>
  <c r="H16" i="8" s="1"/>
  <c r="C56" i="7" s="1"/>
  <c r="E15" i="13"/>
  <c r="F25" i="70"/>
  <c r="O24" i="109"/>
  <c r="L59" i="70"/>
  <c r="C13" i="109"/>
  <c r="J12" i="7"/>
  <c r="F24" i="70"/>
  <c r="R41" i="70"/>
  <c r="O63" i="109"/>
  <c r="C62" i="65"/>
  <c r="R34" i="70"/>
  <c r="O32" i="109"/>
  <c r="D32" i="65"/>
  <c r="J13" i="7"/>
  <c r="C37" i="7"/>
  <c r="C19" i="109"/>
  <c r="J38" i="7"/>
  <c r="G13" i="13"/>
  <c r="I13" i="13" s="1"/>
  <c r="R46" i="70"/>
  <c r="O19" i="109" l="1"/>
  <c r="C19" i="65"/>
  <c r="D64" i="70"/>
  <c r="C64" i="70" s="1"/>
  <c r="E64" i="70" s="1"/>
  <c r="K65" i="65"/>
  <c r="L13" i="73"/>
  <c r="D53" i="70"/>
  <c r="E53" i="70" s="1"/>
  <c r="K54" i="65"/>
  <c r="J37" i="7"/>
  <c r="C18" i="109"/>
  <c r="E13" i="109"/>
  <c r="E13" i="65" s="1"/>
  <c r="P13" i="70" s="1"/>
  <c r="Q13" i="70" s="1"/>
  <c r="L10" i="73"/>
  <c r="O10" i="22"/>
  <c r="C22" i="109"/>
  <c r="L22" i="70"/>
  <c r="F26" i="70"/>
  <c r="F10" i="73"/>
  <c r="G25" i="65"/>
  <c r="K25" i="65" s="1"/>
  <c r="O25" i="109"/>
  <c r="C60" i="65"/>
  <c r="O61" i="109"/>
  <c r="C23" i="65"/>
  <c r="O23" i="109"/>
  <c r="D20" i="70"/>
  <c r="E20" i="70" s="1"/>
  <c r="K20" i="65"/>
  <c r="D47" i="109"/>
  <c r="I23" i="47"/>
  <c r="D10" i="47"/>
  <c r="C14" i="65"/>
  <c r="O14" i="109"/>
  <c r="G11" i="73"/>
  <c r="H11" i="73"/>
  <c r="F11" i="73"/>
  <c r="G10" i="109"/>
  <c r="G10" i="65" s="1"/>
  <c r="G22" i="65"/>
  <c r="L13" i="70"/>
  <c r="E33" i="65"/>
  <c r="O33" i="109"/>
  <c r="C13" i="65"/>
  <c r="O51" i="109"/>
  <c r="C51" i="65"/>
  <c r="D21" i="70"/>
  <c r="E21" i="70" s="1"/>
  <c r="K21" i="65"/>
  <c r="F22" i="65"/>
  <c r="F10" i="109"/>
  <c r="F10" i="65" s="1"/>
  <c r="K61" i="65"/>
  <c r="D60" i="70"/>
  <c r="E60" i="70" s="1"/>
  <c r="C15" i="109"/>
  <c r="J24" i="7"/>
  <c r="K32" i="65"/>
  <c r="J31" i="70"/>
  <c r="K31" i="70" s="1"/>
  <c r="D61" i="70"/>
  <c r="E61" i="70" s="1"/>
  <c r="K62" i="65"/>
  <c r="C65" i="109"/>
  <c r="J56" i="7"/>
  <c r="O18" i="109" l="1"/>
  <c r="C18" i="65"/>
  <c r="F60" i="70"/>
  <c r="D47" i="65"/>
  <c r="O47" i="109"/>
  <c r="F20" i="70"/>
  <c r="K23" i="65"/>
  <c r="D23" i="70"/>
  <c r="E23" i="70" s="1"/>
  <c r="F53" i="70"/>
  <c r="R13" i="70"/>
  <c r="D50" i="70"/>
  <c r="E50" i="70" s="1"/>
  <c r="K51" i="65"/>
  <c r="D59" i="70"/>
  <c r="E59" i="70" s="1"/>
  <c r="K60" i="65"/>
  <c r="C22" i="65"/>
  <c r="O22" i="109"/>
  <c r="F21" i="70"/>
  <c r="F61" i="70"/>
  <c r="O13" i="109"/>
  <c r="D13" i="70"/>
  <c r="E13" i="70" s="1"/>
  <c r="K13" i="65"/>
  <c r="D14" i="70"/>
  <c r="E14" i="70" s="1"/>
  <c r="K14" i="65"/>
  <c r="F64" i="70"/>
  <c r="D42" i="109"/>
  <c r="C14" i="68"/>
  <c r="I10" i="47"/>
  <c r="D19" i="70"/>
  <c r="E19" i="70" s="1"/>
  <c r="K19" i="65"/>
  <c r="C64" i="65"/>
  <c r="O65" i="109"/>
  <c r="L31" i="70"/>
  <c r="O15" i="109"/>
  <c r="C15" i="65"/>
  <c r="P32" i="70"/>
  <c r="Q32" i="70" s="1"/>
  <c r="K33" i="65"/>
  <c r="D22" i="70" l="1"/>
  <c r="E22" i="70" s="1"/>
  <c r="K22" i="65"/>
  <c r="F14" i="70"/>
  <c r="F59" i="70"/>
  <c r="F23" i="70"/>
  <c r="F13" i="70"/>
  <c r="J46" i="70"/>
  <c r="K46" i="70" s="1"/>
  <c r="K47" i="65"/>
  <c r="F19" i="70"/>
  <c r="F50" i="70"/>
  <c r="D42" i="65"/>
  <c r="O42" i="109"/>
  <c r="D63" i="70"/>
  <c r="E63" i="70" s="1"/>
  <c r="K64" i="65"/>
  <c r="R32" i="70"/>
  <c r="D18" i="70"/>
  <c r="E18" i="70" s="1"/>
  <c r="K18" i="65"/>
  <c r="K15" i="65"/>
  <c r="D15" i="70"/>
  <c r="E15" i="70" s="1"/>
  <c r="J41" i="70" l="1"/>
  <c r="K41" i="70" s="1"/>
  <c r="K42" i="65"/>
  <c r="L46" i="70"/>
  <c r="F15" i="70"/>
  <c r="F18" i="70"/>
  <c r="F63" i="70"/>
  <c r="F22" i="70"/>
  <c r="G16" i="45"/>
  <c r="G17" i="45"/>
  <c r="H12" i="45"/>
  <c r="G12" i="45"/>
  <c r="G19" i="45"/>
  <c r="H29" i="45"/>
  <c r="G13" i="45"/>
  <c r="H26" i="45"/>
  <c r="H19" i="45"/>
  <c r="H17" i="45"/>
  <c r="H18" i="45"/>
  <c r="H16" i="45"/>
  <c r="G18" i="45"/>
  <c r="G26" i="45"/>
  <c r="G29" i="45"/>
  <c r="H13" i="45"/>
  <c r="I14" i="45" l="1"/>
  <c r="G14" i="45" s="1"/>
  <c r="G15" i="45"/>
  <c r="J14" i="45"/>
  <c r="H14" i="45" s="1"/>
  <c r="H15" i="45"/>
  <c r="J27" i="45"/>
  <c r="H27" i="45" s="1"/>
  <c r="H28" i="45"/>
  <c r="I21" i="45"/>
  <c r="G22" i="45"/>
  <c r="D32" i="38"/>
  <c r="G10" i="42"/>
  <c r="F11" i="42"/>
  <c r="J10" i="45"/>
  <c r="H11" i="45"/>
  <c r="I10" i="45"/>
  <c r="G11" i="45"/>
  <c r="J21" i="45"/>
  <c r="H22" i="45"/>
  <c r="I27" i="45"/>
  <c r="G27" i="45" s="1"/>
  <c r="G28" i="45"/>
  <c r="L41" i="70"/>
  <c r="C41" i="11"/>
  <c r="G77" i="8" l="1"/>
  <c r="F77" i="8"/>
  <c r="E77" i="8"/>
  <c r="C63" i="8"/>
  <c r="G71" i="8"/>
  <c r="E71" i="8"/>
  <c r="F71" i="8"/>
  <c r="C82" i="8"/>
  <c r="F85" i="8"/>
  <c r="E85" i="8"/>
  <c r="G85" i="8"/>
  <c r="G56" i="8"/>
  <c r="E56" i="8"/>
  <c r="F56" i="8"/>
  <c r="F84" i="8"/>
  <c r="E84" i="8"/>
  <c r="G84" i="8"/>
  <c r="D34" i="109"/>
  <c r="J32" i="38"/>
  <c r="G78" i="8"/>
  <c r="E78" i="8"/>
  <c r="F78" i="8"/>
  <c r="C25" i="8"/>
  <c r="C32" i="8"/>
  <c r="E33" i="8"/>
  <c r="G33" i="8"/>
  <c r="F33" i="8"/>
  <c r="I20" i="45"/>
  <c r="G20" i="45" s="1"/>
  <c r="G21" i="45"/>
  <c r="C26" i="8"/>
  <c r="G34" i="8"/>
  <c r="F34" i="8"/>
  <c r="E34" i="8"/>
  <c r="C27" i="8"/>
  <c r="F35" i="8"/>
  <c r="E35" i="8"/>
  <c r="G35" i="8"/>
  <c r="C66" i="8"/>
  <c r="G88" i="8"/>
  <c r="F88" i="8"/>
  <c r="E88" i="8"/>
  <c r="F83" i="8"/>
  <c r="E83" i="8"/>
  <c r="G83" i="8"/>
  <c r="C21" i="8"/>
  <c r="F57" i="8"/>
  <c r="G57" i="8"/>
  <c r="E57" i="8"/>
  <c r="C53" i="8"/>
  <c r="E54" i="8"/>
  <c r="G54" i="8"/>
  <c r="F54" i="8"/>
  <c r="J20" i="45"/>
  <c r="H20" i="45" s="1"/>
  <c r="H21" i="45"/>
  <c r="C61" i="8"/>
  <c r="C68" i="8"/>
  <c r="G69" i="8"/>
  <c r="E69" i="8"/>
  <c r="F69" i="8"/>
  <c r="C62" i="8"/>
  <c r="F70" i="8"/>
  <c r="E70" i="8"/>
  <c r="G70" i="8"/>
  <c r="C75" i="8"/>
  <c r="G76" i="8"/>
  <c r="F76" i="8"/>
  <c r="E76" i="8"/>
  <c r="D44" i="38"/>
  <c r="G10" i="45"/>
  <c r="H10" i="45"/>
  <c r="C30" i="8"/>
  <c r="E38" i="8"/>
  <c r="F38" i="8"/>
  <c r="G38" i="8"/>
  <c r="C19" i="11"/>
  <c r="C12" i="11" s="1"/>
  <c r="C20" i="11"/>
  <c r="C13" i="11" s="1"/>
  <c r="C62" i="11"/>
  <c r="C40" i="11"/>
  <c r="G58" i="11"/>
  <c r="F58" i="11"/>
  <c r="I44" i="11" l="1"/>
  <c r="F52" i="11"/>
  <c r="E49" i="11"/>
  <c r="H41" i="11"/>
  <c r="E41" i="11" s="1"/>
  <c r="F114" i="11"/>
  <c r="I99" i="11"/>
  <c r="F99" i="11" s="1"/>
  <c r="C18" i="8"/>
  <c r="C24" i="8"/>
  <c r="G25" i="8"/>
  <c r="E25" i="8"/>
  <c r="F25" i="8"/>
  <c r="C23" i="8"/>
  <c r="F30" i="8"/>
  <c r="E30" i="8"/>
  <c r="G30" i="8"/>
  <c r="I19" i="11"/>
  <c r="F27" i="11"/>
  <c r="H19" i="11"/>
  <c r="E27" i="11"/>
  <c r="G31" i="11"/>
  <c r="J23" i="11"/>
  <c r="C23" i="11"/>
  <c r="E31" i="11"/>
  <c r="E44" i="38"/>
  <c r="C20" i="8"/>
  <c r="F27" i="8"/>
  <c r="E27" i="8"/>
  <c r="G27" i="8"/>
  <c r="C14" i="8"/>
  <c r="E21" i="8"/>
  <c r="F21" i="8"/>
  <c r="G21" i="8"/>
  <c r="J62" i="11"/>
  <c r="G62" i="11" s="1"/>
  <c r="G69" i="11"/>
  <c r="F49" i="11"/>
  <c r="I41" i="11"/>
  <c r="F41" i="11" s="1"/>
  <c r="J19" i="11"/>
  <c r="G27" i="11"/>
  <c r="G28" i="11"/>
  <c r="J20" i="11"/>
  <c r="D10" i="38"/>
  <c r="D37" i="109"/>
  <c r="G67" i="11"/>
  <c r="J60" i="11"/>
  <c r="J66" i="11"/>
  <c r="E110" i="11"/>
  <c r="H109" i="11"/>
  <c r="H108" i="11" s="1"/>
  <c r="C36" i="7" s="1"/>
  <c r="H94" i="11"/>
  <c r="J41" i="11"/>
  <c r="G41" i="11" s="1"/>
  <c r="G49" i="11"/>
  <c r="F28" i="11"/>
  <c r="I20" i="11"/>
  <c r="C60" i="8"/>
  <c r="E61" i="8"/>
  <c r="F61" i="8"/>
  <c r="G61" i="8"/>
  <c r="C19" i="8"/>
  <c r="G26" i="8"/>
  <c r="F26" i="8"/>
  <c r="E26" i="8"/>
  <c r="D34" i="65"/>
  <c r="O34" i="109"/>
  <c r="H20" i="11"/>
  <c r="E28" i="11"/>
  <c r="F48" i="11"/>
  <c r="I40" i="11"/>
  <c r="F40" i="11" s="1"/>
  <c r="I62" i="11"/>
  <c r="F62" i="11" s="1"/>
  <c r="F69" i="11"/>
  <c r="H25" i="11"/>
  <c r="E26" i="11"/>
  <c r="H18" i="11"/>
  <c r="J99" i="11"/>
  <c r="G99" i="11" s="1"/>
  <c r="G114" i="11"/>
  <c r="C46" i="11"/>
  <c r="C39" i="11"/>
  <c r="H62" i="11"/>
  <c r="E62" i="11" s="1"/>
  <c r="E69" i="11"/>
  <c r="F62" i="8"/>
  <c r="G62" i="8"/>
  <c r="E62" i="8"/>
  <c r="E54" i="11"/>
  <c r="H53" i="11"/>
  <c r="G52" i="11"/>
  <c r="J44" i="11"/>
  <c r="G54" i="11"/>
  <c r="J53" i="11"/>
  <c r="F63" i="8"/>
  <c r="E63" i="8"/>
  <c r="G63" i="8"/>
  <c r="H39" i="11"/>
  <c r="H46" i="11"/>
  <c r="E47" i="11"/>
  <c r="H60" i="11"/>
  <c r="H66" i="11"/>
  <c r="E67" i="11"/>
  <c r="C66" i="11"/>
  <c r="C60" i="11"/>
  <c r="C59" i="11" s="1"/>
  <c r="J40" i="11"/>
  <c r="G40" i="11" s="1"/>
  <c r="G48" i="11"/>
  <c r="I60" i="11"/>
  <c r="F67" i="11"/>
  <c r="I66" i="11"/>
  <c r="J109" i="11"/>
  <c r="J108" i="11" s="1"/>
  <c r="E36" i="7" s="1"/>
  <c r="E34" i="7" s="1"/>
  <c r="E17" i="109" s="1"/>
  <c r="E17" i="65" s="1"/>
  <c r="P17" i="70" s="1"/>
  <c r="Q17" i="70" s="1"/>
  <c r="J94" i="11"/>
  <c r="G110" i="11"/>
  <c r="I53" i="11"/>
  <c r="F54" i="11"/>
  <c r="J39" i="11"/>
  <c r="G47" i="11"/>
  <c r="J46" i="11"/>
  <c r="I46" i="11"/>
  <c r="F47" i="11"/>
  <c r="I39" i="11"/>
  <c r="I94" i="11"/>
  <c r="F110" i="11"/>
  <c r="I109" i="11"/>
  <c r="I108" i="11" s="1"/>
  <c r="D36" i="7" s="1"/>
  <c r="D34" i="7" s="1"/>
  <c r="D17" i="109" s="1"/>
  <c r="D17" i="65" s="1"/>
  <c r="J17" i="70" s="1"/>
  <c r="K17" i="70" s="1"/>
  <c r="G26" i="11"/>
  <c r="J25" i="11"/>
  <c r="J18" i="11"/>
  <c r="F26" i="11"/>
  <c r="I25" i="11"/>
  <c r="I18" i="11"/>
  <c r="I23" i="11"/>
  <c r="F31" i="11"/>
  <c r="C44" i="11"/>
  <c r="E44" i="11" s="1"/>
  <c r="E52" i="11"/>
  <c r="G66" i="8"/>
  <c r="F66" i="8"/>
  <c r="E66" i="8"/>
  <c r="H40" i="11"/>
  <c r="E40" i="11" s="1"/>
  <c r="E48" i="11"/>
  <c r="C18" i="11"/>
  <c r="C25" i="11"/>
  <c r="H20" i="47"/>
  <c r="M46" i="109" s="1"/>
  <c r="F20" i="47"/>
  <c r="K46" i="109" s="1"/>
  <c r="G11" i="47"/>
  <c r="G17" i="47"/>
  <c r="L45" i="109" s="1"/>
  <c r="G20" i="47"/>
  <c r="L46" i="109" s="1"/>
  <c r="H14" i="47"/>
  <c r="M44" i="109" s="1"/>
  <c r="M16" i="22"/>
  <c r="F14" i="47"/>
  <c r="K44" i="109" s="1"/>
  <c r="F34" i="7"/>
  <c r="K17" i="109" s="1"/>
  <c r="G34" i="7"/>
  <c r="L17" i="109" s="1"/>
  <c r="G12" i="7"/>
  <c r="H23" i="47"/>
  <c r="M47" i="109" s="1"/>
  <c r="H42" i="7"/>
  <c r="H11" i="1"/>
  <c r="H11" i="47"/>
  <c r="G30" i="7"/>
  <c r="L16" i="109" s="1"/>
  <c r="F23" i="47"/>
  <c r="K47" i="109" s="1"/>
  <c r="G14" i="47"/>
  <c r="L44" i="109" s="1"/>
  <c r="I30" i="7"/>
  <c r="N16" i="109" s="1"/>
  <c r="I34" i="7"/>
  <c r="N17" i="109" s="1"/>
  <c r="G23" i="47"/>
  <c r="L47" i="109" s="1"/>
  <c r="M57" i="22"/>
  <c r="M30" i="109" s="1"/>
  <c r="L27" i="22"/>
  <c r="H24" i="7"/>
  <c r="M15" i="109" s="1"/>
  <c r="H34" i="7"/>
  <c r="M17" i="109" s="1"/>
  <c r="M37" i="109" l="1"/>
  <c r="H10" i="38"/>
  <c r="G16" i="7"/>
  <c r="L14" i="109" s="1"/>
  <c r="I17" i="11"/>
  <c r="D31" i="7" s="1"/>
  <c r="F18" i="11"/>
  <c r="I11" i="11"/>
  <c r="J11" i="11"/>
  <c r="G18" i="11"/>
  <c r="J17" i="11"/>
  <c r="E31" i="7" s="1"/>
  <c r="H11" i="11"/>
  <c r="E18" i="11"/>
  <c r="H17" i="11"/>
  <c r="C31" i="7" s="1"/>
  <c r="J36" i="7"/>
  <c r="C34" i="7"/>
  <c r="E37" i="109"/>
  <c r="E37" i="65" s="1"/>
  <c r="P36" i="70" s="1"/>
  <c r="Q36" i="70" s="1"/>
  <c r="E10" i="38"/>
  <c r="E31" i="109" s="1"/>
  <c r="E31" i="65" s="1"/>
  <c r="P30" i="70" s="1"/>
  <c r="Q30" i="70" s="1"/>
  <c r="E23" i="8"/>
  <c r="F23" i="8"/>
  <c r="G23" i="8"/>
  <c r="F30" i="7"/>
  <c r="K16" i="109" s="1"/>
  <c r="M35" i="22"/>
  <c r="M26" i="109" s="1"/>
  <c r="K27" i="22"/>
  <c r="F16" i="7"/>
  <c r="K14" i="109" s="1"/>
  <c r="F17" i="47"/>
  <c r="K45" i="109" s="1"/>
  <c r="M27" i="22"/>
  <c r="M25" i="109" s="1"/>
  <c r="G42" i="7"/>
  <c r="H59" i="11"/>
  <c r="C33" i="7" s="1"/>
  <c r="E60" i="11"/>
  <c r="F19" i="8"/>
  <c r="E19" i="8"/>
  <c r="G19" i="8"/>
  <c r="C16" i="11"/>
  <c r="E16" i="11" s="1"/>
  <c r="E23" i="11"/>
  <c r="H10" i="47"/>
  <c r="M43" i="109"/>
  <c r="M20" i="109"/>
  <c r="H37" i="7"/>
  <c r="M18" i="109" s="1"/>
  <c r="F10" i="38"/>
  <c r="K37" i="109"/>
  <c r="L17" i="70"/>
  <c r="G94" i="11"/>
  <c r="J93" i="11"/>
  <c r="G60" i="11"/>
  <c r="J59" i="11"/>
  <c r="E33" i="7" s="1"/>
  <c r="J16" i="11"/>
  <c r="G23" i="11"/>
  <c r="R17" i="70"/>
  <c r="I24" i="7"/>
  <c r="N15" i="109" s="1"/>
  <c r="F24" i="7"/>
  <c r="K15" i="109" s="1"/>
  <c r="L43" i="109"/>
  <c r="G10" i="47"/>
  <c r="F94" i="11"/>
  <c r="I93" i="11"/>
  <c r="H38" i="11"/>
  <c r="C32" i="7" s="1"/>
  <c r="E39" i="11"/>
  <c r="J44" i="38"/>
  <c r="C17" i="8"/>
  <c r="F18" i="8"/>
  <c r="E18" i="8"/>
  <c r="G18" i="8"/>
  <c r="H16" i="7"/>
  <c r="M14" i="109" s="1"/>
  <c r="H17" i="47"/>
  <c r="M45" i="109" s="1"/>
  <c r="F11" i="47"/>
  <c r="I38" i="11"/>
  <c r="D32" i="7" s="1"/>
  <c r="F39" i="11"/>
  <c r="O37" i="109"/>
  <c r="D37" i="65"/>
  <c r="E19" i="11"/>
  <c r="H12" i="11"/>
  <c r="F42" i="7"/>
  <c r="I16" i="7"/>
  <c r="N14" i="109" s="1"/>
  <c r="I59" i="11"/>
  <c r="D33" i="7" s="1"/>
  <c r="F60" i="11"/>
  <c r="I13" i="11"/>
  <c r="F20" i="11"/>
  <c r="D31" i="109"/>
  <c r="C13" i="68"/>
  <c r="J10" i="38"/>
  <c r="F13" i="13"/>
  <c r="H13" i="13" s="1"/>
  <c r="E14" i="8"/>
  <c r="F14" i="8"/>
  <c r="G14" i="8"/>
  <c r="L13" i="109"/>
  <c r="H12" i="7"/>
  <c r="I16" i="11"/>
  <c r="F23" i="11"/>
  <c r="C38" i="11"/>
  <c r="E20" i="11"/>
  <c r="H13" i="11"/>
  <c r="G20" i="11"/>
  <c r="J13" i="11"/>
  <c r="I12" i="11"/>
  <c r="F19" i="11"/>
  <c r="L25" i="109"/>
  <c r="L10" i="22"/>
  <c r="H21" i="1"/>
  <c r="M55" i="109" s="1"/>
  <c r="M52" i="109"/>
  <c r="G24" i="7"/>
  <c r="L15" i="109" s="1"/>
  <c r="M24" i="109"/>
  <c r="M10" i="22"/>
  <c r="K34" i="65"/>
  <c r="J33" i="70"/>
  <c r="K33" i="70" s="1"/>
  <c r="H30" i="7"/>
  <c r="M16" i="109" s="1"/>
  <c r="I12" i="7"/>
  <c r="F12" i="7"/>
  <c r="G10" i="38"/>
  <c r="L37" i="109"/>
  <c r="N27" i="22"/>
  <c r="C11" i="11"/>
  <c r="C10" i="11" s="1"/>
  <c r="C17" i="11"/>
  <c r="J38" i="11"/>
  <c r="E32" i="7" s="1"/>
  <c r="G39" i="11"/>
  <c r="G44" i="11"/>
  <c r="H93" i="11"/>
  <c r="E94" i="11"/>
  <c r="J12" i="11"/>
  <c r="G19" i="11"/>
  <c r="G20" i="8"/>
  <c r="F20" i="8"/>
  <c r="E20" i="8"/>
  <c r="F44" i="11"/>
  <c r="C102" i="9" l="1"/>
  <c r="G103" i="9"/>
  <c r="F103" i="9"/>
  <c r="E103" i="9"/>
  <c r="J32" i="7"/>
  <c r="F98" i="9"/>
  <c r="G98" i="9"/>
  <c r="E98" i="9"/>
  <c r="D31" i="65"/>
  <c r="O31" i="109"/>
  <c r="K25" i="109"/>
  <c r="K10" i="22"/>
  <c r="G48" i="9"/>
  <c r="E48" i="9"/>
  <c r="F48" i="9"/>
  <c r="F41" i="9"/>
  <c r="G41" i="9"/>
  <c r="E41" i="9"/>
  <c r="H10" i="1"/>
  <c r="F10" i="47"/>
  <c r="K43" i="109"/>
  <c r="H10" i="11"/>
  <c r="E11" i="11"/>
  <c r="H11" i="8"/>
  <c r="J31" i="7"/>
  <c r="C30" i="7"/>
  <c r="C52" i="9"/>
  <c r="G53" i="9"/>
  <c r="F53" i="9"/>
  <c r="E53" i="9"/>
  <c r="C13" i="9"/>
  <c r="E20" i="9"/>
  <c r="G20" i="9"/>
  <c r="F20" i="9"/>
  <c r="C24" i="9"/>
  <c r="F25" i="9"/>
  <c r="G25" i="9"/>
  <c r="E25" i="9"/>
  <c r="C81" i="9"/>
  <c r="G82" i="9"/>
  <c r="F82" i="9"/>
  <c r="E82" i="9"/>
  <c r="N10" i="22"/>
  <c r="N22" i="109" s="1"/>
  <c r="N25" i="109"/>
  <c r="F16" i="11"/>
  <c r="I16" i="8"/>
  <c r="F13" i="11"/>
  <c r="I13" i="8"/>
  <c r="L42" i="109"/>
  <c r="D14" i="68"/>
  <c r="E30" i="7"/>
  <c r="F125" i="9"/>
  <c r="G125" i="9"/>
  <c r="E125" i="9"/>
  <c r="F84" i="9"/>
  <c r="G84" i="9"/>
  <c r="E84" i="9"/>
  <c r="C31" i="9"/>
  <c r="E32" i="9"/>
  <c r="G32" i="9"/>
  <c r="F32" i="9"/>
  <c r="H11" i="7"/>
  <c r="M13" i="109"/>
  <c r="M42" i="109"/>
  <c r="E14" i="68"/>
  <c r="E27" i="9"/>
  <c r="G27" i="9"/>
  <c r="F27" i="9"/>
  <c r="C12" i="9"/>
  <c r="F19" i="9"/>
  <c r="G19" i="9"/>
  <c r="E19" i="9"/>
  <c r="C119" i="9"/>
  <c r="C118" i="9" s="1"/>
  <c r="E120" i="9"/>
  <c r="F120" i="9"/>
  <c r="G120" i="9"/>
  <c r="C65" i="9"/>
  <c r="G73" i="9"/>
  <c r="F73" i="9"/>
  <c r="E73" i="9"/>
  <c r="F44" i="9"/>
  <c r="G44" i="9"/>
  <c r="E44" i="9"/>
  <c r="D13" i="68"/>
  <c r="L31" i="109"/>
  <c r="D12" i="68"/>
  <c r="L22" i="109"/>
  <c r="G11" i="7"/>
  <c r="G11" i="11"/>
  <c r="J10" i="11"/>
  <c r="J11" i="8"/>
  <c r="F87" i="9"/>
  <c r="G87" i="9"/>
  <c r="E87" i="9"/>
  <c r="C62" i="9"/>
  <c r="G70" i="9"/>
  <c r="E70" i="9"/>
  <c r="F70" i="9"/>
  <c r="G34" i="9"/>
  <c r="F34" i="9"/>
  <c r="E34" i="9"/>
  <c r="G47" i="9"/>
  <c r="E47" i="9"/>
  <c r="F47" i="9"/>
  <c r="F11" i="7"/>
  <c r="K13" i="109"/>
  <c r="F11" i="11"/>
  <c r="I10" i="11"/>
  <c r="I11" i="8"/>
  <c r="G101" i="9"/>
  <c r="E101" i="9"/>
  <c r="F101" i="9"/>
  <c r="G26" i="9"/>
  <c r="F26" i="9"/>
  <c r="E26" i="9"/>
  <c r="G51" i="9"/>
  <c r="F51" i="9"/>
  <c r="E51" i="9"/>
  <c r="G12" i="11"/>
  <c r="J12" i="8"/>
  <c r="N13" i="109"/>
  <c r="I11" i="7"/>
  <c r="F37" i="7"/>
  <c r="K18" i="109" s="1"/>
  <c r="K20" i="109"/>
  <c r="E122" i="9"/>
  <c r="G122" i="9"/>
  <c r="F122" i="9"/>
  <c r="F12" i="11"/>
  <c r="I12" i="8"/>
  <c r="E12" i="11"/>
  <c r="H12" i="8"/>
  <c r="K31" i="109"/>
  <c r="F13" i="68"/>
  <c r="J33" i="7"/>
  <c r="R30" i="70"/>
  <c r="D30" i="7"/>
  <c r="E40" i="9"/>
  <c r="F40" i="9"/>
  <c r="G40" i="9"/>
  <c r="G30" i="9"/>
  <c r="F30" i="9"/>
  <c r="E30" i="9"/>
  <c r="C60" i="9"/>
  <c r="C67" i="9"/>
  <c r="F68" i="9"/>
  <c r="E68" i="9"/>
  <c r="G68" i="9"/>
  <c r="G33" i="9"/>
  <c r="E33" i="9"/>
  <c r="F33" i="9"/>
  <c r="C16" i="9"/>
  <c r="G23" i="9"/>
  <c r="E23" i="9"/>
  <c r="F23" i="9"/>
  <c r="G58" i="9"/>
  <c r="F58" i="9"/>
  <c r="E58" i="9"/>
  <c r="L33" i="70"/>
  <c r="G13" i="11"/>
  <c r="J13" i="8"/>
  <c r="L20" i="109"/>
  <c r="G37" i="7"/>
  <c r="L18" i="109" s="1"/>
  <c r="R36" i="70"/>
  <c r="F83" i="9"/>
  <c r="E83" i="9"/>
  <c r="G83" i="9"/>
  <c r="F55" i="9"/>
  <c r="E55" i="9"/>
  <c r="G55" i="9"/>
  <c r="G105" i="9"/>
  <c r="F105" i="9"/>
  <c r="E105" i="9"/>
  <c r="E104" i="9"/>
  <c r="G104" i="9"/>
  <c r="F104" i="9"/>
  <c r="F54" i="9"/>
  <c r="G54" i="9"/>
  <c r="E54" i="9"/>
  <c r="C61" i="9"/>
  <c r="G69" i="9"/>
  <c r="F69" i="9"/>
  <c r="E69" i="9"/>
  <c r="J34" i="7"/>
  <c r="C17" i="109"/>
  <c r="M31" i="109"/>
  <c r="E13" i="68"/>
  <c r="F121" i="9"/>
  <c r="E121" i="9"/>
  <c r="G121" i="9"/>
  <c r="C38" i="9"/>
  <c r="F39" i="9"/>
  <c r="G39" i="9"/>
  <c r="E39" i="9"/>
  <c r="J36" i="70"/>
  <c r="K36" i="70" s="1"/>
  <c r="K37" i="65"/>
  <c r="C95" i="9"/>
  <c r="E96" i="9"/>
  <c r="G96" i="9"/>
  <c r="F96" i="9"/>
  <c r="C11" i="9"/>
  <c r="C17" i="9"/>
  <c r="E18" i="9"/>
  <c r="G18" i="9"/>
  <c r="F18" i="9"/>
  <c r="C45" i="9"/>
  <c r="E46" i="9"/>
  <c r="G46" i="9"/>
  <c r="F46" i="9"/>
  <c r="F37" i="9"/>
  <c r="E37" i="9"/>
  <c r="G37" i="9"/>
  <c r="M22" i="109"/>
  <c r="E12" i="68"/>
  <c r="E13" i="11"/>
  <c r="H13" i="8"/>
  <c r="G16" i="11"/>
  <c r="J16" i="8"/>
  <c r="G11" i="13" l="1"/>
  <c r="I11" i="13" s="1"/>
  <c r="G62" i="9"/>
  <c r="F62" i="9"/>
  <c r="E62" i="9"/>
  <c r="H10" i="8"/>
  <c r="G10" i="13"/>
  <c r="F12" i="8"/>
  <c r="K12" i="109"/>
  <c r="F10" i="7"/>
  <c r="G12" i="9"/>
  <c r="E12" i="9"/>
  <c r="F12" i="9"/>
  <c r="C12" i="8"/>
  <c r="F11" i="13" s="1"/>
  <c r="H11" i="13" s="1"/>
  <c r="J30" i="70"/>
  <c r="K30" i="70" s="1"/>
  <c r="K31" i="65"/>
  <c r="F12" i="68"/>
  <c r="K22" i="109"/>
  <c r="C17" i="65"/>
  <c r="O17" i="109"/>
  <c r="L36" i="70"/>
  <c r="F14" i="68"/>
  <c r="K42" i="109"/>
  <c r="J10" i="8"/>
  <c r="G13" i="9"/>
  <c r="E13" i="9"/>
  <c r="F13" i="9"/>
  <c r="C13" i="8"/>
  <c r="F12" i="13" s="1"/>
  <c r="H12" i="13" s="1"/>
  <c r="E15" i="68"/>
  <c r="M51" i="109"/>
  <c r="F13" i="8"/>
  <c r="G12" i="13"/>
  <c r="I12" i="13" s="1"/>
  <c r="G65" i="9"/>
  <c r="F65" i="9"/>
  <c r="E65" i="9"/>
  <c r="G12" i="8"/>
  <c r="G16" i="8"/>
  <c r="F61" i="9"/>
  <c r="G61" i="9"/>
  <c r="E61" i="9"/>
  <c r="L12" i="109"/>
  <c r="G10" i="7"/>
  <c r="E16" i="109"/>
  <c r="E16" i="65" s="1"/>
  <c r="P16" i="70" s="1"/>
  <c r="Q16" i="70" s="1"/>
  <c r="E11" i="7"/>
  <c r="G16" i="9"/>
  <c r="E16" i="9"/>
  <c r="F16" i="9"/>
  <c r="C16" i="8"/>
  <c r="E16" i="8" s="1"/>
  <c r="C10" i="9"/>
  <c r="G11" i="9"/>
  <c r="F11" i="9"/>
  <c r="E11" i="9"/>
  <c r="C11" i="8"/>
  <c r="H10" i="7"/>
  <c r="M12" i="109"/>
  <c r="C16" i="109"/>
  <c r="J30" i="7"/>
  <c r="C11" i="7"/>
  <c r="D16" i="109"/>
  <c r="D16" i="65" s="1"/>
  <c r="J16" i="70" s="1"/>
  <c r="K16" i="70" s="1"/>
  <c r="D11" i="7"/>
  <c r="N12" i="109"/>
  <c r="I10" i="7"/>
  <c r="N11" i="109" s="1"/>
  <c r="N10" i="109" s="1"/>
  <c r="C59" i="9"/>
  <c r="E60" i="9"/>
  <c r="F60" i="9"/>
  <c r="G60" i="9"/>
  <c r="I10" i="8"/>
  <c r="K11" i="109" l="1"/>
  <c r="K10" i="109" s="1"/>
  <c r="F11" i="68"/>
  <c r="F10" i="68" s="1"/>
  <c r="D11" i="68"/>
  <c r="D10" i="68" s="1"/>
  <c r="L11" i="109"/>
  <c r="L10" i="109" s="1"/>
  <c r="E11" i="8"/>
  <c r="F10" i="13"/>
  <c r="C10" i="8"/>
  <c r="K17" i="65"/>
  <c r="D17" i="70"/>
  <c r="E17" i="70" s="1"/>
  <c r="F16" i="8"/>
  <c r="G15" i="13"/>
  <c r="I15" i="13" s="1"/>
  <c r="I10" i="13"/>
  <c r="E11" i="68"/>
  <c r="E10" i="68" s="1"/>
  <c r="M11" i="109"/>
  <c r="M10" i="109" s="1"/>
  <c r="D12" i="109"/>
  <c r="D12" i="65" s="1"/>
  <c r="J12" i="70" s="1"/>
  <c r="K12" i="70" s="1"/>
  <c r="D10" i="7"/>
  <c r="L16" i="70"/>
  <c r="G11" i="8"/>
  <c r="C12" i="109"/>
  <c r="J11" i="7"/>
  <c r="C10" i="7"/>
  <c r="L30" i="70"/>
  <c r="F11" i="8"/>
  <c r="E12" i="8"/>
  <c r="C16" i="65"/>
  <c r="O16" i="109"/>
  <c r="E10" i="7"/>
  <c r="E11" i="109" s="1"/>
  <c r="E12" i="109"/>
  <c r="E12" i="65" s="1"/>
  <c r="P12" i="70" s="1"/>
  <c r="Q12" i="70" s="1"/>
  <c r="E13" i="8"/>
  <c r="R16" i="70"/>
  <c r="G13" i="8"/>
  <c r="C11" i="109" l="1"/>
  <c r="J10" i="7"/>
  <c r="F17" i="70"/>
  <c r="C12" i="65"/>
  <c r="O12" i="109"/>
  <c r="F15" i="13"/>
  <c r="H15" i="13" s="1"/>
  <c r="H10" i="13"/>
  <c r="R12" i="70"/>
  <c r="E11" i="65"/>
  <c r="P11" i="70" s="1"/>
  <c r="E10" i="109"/>
  <c r="E10" i="65" s="1"/>
  <c r="K16" i="65"/>
  <c r="D16" i="70"/>
  <c r="E16" i="70" s="1"/>
  <c r="D11" i="109"/>
  <c r="C11" i="68"/>
  <c r="C10" i="68" s="1"/>
  <c r="L12" i="70"/>
  <c r="D12" i="70" l="1"/>
  <c r="E12" i="70" s="1"/>
  <c r="K12" i="65"/>
  <c r="F16" i="70"/>
  <c r="D10" i="109"/>
  <c r="D10" i="65" s="1"/>
  <c r="D11" i="65"/>
  <c r="J11" i="70" s="1"/>
  <c r="Q11" i="70"/>
  <c r="P10" i="70"/>
  <c r="Q10" i="70" s="1"/>
  <c r="C11" i="65"/>
  <c r="O11" i="109"/>
  <c r="C10" i="109"/>
  <c r="J10" i="70" l="1"/>
  <c r="K10" i="70" s="1"/>
  <c r="K11" i="70"/>
  <c r="R10" i="70"/>
  <c r="C10" i="65"/>
  <c r="K10" i="65" s="1"/>
  <c r="O10" i="109"/>
  <c r="D11" i="70"/>
  <c r="K11" i="65"/>
  <c r="R11" i="70"/>
  <c r="F12" i="70"/>
  <c r="K71" i="65" l="1"/>
  <c r="K72" i="65"/>
  <c r="E11" i="70"/>
  <c r="D10" i="70"/>
  <c r="L11" i="70"/>
  <c r="L10" i="70"/>
  <c r="G34" i="73" l="1"/>
  <c r="E10" i="70"/>
  <c r="F11" i="70"/>
  <c r="H11" i="70"/>
  <c r="F10" i="70" l="1"/>
  <c r="H10" i="70"/>
  <c r="I34" i="73"/>
  <c r="J34" i="73" s="1"/>
  <c r="G35" i="73"/>
  <c r="T49" i="70"/>
  <c r="H45" i="70"/>
  <c r="H22" i="73"/>
  <c r="T44" i="70"/>
  <c r="H24" i="73"/>
  <c r="H23" i="73"/>
  <c r="H25" i="73"/>
  <c r="H46" i="70"/>
  <c r="H65" i="70"/>
  <c r="H21" i="73"/>
  <c r="N42" i="70"/>
  <c r="T43" i="70"/>
  <c r="T45" i="70"/>
  <c r="T42" i="70"/>
  <c r="N43" i="70"/>
  <c r="H42" i="70"/>
  <c r="T54" i="70"/>
  <c r="H44" i="70"/>
  <c r="N51" i="70"/>
  <c r="H48" i="70"/>
  <c r="N44" i="70"/>
  <c r="T52" i="70"/>
  <c r="T50" i="70"/>
  <c r="H43" i="70"/>
  <c r="H38" i="70"/>
  <c r="N45" i="70"/>
  <c r="T19" i="70"/>
  <c r="N25" i="70"/>
  <c r="H37" i="70"/>
  <c r="N50" i="70"/>
  <c r="N54" i="70"/>
  <c r="Z28" i="73"/>
  <c r="H41" i="70"/>
  <c r="Z27" i="73"/>
  <c r="T25" i="70"/>
  <c r="T24" i="70"/>
  <c r="N52" i="70"/>
  <c r="T22" i="70"/>
  <c r="N20" i="70"/>
  <c r="N15" i="70"/>
  <c r="Z10" i="73"/>
  <c r="N14" i="70"/>
  <c r="T61" i="70"/>
  <c r="H30" i="70"/>
  <c r="T14" i="70"/>
  <c r="T59" i="70"/>
  <c r="N61" i="70"/>
  <c r="T60" i="70"/>
  <c r="T15" i="70"/>
  <c r="H25" i="70"/>
  <c r="N19" i="70"/>
  <c r="T46" i="70"/>
  <c r="N32" i="70"/>
  <c r="H24" i="70"/>
  <c r="T18" i="70"/>
  <c r="H29" i="70"/>
  <c r="N24" i="70"/>
  <c r="N18" i="70"/>
  <c r="N59" i="70"/>
  <c r="T41" i="70"/>
  <c r="T20" i="70"/>
  <c r="N60" i="70"/>
  <c r="T34" i="70"/>
  <c r="H10" i="73"/>
  <c r="N10" i="73"/>
  <c r="N13" i="73"/>
  <c r="N22" i="70"/>
  <c r="H26" i="70"/>
  <c r="N13" i="70"/>
  <c r="H64" i="70"/>
  <c r="H53" i="70"/>
  <c r="H21" i="70"/>
  <c r="H60" i="70"/>
  <c r="T13" i="70"/>
  <c r="H61" i="70"/>
  <c r="H20" i="70"/>
  <c r="N31" i="70"/>
  <c r="H13" i="70"/>
  <c r="H19" i="70"/>
  <c r="T32" i="70"/>
  <c r="H14" i="70"/>
  <c r="H50" i="70"/>
  <c r="H59" i="70"/>
  <c r="H23" i="70"/>
  <c r="H22" i="70"/>
  <c r="N46" i="70"/>
  <c r="H15" i="70"/>
  <c r="H18" i="70"/>
  <c r="H63" i="70"/>
  <c r="N41" i="70"/>
  <c r="T17" i="70"/>
  <c r="N17" i="70"/>
  <c r="T30" i="70"/>
  <c r="N33" i="70"/>
  <c r="T36" i="70"/>
  <c r="N36" i="70"/>
  <c r="N30" i="70"/>
  <c r="N16" i="70"/>
  <c r="T16" i="70"/>
  <c r="H17" i="70"/>
  <c r="N12" i="70"/>
  <c r="T12" i="70"/>
  <c r="H16" i="70"/>
  <c r="H12" i="70"/>
  <c r="T10" i="70"/>
  <c r="T11" i="70"/>
  <c r="N11" i="70"/>
  <c r="N10" i="70"/>
  <c r="I35" i="73" l="1"/>
  <c r="J35" i="73" s="1"/>
  <c r="G22" i="73"/>
  <c r="G24" i="73"/>
  <c r="G25" i="73"/>
  <c r="G23" i="73"/>
  <c r="G65" i="70"/>
  <c r="G21" i="73"/>
  <c r="S54" i="70"/>
  <c r="M51" i="70"/>
  <c r="S52" i="70"/>
  <c r="S50" i="70"/>
  <c r="G38" i="70"/>
  <c r="S19" i="70"/>
  <c r="G37" i="70"/>
  <c r="M25" i="70"/>
  <c r="M50" i="70"/>
  <c r="M54" i="70"/>
  <c r="Y27" i="73"/>
  <c r="S25" i="70"/>
  <c r="Y28" i="73"/>
  <c r="S60" i="70"/>
  <c r="M20" i="70"/>
  <c r="S24" i="70"/>
  <c r="S22" i="70"/>
  <c r="M52" i="70"/>
  <c r="M15" i="70"/>
  <c r="M14" i="70"/>
  <c r="Y10" i="73"/>
  <c r="S61" i="70"/>
  <c r="G30" i="70"/>
  <c r="S14" i="70"/>
  <c r="S59" i="70"/>
  <c r="M61" i="70"/>
  <c r="M18" i="70"/>
  <c r="S20" i="70"/>
  <c r="M60" i="70"/>
  <c r="M59" i="70"/>
  <c r="S15" i="70"/>
  <c r="M19" i="70"/>
  <c r="S34" i="70"/>
  <c r="M32" i="70"/>
  <c r="G24" i="70"/>
  <c r="S18" i="70"/>
  <c r="G25" i="70"/>
  <c r="G29" i="70"/>
  <c r="M24" i="70"/>
  <c r="M13" i="70"/>
  <c r="G10" i="73"/>
  <c r="M10" i="73"/>
  <c r="M13" i="73"/>
  <c r="G26" i="70"/>
  <c r="M22" i="70"/>
  <c r="S13" i="70"/>
  <c r="G64" i="70"/>
  <c r="G21" i="70"/>
  <c r="G53" i="70"/>
  <c r="G60" i="70"/>
  <c r="G61" i="70"/>
  <c r="M31" i="70"/>
  <c r="G20" i="70"/>
  <c r="G13" i="70"/>
  <c r="G59" i="70"/>
  <c r="G50" i="70"/>
  <c r="G19" i="70"/>
  <c r="G14" i="70"/>
  <c r="S32" i="70"/>
  <c r="G23" i="70"/>
  <c r="G63" i="70"/>
  <c r="G22" i="70"/>
  <c r="G15" i="70"/>
  <c r="G18" i="70"/>
  <c r="S17" i="70"/>
  <c r="M17" i="70"/>
  <c r="S36" i="70"/>
  <c r="M33" i="70"/>
  <c r="S30" i="70"/>
  <c r="M36" i="70"/>
  <c r="S16" i="70"/>
  <c r="M30" i="70"/>
  <c r="M16" i="70"/>
  <c r="S12" i="70"/>
  <c r="M12" i="70"/>
  <c r="G17" i="70"/>
  <c r="G16" i="70"/>
  <c r="G12" i="70"/>
  <c r="S10" i="70"/>
  <c r="S11" i="70"/>
  <c r="M11" i="70"/>
  <c r="M10" i="70"/>
  <c r="G11" i="70"/>
  <c r="G10" i="70"/>
</calcChain>
</file>

<file path=xl/sharedStrings.xml><?xml version="1.0" encoding="utf-8"?>
<sst xmlns="http://schemas.openxmlformats.org/spreadsheetml/2006/main" count="19168" uniqueCount="2462">
  <si>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</si>
  <si>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</si>
  <si>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</si>
  <si>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</si>
  <si>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</si>
  <si>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</si>
  <si>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</si>
  <si>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</si>
  <si>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</si>
  <si>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</si>
  <si>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</si>
  <si>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</si>
  <si>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</si>
  <si>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</si>
  <si>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</si>
  <si>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</si>
  <si>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</si>
  <si>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</si>
  <si>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</si>
  <si>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</si>
  <si>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</si>
  <si>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</si>
  <si>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</si>
  <si>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</si>
  <si>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</si>
  <si>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</si>
  <si>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</si>
  <si>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</si>
  <si>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</si>
  <si>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</si>
  <si>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</si>
  <si>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</si>
  <si>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</si>
  <si>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</si>
  <si>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</si>
  <si>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</si>
  <si>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</si>
  <si>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</si>
  <si>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</si>
  <si>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</si>
  <si>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</si>
  <si>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</si>
  <si>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</si>
  <si>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</si>
  <si>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</si>
  <si>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</si>
  <si>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</si>
  <si>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</si>
  <si>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</si>
  <si>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</si>
  <si>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</si>
  <si>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</si>
  <si>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</si>
  <si>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</si>
  <si>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</si>
  <si>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</si>
  <si>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</si>
  <si>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</si>
  <si>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</si>
  <si>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</si>
  <si>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</si>
  <si>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</si>
  <si>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</si>
  <si>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</si>
  <si>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</si>
  <si>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</si>
  <si>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</si>
  <si>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</si>
  <si>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</si>
  <si>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</si>
  <si>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</si>
  <si>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</si>
  <si>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</si>
  <si>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</si>
  <si>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</si>
  <si>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</si>
  <si>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</si>
  <si>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</si>
  <si>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</si>
  <si>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</si>
  <si>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</si>
  <si>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</si>
  <si>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</si>
  <si>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</si>
  <si>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</si>
  <si>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</si>
  <si>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</si>
  <si>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</si>
  <si>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</si>
  <si>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</si>
  <si>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</si>
  <si>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</si>
  <si>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</si>
  <si>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</si>
  <si>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</si>
  <si>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</si>
  <si>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</si>
  <si>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</si>
  <si>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</si>
  <si>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</si>
  <si>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</si>
  <si>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</si>
  <si>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</si>
  <si>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</si>
  <si>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</si>
  <si>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</si>
  <si>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</si>
  <si>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</si>
  <si>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</si>
  <si>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</si>
  <si>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</si>
  <si>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</si>
  <si>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</si>
  <si>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</si>
  <si>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</si>
  <si>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</si>
  <si>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</si>
  <si>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</si>
  <si>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</si>
  <si>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</si>
  <si>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</si>
  <si>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</si>
  <si>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</si>
  <si>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</si>
  <si>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</si>
  <si>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</si>
  <si>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</si>
  <si>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</si>
  <si>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</si>
  <si>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</si>
  <si>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</si>
  <si>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</si>
  <si>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</si>
  <si>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</si>
  <si>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</si>
  <si>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</si>
  <si>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</si>
  <si>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</si>
  <si>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</si>
  <si>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</si>
  <si>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</si>
  <si>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</si>
  <si>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</si>
  <si>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</si>
  <si>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</si>
  <si>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</si>
  <si>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</si>
  <si>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</si>
  <si>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</si>
  <si>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</si>
  <si>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</si>
  <si>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</si>
  <si>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</si>
  <si>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</si>
  <si>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</si>
  <si>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</si>
  <si>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</si>
  <si>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</si>
  <si>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</si>
  <si>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</si>
  <si>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</si>
  <si>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</si>
  <si>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</si>
  <si>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</si>
  <si>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</si>
  <si>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</si>
  <si>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</si>
  <si>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</si>
  <si>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</si>
  <si>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</si>
  <si>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</si>
  <si>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</si>
  <si>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</si>
  <si>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</si>
  <si>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</si>
  <si>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</si>
  <si>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</si>
  <si>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</si>
  <si>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</si>
  <si>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</si>
  <si>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</si>
  <si>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</si>
  <si>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</si>
  <si>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</si>
  <si>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</si>
  <si>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</si>
  <si>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</si>
  <si>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</si>
  <si>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</si>
  <si>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</si>
  <si>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</si>
  <si>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</si>
  <si>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</si>
  <si>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</si>
  <si>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</si>
  <si>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</si>
  <si>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</si>
  <si>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</si>
  <si>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</si>
  <si>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</si>
  <si>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</si>
  <si>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</si>
  <si>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</si>
  <si>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</si>
  <si>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</si>
  <si>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</si>
  <si>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</si>
  <si>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</si>
  <si>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</si>
  <si>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</si>
  <si>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</si>
  <si>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</si>
  <si>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</si>
  <si>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</si>
  <si>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</si>
  <si>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</si>
  <si>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</si>
  <si>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</si>
  <si>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</si>
  <si>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</si>
  <si>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</si>
  <si>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</si>
  <si>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</si>
  <si>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</si>
  <si>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</si>
  <si>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</si>
  <si>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</si>
  <si>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</si>
  <si>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</si>
  <si>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</si>
  <si>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</si>
  <si>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</si>
  <si>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</si>
  <si>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</si>
  <si>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</si>
  <si>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</si>
  <si>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</si>
  <si>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</si>
  <si>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</si>
  <si>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</si>
  <si>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</si>
  <si>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</si>
  <si>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</si>
  <si>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</si>
  <si>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</si>
  <si>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</si>
  <si>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</si>
  <si>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</si>
  <si>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</si>
  <si>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</si>
  <si>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</si>
  <si>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</si>
  <si>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</si>
  <si>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</si>
  <si>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</si>
  <si>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</si>
  <si>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</si>
  <si>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</si>
  <si>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</si>
  <si>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</si>
  <si>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</si>
  <si>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</si>
  <si>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</si>
  <si>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</si>
  <si>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</si>
  <si>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</si>
  <si>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</si>
  <si>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</si>
  <si>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</si>
  <si>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</si>
  <si>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</si>
  <si>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</si>
  <si>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</si>
  <si>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</si>
  <si>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</si>
  <si>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</si>
  <si>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</si>
  <si>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</si>
  <si>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</si>
  <si>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</si>
  <si>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</si>
  <si>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</si>
  <si>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</si>
  <si>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</si>
  <si>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</si>
  <si>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</si>
  <si>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</si>
  <si>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</si>
  <si>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</si>
  <si>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</si>
  <si>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</si>
  <si>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</si>
  <si>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</si>
  <si>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</si>
  <si>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</si>
  <si>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</si>
  <si>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</si>
  <si>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</si>
  <si>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</si>
  <si>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</si>
  <si>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</si>
  <si>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</si>
  <si>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</si>
  <si>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</si>
  <si>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</si>
  <si>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</si>
  <si>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</si>
  <si>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</si>
  <si>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</si>
  <si>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</si>
  <si>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</si>
  <si>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</si>
  <si>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</si>
  <si>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</si>
  <si>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</si>
  <si>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</si>
  <si>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</si>
  <si>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</si>
  <si>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</si>
  <si>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</si>
  <si>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</si>
  <si>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</si>
  <si>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</si>
  <si>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</si>
  <si>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</si>
  <si>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</si>
  <si>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</si>
  <si>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</si>
  <si>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</si>
  <si>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</si>
  <si>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</si>
  <si>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</si>
  <si>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</si>
  <si>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</si>
  <si>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</si>
  <si>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</si>
  <si>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</si>
  <si>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</si>
  <si>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</si>
  <si>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</si>
  <si>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</si>
  <si>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</si>
  <si>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</si>
  <si>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</si>
  <si>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</si>
  <si>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</si>
  <si>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</si>
  <si>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</si>
  <si>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</si>
  <si>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</si>
  <si>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</si>
  <si>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</si>
  <si>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</si>
  <si>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</si>
  <si>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</si>
  <si>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</si>
  <si>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</si>
  <si>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</si>
  <si>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</si>
  <si>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</si>
  <si>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</si>
  <si>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</si>
  <si>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</si>
  <si>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</si>
  <si>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</si>
  <si>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</si>
  <si>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</si>
  <si>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</si>
  <si>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</si>
  <si>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</si>
  <si>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</si>
  <si>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</si>
  <si>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</si>
  <si>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</si>
  <si>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</si>
  <si>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</si>
  <si>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</si>
  <si>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</si>
  <si>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</si>
  <si>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</si>
  <si>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</si>
  <si>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</si>
  <si>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</si>
  <si>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</si>
  <si>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</si>
  <si>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</si>
  <si>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</si>
  <si>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</si>
  <si>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</si>
  <si>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</si>
  <si>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</si>
  <si>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</si>
  <si>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</si>
  <si>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</si>
  <si>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</si>
  <si>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</si>
  <si>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</si>
  <si>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</si>
  <si>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</si>
  <si>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</si>
  <si>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</si>
  <si>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</si>
  <si>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</si>
  <si>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</si>
  <si>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</si>
  <si>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</si>
  <si>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</si>
  <si>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</si>
  <si>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</si>
  <si>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</si>
  <si>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</si>
  <si>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</si>
  <si>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</si>
  <si>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</si>
  <si>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</si>
  <si>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</si>
  <si>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</si>
  <si>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</si>
  <si>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</si>
  <si>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</si>
  <si>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</si>
  <si>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</si>
  <si>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</si>
  <si>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</si>
  <si>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</si>
  <si>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</si>
  <si>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</si>
  <si>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</si>
  <si>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</si>
  <si>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</si>
  <si>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</si>
  <si>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</si>
  <si>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</si>
  <si>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</si>
  <si>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</si>
  <si>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</si>
  <si>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</si>
  <si>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</si>
  <si>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</si>
  <si>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</si>
  <si>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</si>
  <si>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</si>
  <si>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</si>
  <si>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</si>
  <si>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</si>
  <si>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</si>
  <si>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</si>
  <si>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</si>
  <si>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</si>
  <si>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</si>
  <si>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</si>
  <si>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</si>
  <si>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</si>
  <si>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</si>
  <si>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</si>
  <si>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</si>
  <si>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</si>
  <si>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</si>
  <si>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</si>
  <si>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</si>
  <si>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</si>
  <si>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</si>
  <si>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</si>
  <si>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</si>
  <si>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</si>
  <si>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</si>
  <si>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</si>
  <si>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</si>
  <si>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</si>
  <si>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</si>
  <si>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</si>
  <si>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</si>
  <si>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</si>
  <si>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</si>
  <si>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</si>
  <si>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</si>
  <si>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</si>
  <si>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</si>
  <si>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</si>
  <si>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</si>
  <si>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</si>
  <si>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</si>
  <si>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</si>
  <si>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</si>
  <si>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</si>
  <si>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</si>
  <si>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</si>
  <si>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</si>
  <si>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</si>
  <si>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</si>
  <si>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</si>
  <si>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</si>
  <si>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</si>
  <si>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</si>
  <si>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</si>
  <si>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</si>
  <si>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</si>
  <si>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</si>
  <si>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</si>
  <si>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</si>
  <si>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</si>
  <si>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</si>
  <si>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</si>
  <si>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</si>
  <si>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</si>
  <si>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</si>
  <si>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</si>
  <si>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</si>
  <si>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</si>
  <si>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</si>
  <si>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</si>
  <si>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</si>
  <si>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</si>
  <si>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</si>
  <si>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</si>
  <si>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</si>
  <si>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</si>
  <si>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</si>
  <si>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</si>
  <si>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</si>
  <si>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</si>
  <si>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</si>
  <si>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</si>
  <si>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</si>
  <si>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</si>
  <si>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</si>
  <si>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</si>
  <si>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</si>
  <si>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</si>
  <si>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</si>
  <si>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</si>
  <si>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</si>
  <si>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</si>
  <si>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</si>
  <si>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</si>
  <si>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</si>
  <si>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</si>
  <si>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</si>
  <si>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</si>
  <si>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</si>
  <si>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</si>
  <si>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</si>
  <si>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</si>
  <si>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</si>
  <si>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</si>
  <si>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</si>
  <si>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</si>
  <si>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</si>
  <si>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</si>
  <si>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</si>
  <si>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</si>
  <si>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</si>
  <si>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</si>
  <si>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</si>
  <si>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</si>
  <si>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</si>
  <si>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</si>
  <si>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</si>
  <si>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</si>
  <si>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</si>
  <si>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</si>
  <si>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</si>
  <si>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</si>
  <si>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</si>
  <si>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</si>
  <si>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</si>
  <si>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</si>
  <si>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</si>
  <si>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</si>
  <si>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</si>
  <si>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</si>
  <si>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</si>
  <si>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</si>
  <si>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</si>
  <si>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</si>
  <si>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</si>
  <si>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</si>
  <si>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</si>
  <si>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</si>
  <si>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</si>
  <si>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</si>
  <si>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</si>
  <si>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</si>
  <si>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</si>
  <si>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</si>
  <si>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</si>
  <si>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</si>
  <si>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</si>
  <si>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</si>
  <si>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</si>
  <si>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</si>
  <si>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</si>
  <si>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</si>
  <si>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</si>
  <si>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</si>
  <si>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</si>
  <si>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</si>
  <si>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</si>
  <si>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</si>
  <si>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</si>
  <si>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</si>
  <si>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</si>
  <si>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</si>
  <si>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</si>
  <si>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</si>
  <si>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</si>
  <si>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</si>
  <si>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</si>
  <si>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</si>
  <si>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</si>
  <si>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</si>
  <si>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</si>
  <si>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</si>
  <si>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</si>
  <si>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</si>
  <si>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</si>
  <si>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</si>
  <si>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</si>
  <si>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</si>
  <si>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</si>
  <si>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</si>
  <si>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</si>
  <si>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</si>
  <si>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</si>
  <si>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</si>
  <si>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</si>
  <si>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</si>
  <si>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</si>
  <si>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</si>
  <si>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</si>
  <si>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</si>
  <si>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</si>
  <si>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</si>
  <si>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</si>
  <si>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</si>
  <si>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</si>
  <si>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</si>
  <si>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</si>
  <si>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</si>
  <si>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</si>
  <si>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</si>
  <si>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</si>
  <si>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</si>
  <si>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</si>
  <si>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</si>
  <si>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</si>
  <si>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</si>
  <si>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</si>
  <si>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</si>
  <si>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</si>
  <si>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</si>
  <si>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</si>
  <si>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</si>
  <si>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</si>
  <si>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</si>
  <si>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</si>
  <si>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</si>
  <si>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</si>
  <si>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</si>
  <si>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</si>
  <si>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</si>
  <si>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</si>
  <si>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</si>
  <si>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</si>
  <si>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</si>
  <si>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</si>
  <si>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</si>
  <si>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</si>
  <si>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</si>
  <si>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</si>
  <si>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</si>
  <si>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</si>
  <si>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</si>
  <si>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</si>
  <si>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</si>
  <si>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</si>
  <si>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</si>
  <si>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</si>
  <si>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</si>
  <si>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</si>
  <si>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</si>
  <si>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</si>
  <si>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</si>
  <si>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</si>
  <si>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</si>
  <si>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</si>
  <si>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</si>
  <si>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</si>
  <si>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</si>
  <si>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</si>
  <si>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</si>
  <si>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</si>
  <si>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</si>
  <si>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</si>
  <si>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</si>
  <si>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</si>
  <si>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</si>
  <si>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</si>
  <si>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</si>
  <si>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</si>
  <si>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</si>
  <si>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</si>
  <si>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</si>
  <si>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</si>
  <si>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</si>
  <si>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</si>
  <si>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</si>
  <si>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</si>
  <si>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</si>
  <si>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</si>
  <si>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</si>
  <si>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</si>
  <si>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</si>
  <si>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</si>
  <si>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</si>
  <si>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</si>
  <si>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</si>
  <si>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</si>
  <si>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</si>
  <si>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</si>
  <si>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</si>
  <si>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</si>
  <si>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</si>
  <si>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</si>
  <si>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</si>
  <si>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</si>
  <si>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</si>
  <si>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</si>
  <si>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</si>
  <si>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</si>
  <si>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</si>
  <si>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</si>
  <si>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</si>
  <si>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</si>
  <si>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</si>
  <si>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</si>
  <si>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</si>
  <si>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</si>
  <si>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</si>
  <si>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</si>
  <si>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</si>
  <si>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</si>
  <si>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</si>
  <si>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</si>
  <si>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</si>
  <si>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</si>
  <si>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</si>
  <si>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</si>
  <si>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</si>
  <si>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</si>
  <si>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</si>
  <si>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</si>
  <si>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</si>
  <si>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</si>
  <si>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</si>
  <si>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</si>
  <si>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</si>
  <si>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</si>
  <si>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</si>
  <si>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</si>
  <si>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</si>
  <si>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</si>
  <si>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</si>
  <si>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</si>
  <si>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</si>
  <si>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</si>
  <si>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</si>
  <si>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</si>
  <si>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</si>
  <si>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</si>
  <si>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</si>
  <si>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</si>
  <si>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</si>
  <si>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</si>
  <si>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</si>
  <si>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</si>
  <si>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</si>
  <si>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</si>
  <si>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</si>
  <si>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</si>
  <si>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</si>
  <si>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</si>
  <si>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</si>
  <si>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</si>
  <si>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</si>
  <si>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</si>
  <si>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</si>
  <si>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</si>
  <si>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</si>
  <si>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</si>
  <si>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</si>
  <si>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</si>
  <si>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</si>
  <si>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</si>
  <si>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</si>
  <si>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</si>
  <si>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</si>
  <si>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</si>
  <si>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</si>
  <si>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</si>
  <si>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</si>
  <si>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</si>
  <si>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</si>
  <si>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</si>
  <si>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</si>
  <si>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</si>
  <si>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</si>
  <si>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</si>
  <si>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</si>
  <si>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</si>
  <si>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</si>
  <si>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</si>
  <si>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</si>
  <si>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</si>
  <si>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</si>
  <si>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</si>
  <si>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</si>
  <si>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</si>
  <si>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</si>
  <si>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</si>
  <si>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</si>
  <si>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</si>
  <si>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</si>
  <si>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</si>
  <si>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</si>
  <si>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</si>
  <si>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</si>
  <si>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</si>
  <si>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</si>
  <si>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</si>
  <si>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</si>
  <si>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</si>
  <si>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</si>
  <si>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</si>
  <si>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</si>
  <si>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</si>
  <si>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</si>
  <si>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</si>
  <si>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</si>
  <si>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</si>
  <si>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</si>
  <si>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</si>
  <si>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</si>
  <si>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</si>
  <si>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</si>
  <si>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</si>
  <si>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</si>
  <si>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</si>
  <si>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</si>
  <si>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</si>
  <si>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</si>
  <si>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</si>
  <si>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</si>
  <si>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</si>
  <si>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</si>
  <si>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</si>
  <si>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</si>
  <si>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</si>
  <si>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</si>
  <si>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</si>
  <si>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</si>
  <si>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</si>
  <si>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</si>
  <si>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</si>
  <si>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</si>
  <si>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</si>
  <si>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</si>
  <si>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</si>
  <si>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</si>
  <si>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</si>
  <si>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</si>
  <si>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</si>
  <si>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</si>
  <si>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</si>
  <si>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</si>
  <si>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</si>
  <si>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</si>
  <si>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</si>
  <si>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</si>
  <si>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</si>
  <si>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</si>
  <si>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</si>
  <si>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</si>
  <si>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</si>
  <si>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</si>
  <si>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</si>
  <si>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</si>
  <si>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</si>
  <si>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</si>
  <si>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</si>
  <si>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</si>
  <si>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</si>
  <si>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</si>
  <si>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</si>
  <si>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</si>
  <si>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</si>
  <si>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</si>
  <si>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</si>
  <si>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</si>
  <si>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</si>
  <si>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</si>
  <si>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</si>
  <si>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</si>
  <si>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</si>
  <si>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</si>
  <si>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</si>
  <si>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</si>
  <si>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</si>
  <si>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</si>
  <si>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</si>
  <si>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</si>
  <si>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</si>
  <si>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</si>
  <si>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</si>
  <si>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</si>
  <si>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</si>
  <si>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</si>
  <si>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</si>
  <si>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</si>
  <si>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</si>
  <si>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</si>
  <si>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</si>
  <si>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</si>
  <si>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</si>
  <si>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</si>
  <si>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</si>
  <si>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</si>
  <si>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</si>
  <si>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</si>
  <si>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</si>
  <si>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</si>
  <si>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</si>
  <si>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</si>
  <si>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</si>
  <si>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</si>
  <si>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</si>
  <si>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</si>
  <si>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</si>
  <si>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</si>
  <si>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</si>
  <si>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</si>
  <si>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</si>
  <si>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</si>
  <si>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</si>
  <si>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</si>
  <si>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</si>
  <si>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</si>
  <si>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</si>
  <si>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</si>
  <si>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</si>
  <si>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</si>
  <si>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</si>
  <si>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</si>
  <si>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</si>
  <si>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</si>
  <si>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</si>
  <si>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</si>
  <si>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</si>
  <si>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</si>
  <si>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</si>
  <si>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</si>
  <si>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</si>
  <si>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</si>
  <si>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</si>
  <si>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</si>
  <si>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</si>
  <si>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</si>
  <si>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</si>
  <si>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</si>
  <si>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</si>
  <si>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</si>
  <si>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</si>
  <si>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</si>
  <si>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</si>
  <si>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</si>
  <si>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</si>
  <si>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</si>
  <si>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</si>
  <si>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</si>
  <si>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</si>
  <si>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</si>
  <si>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</si>
  <si>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</si>
  <si>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</si>
  <si>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</si>
  <si>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</si>
  <si>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</si>
  <si>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</si>
  <si>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</si>
  <si>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</si>
  <si>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</si>
  <si>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</si>
  <si>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</si>
  <si>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</si>
  <si>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</si>
  <si>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</si>
  <si>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</si>
  <si>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</si>
  <si>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</si>
  <si>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</si>
  <si>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</si>
  <si>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</si>
  <si>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</si>
  <si>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</si>
  <si>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</si>
  <si>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</si>
  <si>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</si>
  <si>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</si>
  <si>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</si>
  <si>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</si>
  <si>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</si>
  <si>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</si>
  <si>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</si>
  <si>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</si>
  <si>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</si>
  <si>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</si>
  <si>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</si>
  <si>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</si>
  <si>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</si>
  <si>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</si>
  <si>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</si>
  <si>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</si>
  <si>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</si>
  <si>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</si>
  <si>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</si>
  <si>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</si>
  <si>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</si>
  <si>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</si>
  <si>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</si>
  <si>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</si>
  <si>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</si>
  <si>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</si>
  <si>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</si>
  <si>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</si>
  <si>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</si>
  <si>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</si>
  <si>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</si>
  <si>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</si>
  <si>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</si>
  <si>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</si>
  <si>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</si>
  <si>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</si>
  <si>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</si>
  <si>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</si>
  <si>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</si>
  <si>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</si>
  <si>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</si>
  <si>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</si>
  <si>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</si>
  <si>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</si>
  <si>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</si>
  <si>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</si>
  <si>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</si>
  <si>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</si>
  <si>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</si>
  <si>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</si>
  <si>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</si>
  <si>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</si>
  <si>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</si>
  <si>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</si>
  <si>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</si>
  <si>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</si>
  <si>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</si>
  <si>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</si>
  <si>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</si>
  <si>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</si>
  <si>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</si>
  <si>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</si>
  <si>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</si>
  <si>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</si>
  <si>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</si>
  <si>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</si>
  <si>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</si>
  <si>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</si>
  <si>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</si>
  <si>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</si>
  <si>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</si>
  <si>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</si>
  <si>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</si>
  <si>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</si>
  <si>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</si>
  <si>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</si>
  <si>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</si>
  <si>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</si>
  <si>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</si>
  <si>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</si>
  <si>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</si>
  <si>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</si>
  <si>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</si>
  <si>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</si>
  <si>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</si>
  <si>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</si>
  <si>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</si>
  <si>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</si>
  <si>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</si>
  <si>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</si>
  <si>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</si>
  <si>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</si>
  <si>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</si>
  <si>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</si>
  <si>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</si>
  <si>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</si>
  <si>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</si>
  <si>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</si>
  <si>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</si>
  <si>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</si>
  <si>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</si>
  <si>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</si>
  <si>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</si>
  <si>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</si>
  <si>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</si>
  <si>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</si>
  <si>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</si>
  <si>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</si>
  <si>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</si>
  <si>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</si>
  <si>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</si>
  <si>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</si>
  <si>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</si>
  <si>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</si>
  <si>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</si>
  <si>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</si>
  <si>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</si>
  <si>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</si>
  <si>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</si>
  <si>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</si>
  <si>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</si>
  <si>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</si>
  <si>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</si>
  <si>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</si>
  <si>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</si>
  <si>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</si>
  <si>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</si>
  <si>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</si>
  <si>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</si>
  <si>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</si>
  <si>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</si>
  <si>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</si>
  <si>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</si>
  <si>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</si>
  <si>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</si>
  <si>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</si>
  <si>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</si>
  <si>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</si>
  <si>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</si>
  <si>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</si>
  <si>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</si>
  <si>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</si>
  <si>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</si>
  <si>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</si>
  <si>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</si>
  <si>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</si>
  <si>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</si>
  <si>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</si>
  <si>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</si>
  <si>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</si>
  <si>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</si>
  <si>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</si>
  <si>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</si>
  <si>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</si>
  <si>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</si>
  <si>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</si>
  <si>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</si>
  <si>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</si>
  <si>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</si>
  <si>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</si>
  <si>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</si>
  <si>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</si>
  <si>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</si>
  <si>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</si>
  <si>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</si>
  <si>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</si>
  <si>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</si>
  <si>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</si>
  <si>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</si>
  <si>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</si>
  <si>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</si>
  <si>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</si>
  <si>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</si>
  <si>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</si>
  <si>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</si>
  <si>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</si>
  <si>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</si>
  <si>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</si>
  <si>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</si>
  <si>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</si>
  <si>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</si>
  <si>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</si>
  <si>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</si>
  <si>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</si>
  <si>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</si>
  <si>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</si>
  <si>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</si>
  <si>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</si>
  <si>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</si>
  <si>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</si>
  <si>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</si>
  <si>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</si>
  <si>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</si>
  <si>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</si>
  <si>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</si>
  <si>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</si>
  <si>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</si>
  <si>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</si>
  <si>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</si>
  <si>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</si>
  <si>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</si>
  <si>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</si>
  <si>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</si>
  <si>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</si>
  <si>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</si>
  <si>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</si>
  <si>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</si>
  <si>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</si>
  <si>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</si>
  <si>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</si>
  <si>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</si>
  <si>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</si>
  <si>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</si>
  <si>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</si>
  <si>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</si>
  <si>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</si>
  <si>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</si>
  <si>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</si>
  <si>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</si>
  <si>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</si>
  <si>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</si>
  <si>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</si>
  <si>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</si>
  <si>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</si>
  <si>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</si>
  <si>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</si>
  <si>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</si>
  <si>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</si>
  <si>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</si>
  <si>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</si>
  <si>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</si>
  <si>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</si>
  <si>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</si>
  <si>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</si>
  <si>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</si>
  <si>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</si>
  <si>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</si>
  <si>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</si>
  <si>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</si>
  <si>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</si>
  <si>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</si>
  <si>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</si>
  <si>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</si>
  <si>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</si>
  <si>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</si>
  <si>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</si>
  <si>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</si>
  <si>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</si>
  <si>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</si>
  <si>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</si>
  <si>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</si>
  <si>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</si>
  <si>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</si>
  <si>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</si>
  <si>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</si>
  <si>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</si>
  <si>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</si>
  <si>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</si>
  <si>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</si>
  <si>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</si>
  <si>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</si>
  <si>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</si>
  <si>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</si>
  <si>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</si>
  <si>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</si>
  <si>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</si>
  <si>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</si>
  <si>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</si>
  <si>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</si>
  <si>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</si>
  <si>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</si>
  <si>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</si>
  <si>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</si>
  <si>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</si>
  <si>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</si>
  <si>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</si>
  <si>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</si>
  <si>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</si>
  <si>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</si>
  <si>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</si>
  <si>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</si>
  <si>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</si>
  <si>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</si>
  <si>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</si>
  <si>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</si>
  <si>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</si>
  <si>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</si>
  <si>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</si>
  <si>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</si>
  <si>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</si>
  <si>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</si>
  <si>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</si>
  <si>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</si>
  <si>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</si>
  <si>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</si>
  <si>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</si>
  <si>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</si>
  <si>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</si>
  <si>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</si>
  <si>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</si>
  <si>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</si>
  <si>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</si>
  <si>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</si>
  <si>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</si>
  <si>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</si>
  <si>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</si>
  <si>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</si>
  <si>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</si>
  <si>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</si>
  <si>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</si>
  <si>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</si>
  <si>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</si>
  <si>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</si>
  <si>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</si>
  <si>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</si>
  <si>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</si>
  <si>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</si>
  <si>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</si>
  <si>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</si>
  <si>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</si>
  <si>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</si>
  <si>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</si>
  <si>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</si>
  <si>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</si>
  <si>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</si>
  <si>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</si>
  <si>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</si>
  <si>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</si>
  <si>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</si>
  <si>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</si>
  <si>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</si>
  <si>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</si>
  <si>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</si>
  <si>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</si>
  <si>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</si>
  <si>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</si>
  <si>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</si>
  <si>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</si>
  <si>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</si>
  <si>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</si>
  <si>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</si>
  <si>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</si>
  <si>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</si>
  <si>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</si>
  <si>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</si>
  <si>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</si>
  <si>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</si>
  <si>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</si>
  <si>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</si>
  <si>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</si>
  <si>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</si>
  <si>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</si>
  <si>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</si>
  <si>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</si>
  <si>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</si>
  <si>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</si>
  <si>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</si>
  <si>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</si>
  <si>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</si>
  <si>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</si>
  <si>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</si>
  <si>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</si>
  <si>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</si>
  <si>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</si>
  <si>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</si>
  <si>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</si>
  <si>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</si>
  <si>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</si>
  <si>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</si>
  <si>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</si>
  <si>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</si>
  <si>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</si>
  <si>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</si>
  <si>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</si>
  <si>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</si>
  <si>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</si>
  <si>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</si>
  <si>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</si>
  <si>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</si>
  <si>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</si>
  <si>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</si>
  <si>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</si>
  <si>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</si>
  <si>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</si>
  <si>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</si>
  <si>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</si>
  <si>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</si>
  <si>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</si>
  <si>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</si>
  <si>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</si>
  <si>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</si>
  <si>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</si>
  <si>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</si>
  <si>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</si>
  <si>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</si>
  <si>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</si>
  <si>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</si>
  <si>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</si>
  <si>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</si>
  <si>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</si>
  <si>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</si>
  <si>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</si>
  <si>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</si>
  <si>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</si>
  <si>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</si>
  <si>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</si>
  <si>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</si>
  <si>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</si>
  <si>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</si>
  <si>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</si>
  <si>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</si>
  <si>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</si>
  <si>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</si>
  <si>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</si>
  <si>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</si>
  <si>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</si>
  <si>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</si>
  <si>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</si>
  <si>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</si>
  <si>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</si>
  <si>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</si>
  <si>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</si>
  <si>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</si>
  <si>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</si>
  <si>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</si>
  <si>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</si>
  <si>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</si>
  <si>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</si>
  <si>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</si>
  <si>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</si>
  <si>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</si>
  <si>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</si>
  <si>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</si>
  <si>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</si>
  <si>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</si>
  <si>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</si>
  <si>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</si>
  <si>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</si>
  <si>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</si>
  <si>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</si>
  <si>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</si>
  <si>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</si>
  <si>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</si>
  <si>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</si>
  <si>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</si>
  <si>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</si>
  <si>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</si>
  <si>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</si>
  <si>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</si>
  <si>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</si>
  <si>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</si>
  <si>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</si>
  <si>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</si>
  <si>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</si>
  <si>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</si>
  <si>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</si>
  <si>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</si>
  <si>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</si>
  <si>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</si>
  <si>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</si>
  <si>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</si>
  <si>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</si>
  <si>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</si>
  <si>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</si>
  <si>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</si>
  <si>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</si>
  <si>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</si>
  <si>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</si>
  <si>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</si>
  <si>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</si>
  <si>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</si>
  <si>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</si>
  <si>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</si>
  <si>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</si>
  <si>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</si>
  <si>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</si>
  <si>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</si>
  <si>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</si>
  <si>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</si>
  <si>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</si>
  <si>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</si>
  <si>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</si>
  <si>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</si>
  <si>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</si>
  <si>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</si>
  <si>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</si>
  <si>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</si>
  <si>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</si>
  <si>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</si>
  <si>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</si>
  <si>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</si>
  <si>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</si>
  <si>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</si>
  <si>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</si>
  <si>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</si>
  <si>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</si>
  <si>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</si>
  <si>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</si>
  <si>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</si>
  <si>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</si>
  <si>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</si>
  <si>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</si>
  <si>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</si>
  <si>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</si>
  <si>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</si>
  <si>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</si>
  <si>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</si>
  <si>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</si>
  <si>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</si>
  <si>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</si>
  <si>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</si>
  <si>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</si>
  <si>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</si>
  <si>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</si>
  <si>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</si>
  <si>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</si>
  <si>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</si>
  <si>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</si>
  <si>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</si>
  <si>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</si>
  <si>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</si>
  <si>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</si>
  <si>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</si>
  <si>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</si>
  <si>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</si>
  <si>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</si>
  <si>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</si>
  <si>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</si>
  <si>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</si>
  <si>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</si>
  <si>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</si>
  <si>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</si>
  <si>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</si>
  <si>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</si>
  <si>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</si>
  <si>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</si>
  <si>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</si>
  <si>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</si>
  <si>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</si>
  <si>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</si>
  <si>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</si>
  <si>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</si>
  <si>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</si>
  <si>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</si>
  <si>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</si>
  <si>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</si>
  <si>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</si>
  <si>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</si>
  <si>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</si>
  <si>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</si>
  <si>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</si>
  <si>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</si>
  <si>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</si>
  <si>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</si>
  <si>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</si>
  <si>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</si>
  <si>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</si>
  <si>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</si>
  <si>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</si>
  <si>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</si>
  <si>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</si>
  <si>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</si>
  <si>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</si>
  <si>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</si>
  <si>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</si>
  <si>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</si>
  <si>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</si>
  <si>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</si>
  <si>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</si>
  <si>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</si>
  <si>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</si>
  <si>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</si>
  <si>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</si>
  <si>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</si>
  <si>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</si>
  <si>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</si>
  <si>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</si>
  <si>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</si>
  <si>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</si>
  <si>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</si>
  <si>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</si>
  <si>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</si>
  <si>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</si>
  <si>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</si>
  <si>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</si>
  <si>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</si>
  <si>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</si>
  <si>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</si>
  <si>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</si>
  <si>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</si>
  <si>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</si>
  <si>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</si>
  <si>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</si>
  <si>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</si>
  <si>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</si>
  <si>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</si>
  <si>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</si>
  <si>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</si>
  <si>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</si>
  <si>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</si>
  <si>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</si>
  <si>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</si>
  <si>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</si>
  <si>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</si>
  <si>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</si>
  <si>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</si>
  <si>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</si>
  <si>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</si>
  <si>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</si>
  <si>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</si>
  <si>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</si>
  <si>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</si>
  <si>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</si>
  <si>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</si>
  <si>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</si>
  <si>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</si>
  <si>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</si>
  <si>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</si>
  <si>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</si>
  <si>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</si>
  <si>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</si>
  <si>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</si>
  <si>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</si>
  <si>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</si>
  <si>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</si>
  <si>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</si>
  <si>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</si>
  <si>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</si>
  <si>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</si>
  <si>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</si>
  <si>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</si>
  <si>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</si>
  <si>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</si>
  <si>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</si>
  <si>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</si>
  <si>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</si>
  <si>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</si>
  <si>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</si>
  <si>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</si>
  <si>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</si>
  <si>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</si>
  <si>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</si>
  <si>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</si>
  <si>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</si>
  <si>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</si>
  <si>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</si>
  <si>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</si>
  <si>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</si>
  <si>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</si>
  <si>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</si>
  <si>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</si>
  <si>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</si>
  <si>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</si>
  <si>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</si>
  <si>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</si>
  <si>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</si>
  <si>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</si>
  <si>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</si>
  <si>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</si>
  <si>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</si>
  <si>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</si>
  <si>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</si>
  <si>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</si>
  <si>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</si>
  <si>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</si>
  <si>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</si>
  <si>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</si>
  <si>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</si>
  <si>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</si>
  <si>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</si>
  <si>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</si>
  <si>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</si>
  <si>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</si>
  <si>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</si>
  <si>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</si>
  <si>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</si>
  <si>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</si>
  <si>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</si>
  <si>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</si>
  <si>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</si>
  <si>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</si>
  <si>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</si>
  <si>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</si>
  <si>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</si>
  <si>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</si>
  <si>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</si>
  <si>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</si>
  <si>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</si>
  <si>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</si>
  <si>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</si>
  <si>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</si>
  <si>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</si>
  <si>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</si>
  <si>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</si>
  <si>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</si>
  <si>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</si>
  <si>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</si>
  <si>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</si>
  <si>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</si>
  <si>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</si>
  <si>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</si>
  <si>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</si>
  <si>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</si>
  <si>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</si>
  <si>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</si>
  <si>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</si>
  <si>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</si>
  <si>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</si>
  <si>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</si>
  <si>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</si>
  <si>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</si>
  <si>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</si>
  <si>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</si>
  <si>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</si>
  <si>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</si>
  <si>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</si>
  <si>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</si>
  <si>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</si>
  <si>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</si>
  <si>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</si>
  <si>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</si>
  <si>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</si>
  <si>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</si>
  <si>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</si>
  <si>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</si>
  <si>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</si>
  <si>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</si>
  <si>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</si>
  <si>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</si>
  <si>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</si>
  <si>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</si>
  <si>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</si>
  <si>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</si>
  <si>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</si>
  <si>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</si>
  <si>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</si>
  <si>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</si>
  <si>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</si>
  <si>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</si>
  <si>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</si>
  <si>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</si>
  <si>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</si>
  <si>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</si>
  <si>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</si>
  <si>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</si>
  <si>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</si>
  <si>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</si>
  <si>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</si>
  <si>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</si>
  <si>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</si>
  <si>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</si>
  <si>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</si>
  <si>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</si>
  <si>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</si>
  <si>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</si>
  <si>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</si>
  <si>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</si>
  <si>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</si>
  <si>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</si>
  <si>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</si>
  <si>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</si>
  <si>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</si>
  <si>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</si>
  <si>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</si>
  <si>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</si>
  <si>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</si>
  <si>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</si>
  <si>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</si>
  <si>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</si>
  <si>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</si>
  <si>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</si>
  <si>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</si>
  <si>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</si>
  <si>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</si>
  <si>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</si>
  <si>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</si>
  <si>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</si>
  <si>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</si>
  <si>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</si>
  <si>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</si>
  <si>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</si>
  <si>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</si>
  <si>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</si>
  <si>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</si>
  <si>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</si>
  <si>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</si>
  <si>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</si>
  <si>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</si>
  <si>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</si>
  <si>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</si>
  <si>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</si>
  <si>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</si>
  <si>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</si>
  <si>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</si>
  <si>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</si>
  <si>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</si>
  <si>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</si>
  <si>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</si>
  <si>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</si>
  <si>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</si>
  <si>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</si>
  <si>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</si>
  <si>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</si>
  <si>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</si>
  <si>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</si>
  <si>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</si>
  <si>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</si>
  <si>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</si>
  <si>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</si>
  <si>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</si>
  <si>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</si>
  <si>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</si>
  <si>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</si>
  <si>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</si>
  <si>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</si>
  <si>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</si>
  <si>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</si>
  <si>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</si>
  <si>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</si>
  <si>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</si>
  <si>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</si>
  <si>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</si>
  <si>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</si>
  <si>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</si>
  <si>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</si>
  <si>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</si>
  <si>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</si>
  <si>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</si>
  <si>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</si>
  <si>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</si>
  <si>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</si>
  <si>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</si>
  <si>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</si>
  <si>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</si>
  <si>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</si>
  <si>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</si>
  <si>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</si>
  <si>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</si>
  <si>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</si>
  <si>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</si>
  <si>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</si>
  <si>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</si>
  <si>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</si>
  <si>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</si>
  <si>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</si>
  <si>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</si>
  <si>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</si>
  <si>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</si>
  <si>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</si>
  <si>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</si>
  <si>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</si>
  <si>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</si>
  <si>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</si>
  <si>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</si>
  <si>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</si>
  <si>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</si>
  <si>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</si>
  <si>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</si>
  <si>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</si>
  <si>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</si>
  <si>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</si>
  <si>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</si>
  <si>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</si>
  <si>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</si>
  <si>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</si>
  <si>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</si>
  <si>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</si>
  <si>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</si>
  <si>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</si>
  <si>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</si>
  <si>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</si>
  <si>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</si>
  <si>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</si>
  <si>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</si>
  <si>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</si>
  <si>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</si>
  <si>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</si>
  <si>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</si>
  <si>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</si>
  <si>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</si>
  <si>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</si>
  <si>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</si>
  <si>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</si>
  <si>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</si>
  <si>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</si>
  <si>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</si>
  <si>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</si>
  <si>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</si>
  <si>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</si>
  <si>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</si>
  <si>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</si>
  <si>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</si>
  <si>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</si>
  <si>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</si>
  <si>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</si>
  <si>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</si>
  <si>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</si>
  <si>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</si>
  <si>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</si>
  <si>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</si>
  <si>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</si>
  <si>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</si>
  <si>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</si>
  <si>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</si>
  <si>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</si>
  <si>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</si>
  <si>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</si>
  <si>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</si>
  <si>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</si>
  <si>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</si>
  <si>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</si>
  <si>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</si>
  <si>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</si>
  <si>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</si>
  <si>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</si>
  <si>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</si>
  <si>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</si>
  <si>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</si>
  <si>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</si>
  <si>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</si>
  <si>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</si>
  <si>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</si>
  <si>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</si>
  <si>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</si>
  <si>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</si>
  <si>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</si>
  <si>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</si>
  <si>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</si>
  <si>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</si>
  <si>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</si>
  <si>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</si>
  <si>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</si>
  <si>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</si>
  <si>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</si>
  <si>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</si>
  <si>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</si>
  <si>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</si>
  <si>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</si>
  <si>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</si>
  <si>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</si>
  <si>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</si>
  <si>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</si>
  <si>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</si>
  <si>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</si>
  <si>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</si>
  <si>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</si>
  <si>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</si>
  <si>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</si>
  <si>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</si>
  <si>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</si>
  <si>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</si>
  <si>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</si>
  <si>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</si>
  <si>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</si>
  <si>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</si>
  <si>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</si>
  <si>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</si>
  <si>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</si>
  <si>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</si>
  <si>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</si>
  <si>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</si>
  <si>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</si>
  <si>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</si>
  <si>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</si>
  <si>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</si>
  <si>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</si>
  <si>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</si>
  <si>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</si>
  <si>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</si>
  <si>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</si>
  <si>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</si>
  <si>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</si>
  <si>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</si>
  <si>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</si>
  <si>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</si>
  <si>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</si>
  <si>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</si>
  <si>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</si>
  <si>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</si>
  <si>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</si>
  <si>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</si>
  <si>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</si>
  <si>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</si>
  <si>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</si>
  <si>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</si>
  <si>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</si>
  <si>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</si>
  <si>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</si>
  <si>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</si>
  <si>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</si>
  <si>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</si>
  <si>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</si>
  <si>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</si>
  <si>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</si>
  <si>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</si>
  <si>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</si>
  <si>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</si>
  <si>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</si>
  <si>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</si>
  <si>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</si>
  <si>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</si>
  <si>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</si>
  <si>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</si>
  <si>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</si>
  <si>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</si>
  <si>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</si>
  <si>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</si>
  <si>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</si>
  <si>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</si>
  <si>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</si>
  <si>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</si>
  <si>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</si>
  <si>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</si>
  <si>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</si>
  <si>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</si>
  <si>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</si>
  <si>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</si>
  <si>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</si>
  <si>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</si>
  <si>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</si>
  <si>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</si>
  <si>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</si>
  <si>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</si>
  <si>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</si>
  <si>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</si>
  <si>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</si>
  <si>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</si>
  <si>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</si>
  <si>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</si>
  <si>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</si>
  <si>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</si>
  <si>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</si>
  <si>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</si>
  <si>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</si>
  <si>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</si>
  <si>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</si>
  <si>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</si>
  <si>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</si>
  <si>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</si>
  <si>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</si>
  <si>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</si>
  <si>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</si>
  <si>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</si>
  <si>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</si>
  <si>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</si>
  <si>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</si>
  <si>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</si>
  <si>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</si>
  <si>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</si>
  <si>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</si>
  <si>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</si>
  <si>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</si>
  <si>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</si>
  <si>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</si>
  <si>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</si>
  <si>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</si>
  <si>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</si>
  <si>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</si>
  <si>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</si>
  <si>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</si>
  <si>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</si>
  <si>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</si>
  <si>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</si>
  <si>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</si>
  <si>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</si>
  <si>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</si>
  <si>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</si>
  <si>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</si>
  <si>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</si>
  <si>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</si>
  <si>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</si>
  <si>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</si>
  <si>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</si>
  <si>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</si>
  <si>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</si>
  <si>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</si>
  <si>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</si>
  <si>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</si>
  <si>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</si>
  <si>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</si>
  <si>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</si>
  <si>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</si>
  <si>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</si>
  <si>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</si>
  <si>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</si>
  <si>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</si>
  <si>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</si>
  <si>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</si>
  <si>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</si>
  <si>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</si>
  <si>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</si>
  <si>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</si>
  <si>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</si>
  <si>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</si>
  <si>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</si>
  <si>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</si>
  <si>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</si>
  <si>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</si>
  <si>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</si>
  <si>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</si>
  <si>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</si>
  <si>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</si>
  <si>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</si>
  <si>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</si>
  <si>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</si>
  <si>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</si>
  <si>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</si>
  <si>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</si>
  <si>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</si>
  <si>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</si>
  <si>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</si>
  <si>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</si>
  <si>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</si>
  <si>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</si>
  <si>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</si>
  <si>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</si>
  <si>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</si>
  <si>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</si>
  <si>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</si>
  <si>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</si>
  <si>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</si>
  <si>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</si>
  <si>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</si>
  <si>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</si>
  <si>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</si>
  <si>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</si>
  <si>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</si>
  <si>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</si>
  <si>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</si>
  <si>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</si>
  <si>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</si>
  <si>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</si>
  <si>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</si>
  <si>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</si>
  <si>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</si>
  <si>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</si>
  <si>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</si>
  <si>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</si>
  <si>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</si>
  <si>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</si>
  <si>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</si>
  <si>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</si>
  <si>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</si>
  <si>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</si>
  <si>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</si>
  <si>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</si>
  <si>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</si>
  <si>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</si>
  <si>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</si>
  <si>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</si>
  <si>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</si>
  <si>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</si>
  <si>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</si>
  <si>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</si>
  <si>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</si>
  <si>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</si>
  <si>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</si>
  <si>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</si>
  <si>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</si>
  <si>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</si>
  <si>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</si>
  <si>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</si>
  <si>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</si>
  <si>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</si>
  <si>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</si>
  <si>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</si>
  <si>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</si>
  <si>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</si>
  <si>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</si>
  <si>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</si>
  <si>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</si>
  <si>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</si>
  <si>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</si>
  <si>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</si>
  <si>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</si>
  <si>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</si>
  <si>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</si>
  <si>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</si>
  <si>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</si>
  <si>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</si>
  <si>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</si>
  <si>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</si>
  <si>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</si>
  <si>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</si>
  <si>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</si>
  <si>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</si>
  <si>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</si>
  <si>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</si>
  <si>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</si>
  <si>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</si>
  <si>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</si>
  <si>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</si>
  <si>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</si>
  <si>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</si>
  <si>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</si>
  <si>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</si>
  <si>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</si>
  <si>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</si>
  <si>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</si>
  <si>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</si>
  <si>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</si>
  <si>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</si>
  <si>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</si>
  <si>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</si>
  <si>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</si>
  <si>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</si>
  <si>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</si>
  <si>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</si>
  <si>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</si>
  <si>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</si>
  <si>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</si>
  <si>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</si>
  <si>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</si>
  <si>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</si>
  <si>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</si>
  <si>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</si>
  <si>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</si>
  <si>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</si>
  <si>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</si>
  <si>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</si>
  <si>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</si>
  <si>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</si>
  <si>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</si>
  <si>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</si>
  <si>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</si>
  <si>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</si>
  <si>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</si>
  <si>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</si>
  <si>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</si>
  <si>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</si>
  <si>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</si>
  <si>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</si>
  <si>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</si>
  <si>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</si>
  <si>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</si>
  <si>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</si>
  <si>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</si>
  <si>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</si>
  <si>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</si>
  <si>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</si>
  <si>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</si>
  <si>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</si>
  <si>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</si>
  <si>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</si>
  <si>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</si>
  <si>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</si>
  <si>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</si>
  <si>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</si>
  <si>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</si>
  <si>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</si>
  <si>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</si>
  <si>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</si>
  <si>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</si>
  <si>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</si>
  <si>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</si>
  <si>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</si>
  <si>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</si>
  <si>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</si>
  <si>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</si>
  <si>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</si>
  <si>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</si>
  <si>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</si>
  <si>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</si>
  <si>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</si>
  <si>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</si>
  <si>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</si>
  <si>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</si>
  <si>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</si>
  <si>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</si>
  <si>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</si>
  <si>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</si>
  <si>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</si>
  <si>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</si>
  <si>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</si>
  <si>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</si>
  <si>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</si>
  <si>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</si>
  <si>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</si>
  <si>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</si>
  <si>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</si>
  <si>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</si>
  <si>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</si>
  <si>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</si>
  <si>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</si>
  <si>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</si>
  <si>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</si>
  <si>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</si>
  <si>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</si>
  <si>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</si>
  <si>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</si>
  <si>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</si>
  <si>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</si>
  <si>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</si>
  <si>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</si>
  <si>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</si>
  <si>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</si>
  <si>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</si>
  <si>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</si>
  <si>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</si>
  <si>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</si>
  <si>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</si>
  <si>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</si>
  <si>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</si>
  <si>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</si>
  <si>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</si>
  <si>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</si>
  <si>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</si>
  <si>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</si>
  <si>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</si>
  <si>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</si>
  <si>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</si>
  <si>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</si>
  <si>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</si>
  <si>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</si>
  <si>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</si>
  <si>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</si>
  <si>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</si>
  <si>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</si>
  <si>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</si>
  <si>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</si>
  <si>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</si>
  <si>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</si>
  <si>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</si>
  <si>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</si>
  <si>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</si>
  <si>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</si>
  <si>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</si>
  <si>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</si>
  <si>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</si>
  <si>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</si>
  <si>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</si>
  <si>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</si>
  <si>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</si>
  <si>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</si>
  <si>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</si>
  <si>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</si>
  <si>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</si>
  <si>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</si>
  <si>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</si>
  <si>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</si>
  <si>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</si>
  <si>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</si>
  <si>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</si>
  <si>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</si>
  <si>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</si>
  <si>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</si>
  <si>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</si>
  <si>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</si>
  <si>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</si>
  <si>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</si>
  <si>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</si>
  <si>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</si>
  <si>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</si>
  <si>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</si>
  <si>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</si>
  <si>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</si>
  <si>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</si>
  <si>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</si>
  <si>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</si>
  <si>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</si>
  <si>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</si>
  <si>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</si>
  <si>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</si>
  <si>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</si>
  <si>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</si>
  <si>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</si>
  <si>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</si>
  <si>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</si>
  <si>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</si>
  <si>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</si>
  <si>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</si>
  <si>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</si>
  <si>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</si>
  <si>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</si>
  <si>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</si>
  <si>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</si>
  <si>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</si>
  <si>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</si>
  <si>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</si>
  <si>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</si>
  <si>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</si>
  <si>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</si>
  <si>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</si>
  <si>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</si>
  <si>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</si>
  <si>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</si>
  <si>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</si>
  <si>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</si>
  <si>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</si>
  <si>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</si>
  <si>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</si>
  <si>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</si>
  <si>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</si>
  <si>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</si>
  <si>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</si>
  <si>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</si>
  <si>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</si>
  <si>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</si>
  <si>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</si>
  <si>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</si>
  <si>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</si>
  <si>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</si>
  <si>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</si>
  <si>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</si>
  <si>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</si>
  <si>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</si>
  <si>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</si>
  <si>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</si>
  <si>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</si>
  <si>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</si>
  <si>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</si>
  <si>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</si>
  <si>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</si>
  <si>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</si>
  <si>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</si>
  <si>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</si>
  <si>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</si>
  <si>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</si>
  <si>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</si>
  <si>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</si>
  <si>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</si>
  <si>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</si>
  <si>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</si>
  <si>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</si>
  <si>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</si>
  <si>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</si>
  <si>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</si>
  <si>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</si>
  <si>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</si>
  <si>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</si>
  <si>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</si>
  <si>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</si>
  <si>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</si>
  <si>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</si>
  <si>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</si>
  <si>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</si>
  <si>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</si>
  <si>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</si>
  <si>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</si>
  <si>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</si>
  <si>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</si>
  <si>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</si>
  <si>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</si>
  <si>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</si>
  <si>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</si>
  <si>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</si>
  <si>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</si>
  <si>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</si>
  <si>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</si>
  <si>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</si>
  <si>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</si>
  <si>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</si>
  <si>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</si>
  <si>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</si>
  <si>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2020</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</si>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</sst>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7">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2" fontId="18" fillId="0" borderId="0" xfId="47" applyNumberFormat="1" applyFont="1" applyAlignment="1">
      <alignment horizontal="center"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18408.934000000001</v>
      </c>
      <c r="F22" s="3384" t="str">
        <f t="shared" si="0"/>
        <v>NA</v>
      </c>
      <c r="G22" s="3360">
        <v>283.66493754545502</v>
      </c>
      <c r="H22" s="3339">
        <f t="shared" si="1"/>
        <v>1040.1047710000018</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35080.408000000003</v>
      </c>
      <c r="F24" s="3384" t="str">
        <f t="shared" si="0"/>
        <v>NA</v>
      </c>
      <c r="G24" s="3360">
        <v>772.08788880000009</v>
      </c>
      <c r="H24" s="3339">
        <f t="shared" si="1"/>
        <v>2830.9889256000006</v>
      </c>
      <c r="I24" s="2599" t="s">
        <v>205</v>
      </c>
      <c r="J24" s="2600"/>
      <c r="M24" s="125"/>
    </row>
    <row r="25" spans="2:13" ht="18" customHeight="1" x14ac:dyDescent="0.2">
      <c r="B25" s="165"/>
      <c r="C25" s="1566"/>
      <c r="D25" s="1451" t="s">
        <v>458</v>
      </c>
      <c r="E25" s="3379">
        <v>12828.909799999999</v>
      </c>
      <c r="F25" s="3384" t="str">
        <f t="shared" si="0"/>
        <v>NA</v>
      </c>
      <c r="G25" s="3360">
        <v>243.63849106990915</v>
      </c>
      <c r="H25" s="3339">
        <f t="shared" si="1"/>
        <v>893.34113392300026</v>
      </c>
      <c r="I25" s="2599" t="s">
        <v>205</v>
      </c>
      <c r="J25" s="2600"/>
      <c r="M25" s="125"/>
    </row>
    <row r="26" spans="2:13" ht="18" customHeight="1" x14ac:dyDescent="0.2">
      <c r="B26" s="165"/>
      <c r="C26" s="1566"/>
      <c r="D26" s="1451" t="s">
        <v>459</v>
      </c>
      <c r="E26" s="3383">
        <v>22893.717874821199</v>
      </c>
      <c r="F26" s="3384">
        <f t="shared" si="0"/>
        <v>25.261363636363576</v>
      </c>
      <c r="G26" s="3360">
        <v>578.32653222417503</v>
      </c>
      <c r="H26" s="3339">
        <f t="shared" si="1"/>
        <v>2120.5306181553083</v>
      </c>
      <c r="I26" s="3360">
        <v>2120.5306181553083</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38884.936903389796</v>
      </c>
      <c r="F28" s="3384">
        <f>IF(I28="NA","NA",I28/(44/12)*1000/E28)</f>
        <v>0.41288193223831049</v>
      </c>
      <c r="G28" s="3360">
        <v>722.35974667636401</v>
      </c>
      <c r="H28" s="3339">
        <f>IF(G28="NA","NA",IF(G28="NO","NO",G28*44/12))</f>
        <v>2648.6524044800012</v>
      </c>
      <c r="I28" s="3360">
        <v>58.867922239999999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128096.906578211</v>
      </c>
      <c r="F31" s="3324">
        <f t="shared" ref="F31" si="3">IF(I31="NA","NA",I31/(44/12)*1000/E31)</f>
        <v>4.6400919115474908</v>
      </c>
      <c r="G31" s="3388">
        <f>SUM(G11:G29)</f>
        <v>2600.0775963159031</v>
      </c>
      <c r="H31" s="3336">
        <f t="shared" ref="H31" si="4">IF(G31="NA","NA",IF(G31="NO","NO",G31*44/12))</f>
        <v>9533.6178531583118</v>
      </c>
      <c r="I31" s="3388">
        <f>SUM(I11:I29)</f>
        <v>2179.3985403953084</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2.25563203137551</v>
      </c>
      <c r="H34" s="3361">
        <f t="shared" ref="H34:H42" si="5">IF(G34="NA","NA",IF(G34="NO","NO",G34*44/12))</f>
        <v>8.270650781710204</v>
      </c>
      <c r="I34" s="2388" t="s">
        <v>274</v>
      </c>
      <c r="J34" s="2600"/>
      <c r="M34" s="125"/>
    </row>
    <row r="35" spans="2:13" ht="18" customHeight="1" x14ac:dyDescent="0.2">
      <c r="B35" s="1433"/>
      <c r="C35" s="1566"/>
      <c r="D35" s="1451" t="s">
        <v>392</v>
      </c>
      <c r="E35" s="3379">
        <v>17966.640383999998</v>
      </c>
      <c r="F35" s="3384">
        <f>IF(I35="NA","NA",I35/(44/12)*1000/E35)</f>
        <v>27.208200259214085</v>
      </c>
      <c r="G35" s="3364">
        <v>488.83994955315501</v>
      </c>
      <c r="H35" s="3361">
        <f t="shared" si="5"/>
        <v>1792.4131483615683</v>
      </c>
      <c r="I35" s="3360">
        <v>1792.4131483615683</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62798.47009938</v>
      </c>
      <c r="F41" s="3384">
        <f t="shared" ref="F41" si="8">IF(I41="NA","NA",I41/(44/12)*1000/E41)</f>
        <v>29.836402531421999</v>
      </c>
      <c r="G41" s="3360">
        <v>1873.6804322425701</v>
      </c>
      <c r="H41" s="3361">
        <f t="shared" si="5"/>
        <v>6870.1615848894244</v>
      </c>
      <c r="I41" s="3360">
        <v>6870.1615848894244</v>
      </c>
      <c r="J41" s="3381" t="s">
        <v>460</v>
      </c>
      <c r="M41" s="125"/>
    </row>
    <row r="42" spans="2:13" ht="18" customHeight="1" x14ac:dyDescent="0.2">
      <c r="B42" s="1433"/>
      <c r="C42" s="1567"/>
      <c r="D42" s="1451" t="s">
        <v>467</v>
      </c>
      <c r="E42" s="3379">
        <v>8841.8018632492203</v>
      </c>
      <c r="F42" s="3384">
        <f>IF(I42="NA","NA",I42/(44/12)*1000/E42)</f>
        <v>7.3185557049342034</v>
      </c>
      <c r="G42" s="3360">
        <v>172.451825039943</v>
      </c>
      <c r="H42" s="3361">
        <f t="shared" si="5"/>
        <v>632.32335847979095</v>
      </c>
      <c r="I42" s="3360">
        <v>237.267138049995</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89606.912346629222</v>
      </c>
      <c r="F45" s="3308">
        <f>IF(I45="NA","NA",I45/(44/12)*1000/E45)</f>
        <v>27.087526371565819</v>
      </c>
      <c r="G45" s="3388">
        <f>SUM(G33:G43)</f>
        <v>2537.2278388670434</v>
      </c>
      <c r="H45" s="3336">
        <f t="shared" ref="H45" si="9">IF(G45="NA","NA",IF(G45="NO","NO",G45*44/12))</f>
        <v>9303.1687425124928</v>
      </c>
      <c r="I45" s="3388">
        <f>SUM(I33:I43)</f>
        <v>8899.8418713009869</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48155.344687999997</v>
      </c>
      <c r="F47" s="3384">
        <f t="shared" ref="F47" si="10">IF(I47="NA","NA",I47/(44/12)*1000/E47)</f>
        <v>13.95662892166245</v>
      </c>
      <c r="G47" s="3360">
        <v>672.08627640516499</v>
      </c>
      <c r="H47" s="3339">
        <f t="shared" ref="H47" si="11">IF(G47="NA","NA",IF(G47="NO","NO",G47*44/12))</f>
        <v>2464.3163468189382</v>
      </c>
      <c r="I47" s="3360">
        <v>2464.3163468189382</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48155.344687999997</v>
      </c>
      <c r="F50" s="3308">
        <f>IF(I50="NA","NA",I50/(44/12)*1000/E50)</f>
        <v>13.95662892166245</v>
      </c>
      <c r="G50" s="3388">
        <f>SUM(G47:G48)</f>
        <v>672.08627640516499</v>
      </c>
      <c r="H50" s="3362">
        <f t="shared" ref="H50" si="13">IF(G50="NA","NA",IF(G50="NO","NO",G50*44/12))</f>
        <v>2464.3163468189382</v>
      </c>
      <c r="I50" s="3388">
        <f>SUM(I47:I48)</f>
        <v>2464.3163468189382</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265859.16361284023</v>
      </c>
      <c r="F55" s="3319">
        <f t="shared" si="14"/>
        <v>13.893436086919545</v>
      </c>
      <c r="G55" s="3388">
        <f>SUM(G31,G45,G50,G54)</f>
        <v>5809.3917115881122</v>
      </c>
      <c r="H55" s="3363">
        <f t="shared" si="15"/>
        <v>21301.102942489746</v>
      </c>
      <c r="I55" s="3388">
        <f>SUM(I31,I45,I50,I54)</f>
        <v>13543.556758515233</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604.82030394993001</v>
      </c>
      <c r="D10" s="3105"/>
      <c r="E10" s="3105"/>
      <c r="F10" s="3057">
        <f>SUM(F11,F18)</f>
        <v>1010.1822443262215</v>
      </c>
      <c r="G10" s="3057">
        <f>SUM(G11,G18)</f>
        <v>2380.4751845029359</v>
      </c>
      <c r="H10" s="3057">
        <f>H11</f>
        <v>-694.31314609903632</v>
      </c>
      <c r="I10" s="3106" t="s">
        <v>199</v>
      </c>
      <c r="L10" s="3676"/>
    </row>
    <row r="11" spans="2:12" ht="18" customHeight="1" x14ac:dyDescent="0.2">
      <c r="B11" s="1251" t="s">
        <v>486</v>
      </c>
      <c r="C11" s="3014">
        <v>106.56433662000001</v>
      </c>
      <c r="D11" s="3057">
        <f>IFERROR(SUM(F11,-H11)/$C$11,"NA")</f>
        <v>12.872919271687449</v>
      </c>
      <c r="E11" s="3057">
        <f>IFERROR(SUM(G11)/$C$11,"NA")</f>
        <v>20.819448127352544</v>
      </c>
      <c r="F11" s="3057">
        <f>SUM(F12:F16)</f>
        <v>677.48095645115029</v>
      </c>
      <c r="G11" s="3057">
        <f>SUM(G12:G16)</f>
        <v>2218.6106784858252</v>
      </c>
      <c r="H11" s="3057">
        <f>H12</f>
        <v>-694.31314609903632</v>
      </c>
      <c r="I11" s="3106" t="s">
        <v>199</v>
      </c>
    </row>
    <row r="12" spans="2:12" ht="18" customHeight="1" x14ac:dyDescent="0.2">
      <c r="B12" s="160" t="s">
        <v>487</v>
      </c>
      <c r="C12" s="3027"/>
      <c r="D12" s="3057">
        <f>IFERROR(SUM(F12,-H12)/$C$11,"NA")</f>
        <v>12.192575746351382</v>
      </c>
      <c r="E12" s="3057">
        <f>IFERROR(SUM(G12)/$C$11,"NA")</f>
        <v>10.951440575861202</v>
      </c>
      <c r="F12" s="3104">
        <v>604.98060000000009</v>
      </c>
      <c r="G12" s="3104">
        <v>1167.0329999999999</v>
      </c>
      <c r="H12" s="3104">
        <v>-694.31314609903632</v>
      </c>
      <c r="I12" s="3015" t="s">
        <v>199</v>
      </c>
    </row>
    <row r="13" spans="2:12" ht="18" customHeight="1" x14ac:dyDescent="0.2">
      <c r="B13" s="160" t="s">
        <v>488</v>
      </c>
      <c r="C13" s="3027"/>
      <c r="D13" s="3057">
        <f>IFERROR(SUM(F13)/$C$11,"NA")</f>
        <v>0.37176312000305334</v>
      </c>
      <c r="E13" s="3057" t="s">
        <v>205</v>
      </c>
      <c r="F13" s="3104">
        <v>39.616690262906836</v>
      </c>
      <c r="G13" s="3104" t="s">
        <v>221</v>
      </c>
      <c r="H13" s="3104" t="s">
        <v>199</v>
      </c>
      <c r="I13" s="3015" t="s">
        <v>199</v>
      </c>
    </row>
    <row r="14" spans="2:12" ht="18" customHeight="1" x14ac:dyDescent="0.2">
      <c r="B14" s="160" t="s">
        <v>489</v>
      </c>
      <c r="C14" s="3442">
        <v>130</v>
      </c>
      <c r="D14" s="3057">
        <f>IFERROR(SUM(F14)/$C$11,"NA")</f>
        <v>0.27598709324804405</v>
      </c>
      <c r="E14" s="3057" t="s">
        <v>205</v>
      </c>
      <c r="F14" s="3104">
        <v>29.410381507659896</v>
      </c>
      <c r="G14" s="3104" t="s">
        <v>205</v>
      </c>
      <c r="H14" s="3104" t="s">
        <v>199</v>
      </c>
      <c r="I14" s="3015" t="s">
        <v>199</v>
      </c>
    </row>
    <row r="15" spans="2:12" ht="18" customHeight="1" x14ac:dyDescent="0.2">
      <c r="B15" s="160" t="s">
        <v>490</v>
      </c>
      <c r="C15" s="3014">
        <v>0.38693501023764498</v>
      </c>
      <c r="D15" s="3057">
        <f>IFERROR(SUM(F15)/$C15,"NA")</f>
        <v>8.9764032426282299</v>
      </c>
      <c r="E15" s="3057">
        <f>IFERROR(SUM(G15)/$C15,"NA")</f>
        <v>2717.7113744242861</v>
      </c>
      <c r="F15" s="3104">
        <v>3.4732846805835838</v>
      </c>
      <c r="G15" s="3104">
        <v>1051.5776784858253</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498.25596732993</v>
      </c>
      <c r="D18" s="3057">
        <f>IFERROR(SUM(F18)/$C$18,"NA")</f>
        <v>0.66773166743583923</v>
      </c>
      <c r="E18" s="3057">
        <f>IFERROR(SUM(G18)/$C$18,"NA")</f>
        <v>0.32486215244850053</v>
      </c>
      <c r="F18" s="3057">
        <f>SUM(F19:F21)</f>
        <v>332.70128787507122</v>
      </c>
      <c r="G18" s="3109">
        <f t="shared" ref="G18" si="1">SUM(G19:G21)</f>
        <v>161.86450601711081</v>
      </c>
      <c r="H18" s="3057" t="s">
        <v>199</v>
      </c>
      <c r="I18" s="3106" t="s">
        <v>199</v>
      </c>
    </row>
    <row r="19" spans="2:9" ht="18" customHeight="1" x14ac:dyDescent="0.2">
      <c r="B19" s="160" t="s">
        <v>493</v>
      </c>
      <c r="C19" s="3027"/>
      <c r="D19" s="3057">
        <f>IFERROR(SUM(F19)/$C$18,"NA")</f>
        <v>0.66773166743583923</v>
      </c>
      <c r="E19" s="3057">
        <f>IFERROR(SUM(G19)/$C$18,"NA")</f>
        <v>0.32486215244850053</v>
      </c>
      <c r="F19" s="3104">
        <v>332.70128787507122</v>
      </c>
      <c r="G19" s="3104">
        <v>161.86450601711081</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1" t="s">
        <v>506</v>
      </c>
      <c r="C57" s="4502"/>
      <c r="D57" s="4502"/>
      <c r="E57" s="4502"/>
      <c r="F57" s="4502"/>
      <c r="G57" s="4502"/>
      <c r="H57" s="4502"/>
      <c r="I57" s="4503"/>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21" workbookViewId="0">
      <selection activeCell="H15" sqref="H1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106.87899999999999</v>
      </c>
      <c r="J10" s="3123">
        <f>IF(SUM(J11:J16)=0,"NO",SUM(J11:J16))</f>
        <v>2.565715023963719</v>
      </c>
      <c r="K10" s="4433">
        <f>IF(SUM(K11:K16)=0,"NO",SUM(K11:K16))</f>
        <v>3.5520174388981945E-3</v>
      </c>
      <c r="L10" s="3124" t="s">
        <v>199</v>
      </c>
    </row>
    <row r="11" spans="2:12" ht="18" customHeight="1" x14ac:dyDescent="0.2">
      <c r="B11" s="1251" t="s">
        <v>520</v>
      </c>
      <c r="C11" s="2190" t="s">
        <v>521</v>
      </c>
      <c r="D11" s="2190" t="s">
        <v>522</v>
      </c>
      <c r="E11" s="699">
        <v>27</v>
      </c>
      <c r="F11" s="1938">
        <f>I11*1000000/$E11</f>
        <v>209629.62962962964</v>
      </c>
      <c r="G11" s="1938">
        <f>J11*1000000/$E11</f>
        <v>21.618055555555557</v>
      </c>
      <c r="H11" s="1938">
        <f>K11*1000000/$E11</f>
        <v>14.41203703703704</v>
      </c>
      <c r="I11" s="3119">
        <v>5.66</v>
      </c>
      <c r="J11" s="4434">
        <v>5.836875E-4</v>
      </c>
      <c r="K11" s="4440">
        <v>3.8912500000000004E-4</v>
      </c>
      <c r="L11" s="3072" t="s">
        <v>199</v>
      </c>
    </row>
    <row r="12" spans="2:12" ht="18" customHeight="1" x14ac:dyDescent="0.2">
      <c r="B12" s="1251" t="s">
        <v>523</v>
      </c>
      <c r="C12" s="2190" t="s">
        <v>524</v>
      </c>
      <c r="D12" s="2190" t="s">
        <v>525</v>
      </c>
      <c r="E12" s="699">
        <v>676.82619999999997</v>
      </c>
      <c r="F12" s="1938" t="s">
        <v>205</v>
      </c>
      <c r="G12" s="1938">
        <f>J12*1000000/$E12</f>
        <v>1892.1253343916057</v>
      </c>
      <c r="H12" s="3075"/>
      <c r="I12" s="3125" t="s">
        <v>205</v>
      </c>
      <c r="J12" s="699">
        <v>1.2806399999999998</v>
      </c>
      <c r="K12" s="3027"/>
      <c r="L12" s="3072" t="s">
        <v>199</v>
      </c>
    </row>
    <row r="13" spans="2:12" ht="18" customHeight="1" x14ac:dyDescent="0.2">
      <c r="B13" s="1251" t="s">
        <v>526</v>
      </c>
      <c r="C13" s="2190" t="s">
        <v>527</v>
      </c>
      <c r="D13" s="2190" t="s">
        <v>525</v>
      </c>
      <c r="E13" s="699">
        <v>615.44763999999998</v>
      </c>
      <c r="F13" s="1938" t="s">
        <v>205</v>
      </c>
      <c r="G13" s="1938">
        <f>J13*1000000/$E13</f>
        <v>84.852054676820259</v>
      </c>
      <c r="H13" s="3075"/>
      <c r="I13" s="3125" t="s">
        <v>205</v>
      </c>
      <c r="J13" s="699">
        <v>5.222199679999999E-2</v>
      </c>
      <c r="K13" s="3027"/>
      <c r="L13" s="3072" t="s">
        <v>199</v>
      </c>
    </row>
    <row r="14" spans="2:12" ht="18" customHeight="1" x14ac:dyDescent="0.2">
      <c r="B14" s="1251" t="s">
        <v>528</v>
      </c>
      <c r="C14" s="2190" t="s">
        <v>529</v>
      </c>
      <c r="D14" s="2190" t="s">
        <v>525</v>
      </c>
      <c r="E14" s="699">
        <v>920.85215127269987</v>
      </c>
      <c r="F14" s="1938">
        <f>I14*1000000/$E14</f>
        <v>109918.83969658572</v>
      </c>
      <c r="G14" s="1938">
        <f>J14*1000000/$E14</f>
        <v>1218.4057365376784</v>
      </c>
      <c r="H14" s="1938">
        <f>K14*1000000/$E14</f>
        <v>3.4347451265947466</v>
      </c>
      <c r="I14" s="3125">
        <v>101.21899999999999</v>
      </c>
      <c r="J14" s="699">
        <v>1.1219715436137194</v>
      </c>
      <c r="K14" s="4439">
        <v>3.1628924388981943E-3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0.11029779604999999</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3466</v>
      </c>
      <c r="F18" s="1938" t="s">
        <v>205</v>
      </c>
      <c r="G18" s="1938">
        <f>J18*1000000/$E18</f>
        <v>31.8227917051356</v>
      </c>
      <c r="H18" s="3126"/>
      <c r="I18" s="3128" t="s">
        <v>205</v>
      </c>
      <c r="J18" s="2215">
        <v>0.11029779604999999</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49.579839062516264</v>
      </c>
      <c r="J21" s="4437">
        <f>IF(SUM(J22:J27)=0,"NO",SUM(J22:J27))</f>
        <v>209.1405353839065</v>
      </c>
      <c r="K21" s="4438">
        <f>IF(SUM(K22:K27)=0,"NO",SUM(K22:K27))</f>
        <v>6.3376714285714292E-4</v>
      </c>
      <c r="L21" s="3047">
        <f>IF(SUM(L22:L27)=0,"NO",SUM(L22:L27))</f>
        <v>-2164.8240000000001</v>
      </c>
    </row>
    <row r="22" spans="2:12" ht="18" customHeight="1" x14ac:dyDescent="0.2">
      <c r="B22" s="1468" t="s">
        <v>535</v>
      </c>
      <c r="C22" s="2190" t="s">
        <v>521</v>
      </c>
      <c r="D22" s="2190" t="s">
        <v>522</v>
      </c>
      <c r="E22" s="699">
        <v>2016</v>
      </c>
      <c r="F22" s="1938">
        <f>I22*1000000/$E22</f>
        <v>10686.11921566228</v>
      </c>
      <c r="G22" s="1938">
        <f>J22*1000000/$E22</f>
        <v>2113.0032614263928</v>
      </c>
      <c r="H22" s="1938">
        <f>K22*1000000/$E22</f>
        <v>0.31436862244897967</v>
      </c>
      <c r="I22" s="3119">
        <v>21.543216338775157</v>
      </c>
      <c r="J22" s="700">
        <v>4.2598145750356071</v>
      </c>
      <c r="K22" s="4129">
        <v>6.3376714285714292E-4</v>
      </c>
      <c r="L22" s="3133" t="s">
        <v>199</v>
      </c>
    </row>
    <row r="23" spans="2:12" ht="18" customHeight="1" x14ac:dyDescent="0.2">
      <c r="B23" s="1251" t="s">
        <v>536</v>
      </c>
      <c r="C23" s="2190" t="s">
        <v>537</v>
      </c>
      <c r="D23" s="2190" t="s">
        <v>525</v>
      </c>
      <c r="E23" s="699">
        <v>9443.9616520980235</v>
      </c>
      <c r="F23" s="1938">
        <f>I23*1000000/$E23</f>
        <v>88.816340353268828</v>
      </c>
      <c r="G23" s="1938">
        <f>J23*1000000/$E23</f>
        <v>4342.3833276053556</v>
      </c>
      <c r="H23" s="3075"/>
      <c r="I23" s="3125">
        <v>0.83877811237595712</v>
      </c>
      <c r="J23" s="699">
        <v>41.009301624614785</v>
      </c>
      <c r="K23" s="3027"/>
      <c r="L23" s="3133" t="s">
        <v>199</v>
      </c>
    </row>
    <row r="24" spans="2:12" ht="18" customHeight="1" x14ac:dyDescent="0.2">
      <c r="B24" s="1251" t="s">
        <v>538</v>
      </c>
      <c r="C24" s="2190" t="s">
        <v>537</v>
      </c>
      <c r="D24" s="2190" t="s">
        <v>525</v>
      </c>
      <c r="E24" s="699">
        <v>9443.9616520980235</v>
      </c>
      <c r="F24" s="1938">
        <f t="shared" ref="F24:F26" si="0">I24*1000000/$E24</f>
        <v>1223.8704953502588</v>
      </c>
      <c r="G24" s="1938">
        <f t="shared" ref="G24:G26" si="1">J24*1000000/$E24</f>
        <v>6338.5368898242477</v>
      </c>
      <c r="H24" s="1885"/>
      <c r="I24" s="699">
        <v>11.558186025222057</v>
      </c>
      <c r="J24" s="699">
        <v>59.860899317908867</v>
      </c>
      <c r="K24" s="1939"/>
      <c r="L24" s="3072">
        <f>IF(Table1.C!E21="NO","NO",-Table1.C!E21)</f>
        <v>-2164.8240000000001</v>
      </c>
    </row>
    <row r="25" spans="2:12" ht="18" customHeight="1" x14ac:dyDescent="0.2">
      <c r="B25" s="1251" t="s">
        <v>539</v>
      </c>
      <c r="C25" s="2190" t="s">
        <v>540</v>
      </c>
      <c r="D25" s="2190" t="s">
        <v>541</v>
      </c>
      <c r="E25" s="699">
        <v>31844.3</v>
      </c>
      <c r="F25" s="1938">
        <f t="shared" si="0"/>
        <v>20.000000000000004</v>
      </c>
      <c r="G25" s="1938">
        <f t="shared" si="1"/>
        <v>1202.5586548119625</v>
      </c>
      <c r="H25" s="3075"/>
      <c r="I25" s="3125">
        <v>0.63688600000000006</v>
      </c>
      <c r="J25" s="699">
        <v>38.294638571428571</v>
      </c>
      <c r="K25" s="3027"/>
      <c r="L25" s="3072" t="s">
        <v>199</v>
      </c>
    </row>
    <row r="26" spans="2:12" ht="18" customHeight="1" x14ac:dyDescent="0.2">
      <c r="B26" s="1251" t="s">
        <v>542</v>
      </c>
      <c r="C26" s="2190" t="s">
        <v>543</v>
      </c>
      <c r="D26" s="2190" t="s">
        <v>525</v>
      </c>
      <c r="E26" s="699">
        <v>349.69245100000001</v>
      </c>
      <c r="F26" s="1938">
        <f t="shared" si="0"/>
        <v>41307.904030802958</v>
      </c>
      <c r="G26" s="1938">
        <f t="shared" si="1"/>
        <v>144074.65619758578</v>
      </c>
      <c r="H26" s="3075"/>
      <c r="I26" s="3125">
        <v>14.445062206204266</v>
      </c>
      <c r="J26" s="699">
        <v>50.381819652716118</v>
      </c>
      <c r="K26" s="3027"/>
      <c r="L26" s="3072" t="s">
        <v>199</v>
      </c>
    </row>
    <row r="27" spans="2:12" ht="18" customHeight="1" x14ac:dyDescent="0.2">
      <c r="B27" s="2436" t="s">
        <v>544</v>
      </c>
      <c r="C27" s="607"/>
      <c r="D27" s="607"/>
      <c r="E27" s="615"/>
      <c r="F27" s="615"/>
      <c r="G27" s="615"/>
      <c r="H27" s="3126"/>
      <c r="I27" s="1938">
        <f>IF(SUM(I29:I30)=0,"NO",SUM(I29:I30))</f>
        <v>0.55771037993882999</v>
      </c>
      <c r="J27" s="1938">
        <f>IF(SUM(J29:J30)=0,"NO",SUM(J29:J30))</f>
        <v>15.334061642202546</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0.55771037993882999</v>
      </c>
      <c r="J29" s="3128">
        <v>14.954970156202545</v>
      </c>
      <c r="K29" s="3110"/>
      <c r="L29" s="3080" t="s">
        <v>199</v>
      </c>
    </row>
    <row r="30" spans="2:12" ht="18" customHeight="1" thickBot="1" x14ac:dyDescent="0.25">
      <c r="B30" s="2437" t="s">
        <v>547</v>
      </c>
      <c r="C30" s="2190" t="s">
        <v>533</v>
      </c>
      <c r="D30" s="2190" t="s">
        <v>522</v>
      </c>
      <c r="E30" s="699">
        <v>20110</v>
      </c>
      <c r="F30" s="1938" t="s">
        <v>205</v>
      </c>
      <c r="G30" s="1938">
        <f t="shared" ref="G30" si="2">J30*1000000/$E30</f>
        <v>18.850894380905025</v>
      </c>
      <c r="H30" s="3126"/>
      <c r="I30" s="3128" t="s">
        <v>205</v>
      </c>
      <c r="J30" s="3128">
        <v>0.37909148600000003</v>
      </c>
      <c r="K30" s="3110"/>
      <c r="L30" s="3080" t="s">
        <v>199</v>
      </c>
    </row>
    <row r="31" spans="2:12" ht="18" customHeight="1" x14ac:dyDescent="0.2">
      <c r="B31" s="1254" t="s">
        <v>548</v>
      </c>
      <c r="C31" s="2192"/>
      <c r="D31" s="2192"/>
      <c r="E31" s="3183"/>
      <c r="F31" s="3183"/>
      <c r="G31" s="3183"/>
      <c r="H31" s="3183"/>
      <c r="I31" s="4437">
        <f>IF(SUM(I32,I36)=0,"NO",SUM(I32,I36))</f>
        <v>14747.246492107337</v>
      </c>
      <c r="J31" s="3046">
        <f>IF(SUM(J32,J36)=0,"NO",SUM(J32,J36))</f>
        <v>82.312775188070617</v>
      </c>
      <c r="K31" s="3046">
        <f>IF(SUM(K32,K36)=0,"NO",SUM(K32,K36))</f>
        <v>0.22203391203769113</v>
      </c>
      <c r="L31" s="3047" t="str">
        <f>IF(SUM(L32,L36)=0,"NO",SUM(L32,L36))</f>
        <v>NO</v>
      </c>
    </row>
    <row r="32" spans="2:12" ht="18" customHeight="1" x14ac:dyDescent="0.2">
      <c r="B32" s="1467" t="s">
        <v>549</v>
      </c>
      <c r="C32" s="2195"/>
      <c r="D32" s="2195"/>
      <c r="E32" s="3007"/>
      <c r="F32" s="3007"/>
      <c r="G32" s="3007"/>
      <c r="H32" s="3007"/>
      <c r="I32" s="3134">
        <f>IF(SUM(I33:I35)=0,"NO",SUM(I33:I35))</f>
        <v>8407.4498135359081</v>
      </c>
      <c r="J32" s="1938">
        <f>IF(SUM(J33:J35)=0,"NO",SUM(J33:J35))</f>
        <v>64.951962279554976</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10120.787852098023</v>
      </c>
      <c r="F35" s="1938">
        <f t="shared" ref="F35" si="3">SUM(I35,L35)*1000000/$E35</f>
        <v>830711.00159391807</v>
      </c>
      <c r="G35" s="1938">
        <f t="shared" ref="G35" si="4">J35*1000000/$E35</f>
        <v>6417.6784681926256</v>
      </c>
      <c r="H35" s="1938">
        <f t="shared" ref="H35" si="5">K35*1000000/$E35</f>
        <v>0</v>
      </c>
      <c r="I35" s="699">
        <v>8407.4498135359081</v>
      </c>
      <c r="J35" s="699">
        <v>64.951962279554976</v>
      </c>
      <c r="K35" s="3110"/>
      <c r="L35" s="3072" t="s">
        <v>199</v>
      </c>
    </row>
    <row r="36" spans="2:12" ht="18" customHeight="1" x14ac:dyDescent="0.2">
      <c r="B36" s="1467" t="s">
        <v>554</v>
      </c>
      <c r="C36" s="2195"/>
      <c r="D36" s="2195"/>
      <c r="E36" s="3007"/>
      <c r="F36" s="3007"/>
      <c r="G36" s="3007"/>
      <c r="H36" s="3007"/>
      <c r="I36" s="3134">
        <f>IF(SUM(I37:I39)=0,"NO",SUM(I37:I39))</f>
        <v>6339.7966785714279</v>
      </c>
      <c r="J36" s="3134">
        <f>IF(SUM(J37:J39)=0,"NO",SUM(J37:J39))</f>
        <v>17.360812908515644</v>
      </c>
      <c r="K36" s="1938">
        <f>IF(SUM(K37:K39)=0,"NO",SUM(K37:K39))</f>
        <v>0.22203391203769113</v>
      </c>
      <c r="L36" s="3044" t="str">
        <f>IF(SUM(L37:L39)=0,"NO",SUM(L37:L39))</f>
        <v>NO</v>
      </c>
    </row>
    <row r="37" spans="2:12" ht="18" customHeight="1" x14ac:dyDescent="0.2">
      <c r="B37" s="1469" t="s">
        <v>555</v>
      </c>
      <c r="C37" s="277" t="s">
        <v>556</v>
      </c>
      <c r="D37" s="277" t="s">
        <v>525</v>
      </c>
      <c r="E37" s="699">
        <v>14.771899915079361</v>
      </c>
      <c r="F37" s="1938">
        <f t="shared" ref="F37:F38" si="6">SUM(I37,L37)*1000000/$E37</f>
        <v>40854370.936765611</v>
      </c>
      <c r="G37" s="1938">
        <f t="shared" ref="G37:H38" si="7">J37*1000000/$E37</f>
        <v>491984.16278742813</v>
      </c>
      <c r="H37" s="1938">
        <f t="shared" si="7"/>
        <v>1144.9154130534387</v>
      </c>
      <c r="I37" s="700">
        <v>603.49667857142867</v>
      </c>
      <c r="J37" s="700">
        <v>7.2675408125000001</v>
      </c>
      <c r="K37" s="700">
        <v>1.6912575892857142E-2</v>
      </c>
      <c r="L37" s="3133" t="s">
        <v>199</v>
      </c>
    </row>
    <row r="38" spans="2:12" ht="18" customHeight="1" x14ac:dyDescent="0.2">
      <c r="B38" s="1469" t="s">
        <v>557</v>
      </c>
      <c r="C38" s="277" t="s">
        <v>556</v>
      </c>
      <c r="D38" s="277" t="s">
        <v>525</v>
      </c>
      <c r="E38" s="699">
        <v>123.24184704744769</v>
      </c>
      <c r="F38" s="1938">
        <f t="shared" si="6"/>
        <v>46545066.772583693</v>
      </c>
      <c r="G38" s="1938">
        <f t="shared" si="7"/>
        <v>81898.091742569944</v>
      </c>
      <c r="H38" s="1938">
        <f t="shared" si="7"/>
        <v>1664.3805741231952</v>
      </c>
      <c r="I38" s="699">
        <v>5736.2999999999993</v>
      </c>
      <c r="J38" s="699">
        <v>10.093272096015644</v>
      </c>
      <c r="K38" s="699">
        <v>0.20512133614483399</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4" t="s">
        <v>562</v>
      </c>
      <c r="C66" s="4505"/>
      <c r="D66" s="4505"/>
      <c r="E66" s="4505"/>
      <c r="F66" s="4505"/>
      <c r="G66" s="4505"/>
      <c r="H66" s="4505"/>
      <c r="I66" s="4505"/>
      <c r="J66" s="4505"/>
      <c r="K66" s="4505"/>
      <c r="L66" s="4506"/>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13" workbookViewId="0">
      <selection activeCell="F15" sqref="F15"/>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f>IF(E21=0,"NO",E21)</f>
        <v>2164.8240000000001</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f>E16</f>
        <v>12.417</v>
      </c>
      <c r="J15" s="125"/>
    </row>
    <row r="16" spans="1:10" ht="18" customHeight="1" x14ac:dyDescent="0.2">
      <c r="B16" s="1238" t="s">
        <v>573</v>
      </c>
      <c r="C16" s="3026">
        <f>IF(E21=0,"NO",E21)</f>
        <v>2164.8240000000001</v>
      </c>
      <c r="D16" s="1938">
        <f>IF(E16=0,"NA",E16*1000000/C16)</f>
        <v>5735.8011551978361</v>
      </c>
      <c r="E16" s="3040">
        <v>12.417</v>
      </c>
    </row>
    <row r="17" spans="2:5" ht="18" customHeight="1" x14ac:dyDescent="0.2">
      <c r="B17" s="1238" t="s">
        <v>574</v>
      </c>
      <c r="C17" s="3138">
        <f>IF(SUM(E21)=0,"NO",E21-E16)</f>
        <v>2152.4070000000002</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v>2164.8240000000001</v>
      </c>
    </row>
    <row r="22" spans="2:5" ht="18" customHeight="1" x14ac:dyDescent="0.2">
      <c r="B22" s="1256" t="s">
        <v>578</v>
      </c>
      <c r="C22" s="4201"/>
      <c r="D22" s="4202"/>
      <c r="E22" s="3040" t="s">
        <v>199</v>
      </c>
    </row>
    <row r="23" spans="2:5" ht="18" customHeight="1" x14ac:dyDescent="0.2">
      <c r="B23" s="2185"/>
      <c r="C23" s="3143"/>
      <c r="D23" s="3144" t="s">
        <v>579</v>
      </c>
      <c r="E23" s="3064">
        <f>IF(SUM(E21:E22)=0,"NO",SUM(E21:E22))</f>
        <v>2164.8240000000001</v>
      </c>
    </row>
    <row r="24" spans="2:5" ht="18" customHeight="1" x14ac:dyDescent="0.2">
      <c r="B24" s="1256" t="s">
        <v>580</v>
      </c>
      <c r="C24" s="4201"/>
      <c r="D24" s="4202"/>
      <c r="E24" s="3040" t="s">
        <v>199</v>
      </c>
    </row>
    <row r="25" spans="2:5" ht="18" customHeight="1" x14ac:dyDescent="0.2">
      <c r="B25" s="1256" t="s">
        <v>581</v>
      </c>
      <c r="C25" s="4201"/>
      <c r="D25" s="4202"/>
      <c r="E25" s="3040">
        <f>E21-E27</f>
        <v>2152.4070000000002</v>
      </c>
    </row>
    <row r="26" spans="2:5" ht="18" customHeight="1" x14ac:dyDescent="0.2">
      <c r="B26" s="1256" t="s">
        <v>582</v>
      </c>
      <c r="C26" s="4201"/>
      <c r="D26" s="4202"/>
      <c r="E26" s="3040" t="s">
        <v>199</v>
      </c>
    </row>
    <row r="27" spans="2:5" ht="18" customHeight="1" x14ac:dyDescent="0.2">
      <c r="B27" s="1049" t="s">
        <v>583</v>
      </c>
      <c r="C27" s="4201"/>
      <c r="D27" s="4202"/>
      <c r="E27" s="3040">
        <f>E16</f>
        <v>12.417</v>
      </c>
    </row>
    <row r="28" spans="2:5" ht="18" customHeight="1" x14ac:dyDescent="0.2">
      <c r="B28" s="2186"/>
      <c r="C28" s="3145"/>
      <c r="D28" s="3146" t="s">
        <v>584</v>
      </c>
      <c r="E28" s="3064">
        <f>SUM(E24:E27)</f>
        <v>2164.8240000000001</v>
      </c>
    </row>
    <row r="29" spans="2:5" ht="18" customHeight="1" thickBot="1" x14ac:dyDescent="0.25">
      <c r="B29" s="2187"/>
      <c r="C29" s="3147"/>
      <c r="D29" s="3148" t="s">
        <v>585</v>
      </c>
      <c r="E29" s="1172">
        <f>IF(E23="NO","NA",E23-E28)</f>
        <v>0</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36.075069314931781</v>
      </c>
      <c r="M9" s="3323">
        <f>100*C10/SUM(C10,'Table1.A(a)s3'!C16)</f>
        <v>63.924930685068219</v>
      </c>
    </row>
    <row r="10" spans="1:13" ht="18" customHeight="1" thickTop="1" thickBot="1" x14ac:dyDescent="0.25">
      <c r="B10" s="223" t="s">
        <v>603</v>
      </c>
      <c r="C10" s="3303">
        <f>IF(SUM(C11:C13)=0,"NO",SUM(C11:C13))</f>
        <v>168935.11040000001</v>
      </c>
      <c r="D10" s="3304"/>
      <c r="E10" s="3305"/>
      <c r="F10" s="3305"/>
      <c r="G10" s="3303">
        <f>IF(SUM(G11:G13)=0,"NO",SUM(G11:G13))</f>
        <v>11757.883683840002</v>
      </c>
      <c r="H10" s="3303">
        <f>IF(SUM(H11:H13)=0,"NO",SUM(H11:H13))</f>
        <v>2.6988825116279071E-2</v>
      </c>
      <c r="I10" s="1154">
        <f>IF(SUM(I11:I13)=0,"NO",SUM(I11:I13))</f>
        <v>5.7589741863666853E-2</v>
      </c>
      <c r="J10" s="4"/>
      <c r="K10" s="68" t="s">
        <v>604</v>
      </c>
      <c r="L10" s="3324">
        <f>100-M10</f>
        <v>48.800509407269963</v>
      </c>
      <c r="M10" s="3325">
        <f>100*C14/SUM(C14,'Table1.A(a)s3'!C88)</f>
        <v>51.199490592730037</v>
      </c>
    </row>
    <row r="11" spans="1:13" ht="18" customHeight="1" x14ac:dyDescent="0.2">
      <c r="B11" s="1257" t="s">
        <v>293</v>
      </c>
      <c r="C11" s="3306">
        <v>168935.11040000001</v>
      </c>
      <c r="D11" s="116">
        <f>IF(G11="NO","NA",G11*1000/$C11)</f>
        <v>69.600000000000009</v>
      </c>
      <c r="E11" s="116">
        <f t="shared" ref="E11:F13" si="0">IF(H11="NO","NA",H11*1000000/$C11)</f>
        <v>0.15975853126313208</v>
      </c>
      <c r="F11" s="116">
        <f t="shared" si="0"/>
        <v>0.34089859548620421</v>
      </c>
      <c r="G11" s="3041">
        <v>11757.883683840002</v>
      </c>
      <c r="H11" s="3041">
        <v>2.6988825116279071E-2</v>
      </c>
      <c r="I11" s="3042">
        <v>5.7589741863666853E-2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29179.009600000001</v>
      </c>
      <c r="D14" s="3313"/>
      <c r="E14" s="3314"/>
      <c r="F14" s="3315"/>
      <c r="G14" s="3387">
        <f>IF(SUM(G15:G18,G20:G22)=0,"NO",SUM(G15:G18,G20:G22))</f>
        <v>2130.6661065599983</v>
      </c>
      <c r="H14" s="3387">
        <f>IF(SUM(H15:H18,H20:H22)=0,"NO",SUM(H15:H18,H20:H22))</f>
        <v>0.20425306719999986</v>
      </c>
      <c r="I14" s="4428">
        <f>IF(SUM(I15:I18,I20:I22)=0,"NO",SUM(I15:I18,I20:I22))</f>
        <v>5.8358019199999958E-2</v>
      </c>
      <c r="J14" s="4"/>
      <c r="K14" s="1045"/>
      <c r="L14" s="1045"/>
      <c r="M14" s="1045"/>
    </row>
    <row r="15" spans="1:13" ht="18" customHeight="1" x14ac:dyDescent="0.2">
      <c r="B15" s="1259" t="s">
        <v>306</v>
      </c>
      <c r="C15" s="143">
        <v>24609.009600000001</v>
      </c>
      <c r="D15" s="116">
        <f>IF(G15="NO","NA",G15*1000/$C15)</f>
        <v>73.599999999999923</v>
      </c>
      <c r="E15" s="116">
        <f t="shared" ref="E15:F17" si="1">IF(H15="NO","NA",H15*1000000/$C15)</f>
        <v>6.9999999999999938</v>
      </c>
      <c r="F15" s="116">
        <f t="shared" si="1"/>
        <v>1.999999999999998</v>
      </c>
      <c r="G15" s="3043">
        <v>1811.2231065599981</v>
      </c>
      <c r="H15" s="3043">
        <v>0.17226306719999984</v>
      </c>
      <c r="I15" s="135">
        <v>4.9218019199999949E-2</v>
      </c>
      <c r="J15" s="4"/>
      <c r="K15" s="1045"/>
      <c r="L15" s="1045"/>
      <c r="M15" s="1045"/>
    </row>
    <row r="16" spans="1:13" ht="18" customHeight="1" x14ac:dyDescent="0.2">
      <c r="B16" s="1259" t="s">
        <v>307</v>
      </c>
      <c r="C16" s="3316">
        <v>4570</v>
      </c>
      <c r="D16" s="116">
        <f>IF(G16="NO","NA",G16*1000/$C16)</f>
        <v>69.900000000000048</v>
      </c>
      <c r="E16" s="116">
        <f t="shared" si="1"/>
        <v>7.0000000000000036</v>
      </c>
      <c r="F16" s="116">
        <f t="shared" si="1"/>
        <v>2.0000000000000013</v>
      </c>
      <c r="G16" s="3043">
        <v>319.44300000000021</v>
      </c>
      <c r="H16" s="3043">
        <v>3.1990000000000018E-2</v>
      </c>
      <c r="I16" s="135">
        <v>9.1400000000000058E-3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8" t="s">
        <v>609</v>
      </c>
      <c r="C43" s="4499"/>
      <c r="D43" s="4499"/>
      <c r="E43" s="4499"/>
      <c r="F43" s="4499"/>
      <c r="G43" s="4499"/>
      <c r="H43" s="4499"/>
      <c r="I43" s="4500"/>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18771.640519708133</v>
      </c>
      <c r="D10" s="2923">
        <f t="shared" ref="D10:N10" si="0">IF(SUM(D11,D16,D27,D35,D39,D45,D52,D57)=0,"NO",SUM(D11,D16,D27,D35,D39,D45,D52,D57))</f>
        <v>2.858517065785743</v>
      </c>
      <c r="E10" s="2923">
        <f t="shared" si="0"/>
        <v>6.5867418416997356</v>
      </c>
      <c r="F10" s="2923">
        <f t="shared" si="0"/>
        <v>10949.19171830784</v>
      </c>
      <c r="G10" s="2923">
        <f t="shared" si="0"/>
        <v>243.11647207633368</v>
      </c>
      <c r="H10" s="2923" t="str">
        <f t="shared" si="0"/>
        <v>NO</v>
      </c>
      <c r="I10" s="2923">
        <f t="shared" si="0"/>
        <v>4.3526154704349295E-3</v>
      </c>
      <c r="J10" s="2923" t="str">
        <f t="shared" si="0"/>
        <v>NO</v>
      </c>
      <c r="K10" s="2923">
        <f t="shared" si="0"/>
        <v>6.9031524665594279</v>
      </c>
      <c r="L10" s="2924">
        <f t="shared" si="0"/>
        <v>16.460991508637015</v>
      </c>
      <c r="M10" s="2925">
        <f t="shared" si="0"/>
        <v>248.35679965999566</v>
      </c>
      <c r="N10" s="2926">
        <f t="shared" si="0"/>
        <v>1519.4716756553119</v>
      </c>
      <c r="O10" s="3002">
        <f t="shared" ref="O10:O58" si="1">IF(SUM(C10:J10)=0,"NO",SUM(C10,F10:H10)+28*SUM(D10)+265*SUM(E10)+23500*SUM(I10)+16100*SUM(J10))</f>
        <v>31891.760239539959</v>
      </c>
    </row>
    <row r="11" spans="1:15" ht="18" customHeight="1" x14ac:dyDescent="0.2">
      <c r="B11" s="1262" t="s">
        <v>621</v>
      </c>
      <c r="C11" s="2163">
        <f>IF(SUM(C12:C15)=0,"NO",SUM(C12:C15))</f>
        <v>5230.4617644063883</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5230.4617644063883</v>
      </c>
    </row>
    <row r="12" spans="1:15" ht="18" customHeight="1" x14ac:dyDescent="0.2">
      <c r="B12" s="1263" t="s">
        <v>622</v>
      </c>
      <c r="C12" s="2930">
        <f>'Table2(I).A-H'!H11</f>
        <v>2820.1617948620001</v>
      </c>
      <c r="D12" s="2162"/>
      <c r="E12" s="2162"/>
      <c r="F12" s="615"/>
      <c r="G12" s="615"/>
      <c r="H12" s="2161"/>
      <c r="I12" s="615"/>
      <c r="J12" s="2161"/>
      <c r="K12" s="2161"/>
      <c r="L12" s="2161"/>
      <c r="M12" s="2161"/>
      <c r="N12" s="2929" t="s">
        <v>199</v>
      </c>
      <c r="O12" s="2943">
        <f t="shared" si="1"/>
        <v>2820.1617948620001</v>
      </c>
    </row>
    <row r="13" spans="1:15" ht="18" customHeight="1" x14ac:dyDescent="0.2">
      <c r="B13" s="1263" t="s">
        <v>623</v>
      </c>
      <c r="C13" s="1884">
        <f>'Table2(I).A-H'!H12</f>
        <v>1058.4518577439267</v>
      </c>
      <c r="D13" s="2135"/>
      <c r="E13" s="2135"/>
      <c r="F13" s="615"/>
      <c r="G13" s="615"/>
      <c r="H13" s="2161"/>
      <c r="I13" s="615"/>
      <c r="J13" s="2161"/>
      <c r="K13" s="615"/>
      <c r="L13" s="615"/>
      <c r="M13" s="615"/>
      <c r="N13" s="1842"/>
      <c r="O13" s="1887">
        <f t="shared" si="1"/>
        <v>1058.4518577439267</v>
      </c>
    </row>
    <row r="14" spans="1:15" ht="18" customHeight="1" x14ac:dyDescent="0.2">
      <c r="B14" s="1263" t="s">
        <v>624</v>
      </c>
      <c r="C14" s="1884">
        <f>'Table2(I).A-H'!H13</f>
        <v>78.469816724886996</v>
      </c>
      <c r="D14" s="2135"/>
      <c r="E14" s="2135"/>
      <c r="F14" s="615"/>
      <c r="G14" s="615"/>
      <c r="H14" s="2161"/>
      <c r="I14" s="615"/>
      <c r="J14" s="2161"/>
      <c r="K14" s="615"/>
      <c r="L14" s="615"/>
      <c r="M14" s="615"/>
      <c r="N14" s="1842"/>
      <c r="O14" s="1887">
        <f t="shared" si="1"/>
        <v>78.469816724886996</v>
      </c>
    </row>
    <row r="15" spans="1:15" ht="18" customHeight="1" thickBot="1" x14ac:dyDescent="0.25">
      <c r="B15" s="1263" t="s">
        <v>625</v>
      </c>
      <c r="C15" s="1884">
        <f>'Table2(I).A-H'!H14</f>
        <v>1273.3782950755742</v>
      </c>
      <c r="D15" s="1885"/>
      <c r="E15" s="1885"/>
      <c r="F15" s="3003"/>
      <c r="G15" s="3003"/>
      <c r="H15" s="3003"/>
      <c r="I15" s="3003"/>
      <c r="J15" s="3003"/>
      <c r="K15" s="2622" t="s">
        <v>199</v>
      </c>
      <c r="L15" s="2622" t="s">
        <v>199</v>
      </c>
      <c r="M15" s="2622" t="s">
        <v>199</v>
      </c>
      <c r="N15" s="2623" t="s">
        <v>199</v>
      </c>
      <c r="O15" s="1887">
        <f t="shared" si="1"/>
        <v>1273.3782950755742</v>
      </c>
    </row>
    <row r="16" spans="1:15" ht="18" customHeight="1" x14ac:dyDescent="0.2">
      <c r="B16" s="1264" t="s">
        <v>626</v>
      </c>
      <c r="C16" s="2163">
        <f>IF(SUM(C17:C26)=0,"NO",SUM(C17:C26))</f>
        <v>2987.1547812315525</v>
      </c>
      <c r="D16" s="2163">
        <f t="shared" ref="D16:N16" si="3">IF(SUM(D17:D26)=0,"NO",SUM(D17:D26))</f>
        <v>0.43359999999999999</v>
      </c>
      <c r="E16" s="2163">
        <f t="shared" si="3"/>
        <v>6.533489044731553</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4730.6701780854146</v>
      </c>
    </row>
    <row r="17" spans="2:15" ht="18" customHeight="1" x14ac:dyDescent="0.2">
      <c r="B17" s="1265" t="s">
        <v>627</v>
      </c>
      <c r="C17" s="2930">
        <f>'Table2(I).A-H'!H23</f>
        <v>2135.3157059223013</v>
      </c>
      <c r="D17" s="2165" t="str">
        <f>'Table2(I).A-H'!I23</f>
        <v>NO</v>
      </c>
      <c r="E17" s="2165" t="str">
        <f>'Table2(I).A-H'!J23</f>
        <v>NO</v>
      </c>
      <c r="F17" s="2161"/>
      <c r="G17" s="2161"/>
      <c r="H17" s="2161"/>
      <c r="I17" s="2161"/>
      <c r="J17" s="2161"/>
      <c r="K17" s="700" t="s">
        <v>199</v>
      </c>
      <c r="L17" s="700" t="s">
        <v>199</v>
      </c>
      <c r="M17" s="700" t="s">
        <v>199</v>
      </c>
      <c r="N17" s="700" t="s">
        <v>199</v>
      </c>
      <c r="O17" s="2943">
        <f t="shared" si="1"/>
        <v>2135.3157059223013</v>
      </c>
    </row>
    <row r="18" spans="2:15" ht="18" customHeight="1" x14ac:dyDescent="0.2">
      <c r="B18" s="1263" t="s">
        <v>628</v>
      </c>
      <c r="C18" s="1935"/>
      <c r="D18" s="2162"/>
      <c r="E18" s="2165">
        <f>'Table2(I).A-H'!J24</f>
        <v>6.533489044731553</v>
      </c>
      <c r="F18" s="615"/>
      <c r="G18" s="615"/>
      <c r="H18" s="2161"/>
      <c r="I18" s="615"/>
      <c r="J18" s="2161"/>
      <c r="K18" s="700" t="s">
        <v>199</v>
      </c>
      <c r="L18" s="615"/>
      <c r="M18" s="615"/>
      <c r="N18" s="1842"/>
      <c r="O18" s="2943">
        <f t="shared" si="1"/>
        <v>1731.3745968538615</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832.52291714887497</v>
      </c>
      <c r="D22" s="1939"/>
      <c r="E22" s="615"/>
      <c r="F22" s="615"/>
      <c r="G22" s="615"/>
      <c r="H22" s="2161"/>
      <c r="I22" s="615"/>
      <c r="J22" s="2161"/>
      <c r="K22" s="1939"/>
      <c r="L22" s="1939"/>
      <c r="M22" s="1939"/>
      <c r="N22" s="2931"/>
      <c r="O22" s="1887">
        <f t="shared" si="1"/>
        <v>832.52291714887497</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0.43359999999999999</v>
      </c>
      <c r="E24" s="615"/>
      <c r="F24" s="615"/>
      <c r="G24" s="615"/>
      <c r="H24" s="2161"/>
      <c r="I24" s="615"/>
      <c r="J24" s="2161"/>
      <c r="K24" s="700" t="s">
        <v>199</v>
      </c>
      <c r="L24" s="700" t="s">
        <v>199</v>
      </c>
      <c r="M24" s="699">
        <v>2.8425606806999988</v>
      </c>
      <c r="N24" s="700" t="s">
        <v>199</v>
      </c>
      <c r="O24" s="1887">
        <f t="shared" si="1"/>
        <v>12.140799999999999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19.316158160376141</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19.316158160376141</v>
      </c>
    </row>
    <row r="27" spans="2:15" ht="18" customHeight="1" x14ac:dyDescent="0.2">
      <c r="B27" s="1262" t="s">
        <v>637</v>
      </c>
      <c r="C27" s="2163">
        <f>IF(SUM(C28:C34)=0,"NO",SUM(C28:C34))</f>
        <v>10162.119319579853</v>
      </c>
      <c r="D27" s="2163">
        <f t="shared" ref="D27:N27" si="4">IF(SUM(D28:D34)=0,"NO",SUM(D28:D34))</f>
        <v>2.4249170657857428</v>
      </c>
      <c r="E27" s="2163">
        <f t="shared" si="4"/>
        <v>5.3252796968182657E-2</v>
      </c>
      <c r="F27" s="2164" t="str">
        <f t="shared" si="4"/>
        <v>NO</v>
      </c>
      <c r="G27" s="2164">
        <f t="shared" si="4"/>
        <v>243.11647207633368</v>
      </c>
      <c r="H27" s="2164" t="str">
        <f t="shared" si="4"/>
        <v>NO</v>
      </c>
      <c r="I27" s="2164" t="str">
        <f t="shared" si="4"/>
        <v>NO</v>
      </c>
      <c r="J27" s="2164" t="str">
        <f t="shared" si="4"/>
        <v>NO</v>
      </c>
      <c r="K27" s="2163">
        <f t="shared" si="4"/>
        <v>6.9031524665594279</v>
      </c>
      <c r="L27" s="2163">
        <f t="shared" si="4"/>
        <v>16.460991508637015</v>
      </c>
      <c r="M27" s="2927">
        <f t="shared" si="4"/>
        <v>6.4866424844765375E-2</v>
      </c>
      <c r="N27" s="2928">
        <f t="shared" si="4"/>
        <v>1519.4716756553119</v>
      </c>
      <c r="O27" s="2950">
        <f t="shared" si="1"/>
        <v>10487.245460694756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2331.8199361723282</v>
      </c>
      <c r="D30" s="1885"/>
      <c r="E30" s="615"/>
      <c r="F30" s="615"/>
      <c r="G30" s="2166">
        <f>SUM('Table2(II)'!X41:Y41)</f>
        <v>243.11647207633368</v>
      </c>
      <c r="H30" s="2162"/>
      <c r="I30" s="2168" t="s">
        <v>199</v>
      </c>
      <c r="J30" s="2161"/>
      <c r="K30" s="699" t="s">
        <v>205</v>
      </c>
      <c r="L30" s="699" t="s">
        <v>205</v>
      </c>
      <c r="M30" s="699" t="s">
        <v>205</v>
      </c>
      <c r="N30" s="2921">
        <v>40.245089180000001</v>
      </c>
      <c r="O30" s="1887">
        <f t="shared" si="1"/>
        <v>2574.9364082486618</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7830.2993834075251</v>
      </c>
      <c r="D34" s="1888">
        <f>'Table2(I).A-H'!I67</f>
        <v>2.4249170657857428</v>
      </c>
      <c r="E34" s="1888">
        <f>'Table2(I).A-H'!J67</f>
        <v>5.3252796968182657E-2</v>
      </c>
      <c r="F34" s="2172" t="s">
        <v>199</v>
      </c>
      <c r="G34" s="2172" t="s">
        <v>199</v>
      </c>
      <c r="H34" s="2172" t="s">
        <v>199</v>
      </c>
      <c r="I34" s="2172" t="s">
        <v>199</v>
      </c>
      <c r="J34" s="2172" t="s">
        <v>199</v>
      </c>
      <c r="K34" s="2622">
        <v>6.9031524665594279</v>
      </c>
      <c r="L34" s="2622">
        <v>16.460991508637015</v>
      </c>
      <c r="M34" s="2622">
        <v>6.4866424844765375E-2</v>
      </c>
      <c r="N34" s="2623">
        <v>1479.2265864753119</v>
      </c>
      <c r="O34" s="1890">
        <f t="shared" si="1"/>
        <v>7912.3090524460949</v>
      </c>
    </row>
    <row r="35" spans="2:15" ht="18" customHeight="1" x14ac:dyDescent="0.2">
      <c r="B35" s="2489" t="s">
        <v>645</v>
      </c>
      <c r="C35" s="2930">
        <f>IF(SUM(C36:C38)=0,"NO",SUM(C36:C38))</f>
        <v>178.35814491499997</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193.44069478921932</v>
      </c>
      <c r="N35" s="2077" t="str">
        <f t="shared" ref="N35" si="7">IF(SUM(N36:N38)=0,"NO",SUM(N36:N38))</f>
        <v>NO</v>
      </c>
      <c r="O35" s="2943">
        <f t="shared" si="1"/>
        <v>178.35814491499997</v>
      </c>
    </row>
    <row r="36" spans="2:15" ht="18" customHeight="1" x14ac:dyDescent="0.2">
      <c r="B36" s="1269" t="s">
        <v>646</v>
      </c>
      <c r="C36" s="1884">
        <f>'Table2(I).A-H'!H73</f>
        <v>178.35814491499997</v>
      </c>
      <c r="D36" s="2166" t="str">
        <f>'Table2(I).A-H'!I73</f>
        <v>NO</v>
      </c>
      <c r="E36" s="2166" t="str">
        <f>'Table2(I).A-H'!J73</f>
        <v>NO</v>
      </c>
      <c r="F36" s="615"/>
      <c r="G36" s="615"/>
      <c r="H36" s="2161"/>
      <c r="I36" s="615"/>
      <c r="J36" s="2161"/>
      <c r="K36" s="2173" t="s">
        <v>205</v>
      </c>
      <c r="L36" s="2173" t="s">
        <v>205</v>
      </c>
      <c r="M36" s="699" t="s">
        <v>205</v>
      </c>
      <c r="N36" s="2167" t="s">
        <v>205</v>
      </c>
      <c r="O36" s="1887">
        <f t="shared" si="1"/>
        <v>178.35814491499997</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193.44069478921932</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10949.19171830784</v>
      </c>
      <c r="G45" s="2163" t="str">
        <f t="shared" ref="G45:J45" si="9">IF(SUM(G46:G51)=0,"NO",SUM(G46:G51))</f>
        <v>NO</v>
      </c>
      <c r="H45" s="2930" t="str">
        <f t="shared" si="9"/>
        <v>NO</v>
      </c>
      <c r="I45" s="2930" t="str">
        <f t="shared" si="9"/>
        <v>NO</v>
      </c>
      <c r="J45" s="2165" t="str">
        <f t="shared" si="9"/>
        <v>NO</v>
      </c>
      <c r="K45" s="1955"/>
      <c r="L45" s="1955"/>
      <c r="M45" s="1955"/>
      <c r="N45" s="2178"/>
      <c r="O45" s="2950">
        <f t="shared" si="1"/>
        <v>10949.19171830784</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10339.138807286827</v>
      </c>
      <c r="G46" s="1884" t="s">
        <v>199</v>
      </c>
      <c r="H46" s="1884" t="s">
        <v>199</v>
      </c>
      <c r="I46" s="1884" t="s">
        <v>199</v>
      </c>
      <c r="J46" s="2165" t="str">
        <f t="shared" ref="J46" si="10">IF(SUM(J47:J52)=0,"NO",SUM(J47:J52))</f>
        <v>NO</v>
      </c>
      <c r="K46" s="615"/>
      <c r="L46" s="615"/>
      <c r="M46" s="615"/>
      <c r="N46" s="1842"/>
      <c r="O46" s="1887">
        <f t="shared" si="1"/>
        <v>10339.138807286827</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69.030112684405921</v>
      </c>
      <c r="G47" s="1884" t="s">
        <v>199</v>
      </c>
      <c r="H47" s="1884" t="s">
        <v>199</v>
      </c>
      <c r="I47" s="1884" t="s">
        <v>199</v>
      </c>
      <c r="J47" s="2165" t="str">
        <f t="shared" ref="J47" si="11">IF(SUM(J48:J53)=0,"NO",SUM(J48:J53))</f>
        <v>NO</v>
      </c>
      <c r="K47" s="615"/>
      <c r="L47" s="615"/>
      <c r="M47" s="615"/>
      <c r="N47" s="1842"/>
      <c r="O47" s="1887">
        <f t="shared" si="1"/>
        <v>69.030112684405921</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82.684652188611665</v>
      </c>
      <c r="G48" s="1884" t="s">
        <v>199</v>
      </c>
      <c r="H48" s="1884" t="s">
        <v>199</v>
      </c>
      <c r="I48" s="1884" t="s">
        <v>199</v>
      </c>
      <c r="J48" s="2165" t="str">
        <f t="shared" ref="J48" si="12">IF(SUM(J49:J54)=0,"NO",SUM(J49:J54))</f>
        <v>NO</v>
      </c>
      <c r="K48" s="615"/>
      <c r="L48" s="615"/>
      <c r="M48" s="615"/>
      <c r="N48" s="1842"/>
      <c r="O48" s="1887">
        <f t="shared" si="1"/>
        <v>82.684652188611665</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124.67955950854679</v>
      </c>
      <c r="G49" s="1884" t="s">
        <v>199</v>
      </c>
      <c r="H49" s="1884" t="s">
        <v>199</v>
      </c>
      <c r="I49" s="1884" t="s">
        <v>199</v>
      </c>
      <c r="J49" s="2165" t="str">
        <f t="shared" ref="J49" si="13">IF(SUM(J50:J55)=0,"NO",SUM(J50:J55))</f>
        <v>NO</v>
      </c>
      <c r="K49" s="615"/>
      <c r="L49" s="615"/>
      <c r="M49" s="615"/>
      <c r="N49" s="1842"/>
      <c r="O49" s="1887">
        <f t="shared" si="1"/>
        <v>124.67955950854679</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333.6585866394513</v>
      </c>
      <c r="G50" s="1884" t="s">
        <v>199</v>
      </c>
      <c r="H50" s="1884" t="s">
        <v>199</v>
      </c>
      <c r="I50" s="1884" t="s">
        <v>199</v>
      </c>
      <c r="J50" s="2165" t="str">
        <f t="shared" ref="J50" si="14">IF(SUM(J51:J56)=0,"NO",SUM(J51:J56))</f>
        <v>NO</v>
      </c>
      <c r="K50" s="615"/>
      <c r="L50" s="615"/>
      <c r="M50" s="615"/>
      <c r="N50" s="1842"/>
      <c r="O50" s="1887">
        <f t="shared" si="1"/>
        <v>333.6585866394513</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4.3526154704349295E-3</v>
      </c>
      <c r="J52" s="2165" t="str">
        <f t="shared" si="16"/>
        <v>NO</v>
      </c>
      <c r="K52" s="2165" t="str">
        <f t="shared" si="16"/>
        <v>NO</v>
      </c>
      <c r="L52" s="2165" t="str">
        <f t="shared" si="16"/>
        <v>NO</v>
      </c>
      <c r="M52" s="2165" t="str">
        <f t="shared" si="16"/>
        <v>NO</v>
      </c>
      <c r="N52" s="2077" t="str">
        <f t="shared" si="16"/>
        <v>NO</v>
      </c>
      <c r="O52" s="2943">
        <f t="shared" si="1"/>
        <v>102.28646355522085</v>
      </c>
    </row>
    <row r="53" spans="2:15" ht="18" customHeight="1" x14ac:dyDescent="0.2">
      <c r="B53" s="1269" t="s">
        <v>663</v>
      </c>
      <c r="C53" s="2161"/>
      <c r="D53" s="2161"/>
      <c r="E53" s="2161"/>
      <c r="F53" s="2930" t="s">
        <v>199</v>
      </c>
      <c r="G53" s="2930" t="s">
        <v>199</v>
      </c>
      <c r="H53" s="2930" t="s">
        <v>199</v>
      </c>
      <c r="I53" s="2930">
        <f>SUM('Table2(II).B-Hs2'!J163:M163)/1000</f>
        <v>3.482351269114285E-3</v>
      </c>
      <c r="J53" s="2930" t="s">
        <v>199</v>
      </c>
      <c r="K53" s="2161"/>
      <c r="L53" s="2161"/>
      <c r="M53" s="2161"/>
      <c r="N53" s="2174"/>
      <c r="O53" s="2943">
        <f t="shared" si="1"/>
        <v>81.835254824185697</v>
      </c>
    </row>
    <row r="54" spans="2:15" ht="18" customHeight="1" x14ac:dyDescent="0.2">
      <c r="B54" s="1269" t="s">
        <v>664</v>
      </c>
      <c r="C54" s="2161"/>
      <c r="D54" s="2161"/>
      <c r="E54" s="2161"/>
      <c r="F54" s="2161"/>
      <c r="G54" s="2930" t="s">
        <v>199</v>
      </c>
      <c r="H54" s="3007"/>
      <c r="I54" s="2930">
        <f>SUM('Table2(II).B-Hs2'!J165:M165)/1000</f>
        <v>8.7026420132064433E-4</v>
      </c>
      <c r="J54" s="2161"/>
      <c r="K54" s="2161"/>
      <c r="L54" s="2161"/>
      <c r="M54" s="2161"/>
      <c r="N54" s="2174"/>
      <c r="O54" s="2943">
        <f t="shared" si="1"/>
        <v>20.451208731035141</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213.54650957533741</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52.008677765231575</v>
      </c>
      <c r="N57" s="2100" t="str">
        <f>N58</f>
        <v>NA</v>
      </c>
      <c r="O57" s="2950">
        <f t="shared" si="1"/>
        <v>213.54650957533741</v>
      </c>
    </row>
    <row r="58" spans="2:15" ht="18" customHeight="1" thickBot="1" x14ac:dyDescent="0.25">
      <c r="B58" s="2613" t="s">
        <v>668</v>
      </c>
      <c r="C58" s="2517">
        <f>'Table2(I).A-H'!H98</f>
        <v>213.54650957533741</v>
      </c>
      <c r="D58" s="2517" t="str">
        <f>'Table2(I).A-H'!I98</f>
        <v>NO</v>
      </c>
      <c r="E58" s="2517" t="str">
        <f>'Table2(I).A-H'!J98</f>
        <v>NO</v>
      </c>
      <c r="F58" s="2517" t="s">
        <v>199</v>
      </c>
      <c r="G58" s="2517" t="s">
        <v>199</v>
      </c>
      <c r="H58" s="2517" t="s">
        <v>199</v>
      </c>
      <c r="I58" s="2517" t="s">
        <v>199</v>
      </c>
      <c r="J58" s="2517" t="s">
        <v>199</v>
      </c>
      <c r="K58" s="2922" t="s">
        <v>205</v>
      </c>
      <c r="L58" s="2922" t="s">
        <v>205</v>
      </c>
      <c r="M58" s="2922">
        <v>52.008677765231575</v>
      </c>
      <c r="N58" s="2932" t="s">
        <v>205</v>
      </c>
      <c r="O58" s="2935">
        <f t="shared" si="1"/>
        <v>213.54650957533741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2"/>
      <c r="C75" s="4493"/>
      <c r="D75" s="4493"/>
      <c r="E75" s="4493"/>
      <c r="F75" s="4493"/>
      <c r="G75" s="4493"/>
      <c r="H75" s="4493"/>
      <c r="I75" s="4493"/>
      <c r="J75" s="4493"/>
      <c r="K75" s="4493"/>
      <c r="L75" s="4493"/>
      <c r="M75" s="4493"/>
      <c r="N75" s="4493"/>
      <c r="O75" s="4494"/>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54.218905282469265</v>
      </c>
      <c r="D10" s="4431">
        <f t="shared" ref="D10:X10" si="0">IF(SUM(D11,D16,D20,D26,D33,D37)=0,"NO",SUM(D11,D16,D20,D26,D33,D37))</f>
        <v>418.26012646476306</v>
      </c>
      <c r="E10" s="4431" t="str">
        <f t="shared" si="0"/>
        <v>NO</v>
      </c>
      <c r="F10" s="4431" t="str">
        <f t="shared" si="0"/>
        <v>NO</v>
      </c>
      <c r="G10" s="4431">
        <f t="shared" si="0"/>
        <v>954.64001086633402</v>
      </c>
      <c r="H10" s="4431">
        <f t="shared" si="0"/>
        <v>5.0012524525546818</v>
      </c>
      <c r="I10" s="4431">
        <f t="shared" si="0"/>
        <v>2741.9274957134458</v>
      </c>
      <c r="J10" s="4431" t="str">
        <f t="shared" si="0"/>
        <v>NO</v>
      </c>
      <c r="K10" s="4431">
        <f t="shared" si="0"/>
        <v>639.0085265433878</v>
      </c>
      <c r="L10" s="2073" t="str">
        <f t="shared" si="0"/>
        <v>NO</v>
      </c>
      <c r="M10" s="2073">
        <f t="shared" si="0"/>
        <v>116.18336846243416</v>
      </c>
      <c r="N10" s="2073" t="str">
        <f t="shared" si="0"/>
        <v>NO</v>
      </c>
      <c r="O10" s="4431">
        <f t="shared" si="0"/>
        <v>34.855010538730255</v>
      </c>
      <c r="P10" s="2073" t="str">
        <f t="shared" si="0"/>
        <v>NO</v>
      </c>
      <c r="Q10" s="2073" t="str">
        <f t="shared" si="0"/>
        <v>NO</v>
      </c>
      <c r="R10" s="2073">
        <f t="shared" si="0"/>
        <v>5.8091684231217062</v>
      </c>
      <c r="S10" s="2073" t="str">
        <f t="shared" si="0"/>
        <v>NO</v>
      </c>
      <c r="T10" s="2073">
        <f t="shared" si="0"/>
        <v>106.50142109056463</v>
      </c>
      <c r="U10" s="2073">
        <f t="shared" si="0"/>
        <v>73.582800026208304</v>
      </c>
      <c r="V10" s="2074" t="str">
        <f t="shared" si="0"/>
        <v>NO</v>
      </c>
      <c r="W10" s="2075"/>
      <c r="X10" s="2073">
        <f t="shared" si="0"/>
        <v>30.159831702300409</v>
      </c>
      <c r="Y10" s="4431">
        <f t="shared" ref="Y10" si="1">IF(SUM(Y11,Y16,Y20,Y26,Y33,Y37)=0,"NO",SUM(Y11,Y16,Y20,Y26,Y33,Y37))</f>
        <v>3.8879989090163938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4.3526154704349294</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30.159831702300409</v>
      </c>
      <c r="Y16" s="4432">
        <f t="shared" ref="Y16" si="35">IF(SUM(Y17:Y19)=0,"NO",SUM(Y17:Y19))</f>
        <v>3.8879989090163938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30.159831702300409</v>
      </c>
      <c r="Y17" s="4432">
        <f>'Table2(II).B-Hs1'!G26</f>
        <v>3.8879989090163938</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54.218905282469265</v>
      </c>
      <c r="D26" s="4430">
        <f t="shared" ref="D26:AK26" si="58">IF(SUM(D27:D32)=0,"NO",SUM(D27:D32))</f>
        <v>418.26012646476306</v>
      </c>
      <c r="E26" s="2097" t="str">
        <f t="shared" si="58"/>
        <v>NO</v>
      </c>
      <c r="F26" s="2097" t="str">
        <f t="shared" si="58"/>
        <v>NO</v>
      </c>
      <c r="G26" s="4430">
        <f t="shared" si="58"/>
        <v>954.64001086633402</v>
      </c>
      <c r="H26" s="4430">
        <f t="shared" si="58"/>
        <v>5.0012524525546818</v>
      </c>
      <c r="I26" s="4430">
        <f t="shared" si="58"/>
        <v>2741.9274957134458</v>
      </c>
      <c r="J26" s="4430" t="str">
        <f t="shared" si="58"/>
        <v>NO</v>
      </c>
      <c r="K26" s="4430">
        <f t="shared" si="58"/>
        <v>639.0085265433878</v>
      </c>
      <c r="L26" s="2097" t="str">
        <f t="shared" si="58"/>
        <v>NO</v>
      </c>
      <c r="M26" s="2097">
        <f t="shared" si="58"/>
        <v>116.18336846243416</v>
      </c>
      <c r="N26" s="2097" t="str">
        <f t="shared" si="58"/>
        <v>NO</v>
      </c>
      <c r="O26" s="4430">
        <f t="shared" si="58"/>
        <v>34.855010538730255</v>
      </c>
      <c r="P26" s="2097" t="str">
        <f t="shared" si="58"/>
        <v>NO</v>
      </c>
      <c r="Q26" s="2097" t="str">
        <f t="shared" si="58"/>
        <v>NO</v>
      </c>
      <c r="R26" s="2097">
        <f t="shared" si="58"/>
        <v>5.8091684231217062</v>
      </c>
      <c r="S26" s="2097" t="str">
        <f t="shared" si="58"/>
        <v>NO</v>
      </c>
      <c r="T26" s="2097">
        <f t="shared" si="58"/>
        <v>106.50142109056463</v>
      </c>
      <c r="U26" s="2097">
        <f t="shared" si="58"/>
        <v>73.582800026208304</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51.198006402359518</v>
      </c>
      <c r="D27" s="4431">
        <f>IF(SUM('Table2(II).B-Hs2'!J14:M14,'Table2(II).B-Hs2'!J27:M27,'Table2(II).B-Hs2'!J40:M40,'Table2(II).B-Hs2'!J53:M53,'Table2(II).B-Hs2'!J66:M66,'Table2(II).B-Hs2'!J79:M79)=0,"NO",SUM('Table2(II).B-Hs2'!J14:M14,'Table2(II).B-Hs2'!J27:M27,'Table2(II).B-Hs2'!J40:M40,'Table2(II).B-Hs2'!J53:M53,'Table2(II).B-Hs2'!J66:M66,'Table2(II).B-Hs2'!J79:M79))</f>
        <v>394.95604938963072</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901.45061272725877</v>
      </c>
      <c r="H27" s="4431">
        <f>IF(SUM('Table2(II).B-Hs2'!J17:M17,'Table2(II).B-Hs2'!J30:M30,'Table2(II).B-Hs2'!J43:M43,'Table2(II).B-Hs2'!J56:M56,'Table2(II).B-Hs2'!J69:M69,'Table2(II).B-Hs2'!J82:M82)=0,"NO",SUM('Table2(II).B-Hs2'!J17:M17,'Table2(II).B-Hs2'!J30:M30,'Table2(II).B-Hs2'!J43:M43,'Table2(II).B-Hs2'!J56:M56,'Table2(II).B-Hs2'!J69:M69,'Table2(II).B-Hs2'!J82:M82))</f>
        <v>4.7225991331201129</v>
      </c>
      <c r="I27" s="4431">
        <f>IF(SUM('Table2(II).B-Hs2'!J18:M18,'Table2(II).B-Hs2'!J31:M31,'Table2(II).B-Hs2'!J44:M44,'Table2(II).B-Hs2'!J57:M57,'Table2(II).B-Hs2'!J70:M70,'Table2(II).B-Hs2'!J83:M83)=0,"NO",SUM('Table2(II).B-Hs2'!J18:M18,'Table2(II).B-Hs2'!J31:M31,'Table2(II).B-Hs2'!J44:M44,'Table2(II).B-Hs2'!J57:M57,'Table2(II).B-Hs2'!J70:M70,'Table2(II).B-Hs2'!J83:M83))</f>
        <v>2589.1563237764672</v>
      </c>
      <c r="J27" s="4431" t="s">
        <v>199</v>
      </c>
      <c r="K27" s="4431">
        <f>IF(SUM('Table2(II).B-Hs2'!J19:M19,'Table2(II).B-Hs2'!J32:M32,'Table2(II).B-Hs2'!J45:M45,'Table2(II).B-Hs2'!J58:M58,'Table2(II).B-Hs2'!J71:M71,'Table2(II).B-Hs2'!J84:M84)=0,"NO",SUM('Table2(II).B-Hs2'!J19:M19,'Table2(II).B-Hs2'!J32:M32,'Table2(II).B-Hs2'!J45:M45,'Table2(II).B-Hs2'!J58:M58,'Table2(II).B-Hs2'!J71:M71,'Table2(II).B-Hs2'!J84:M84))</f>
        <v>603.40507545638002</v>
      </c>
      <c r="L27" s="2073" t="s">
        <v>199</v>
      </c>
      <c r="M27" s="2073">
        <f>IF(SUM('Table2(II).B-Hs2'!J20:M20,'Table2(II).B-Hs2'!J33:M33,'Table2(II).B-Hs2'!J46:M46,'Table2(II).B-Hs2'!J59:M59,'Table2(II).B-Hs2'!J72:M72,'Table2(II).B-Hs2'!J85:M85)=0,"NO",SUM('Table2(II).B-Hs2'!J20:M20,'Table2(II).B-Hs2'!J33:M33,'Table2(II).B-Hs2'!J46:M46,'Table2(II).B-Hs2'!J59:M59,'Table2(II).B-Hs2'!J72:M72,'Table2(II).B-Hs2'!J85:M85))</f>
        <v>109.71001371934183</v>
      </c>
      <c r="N27" s="2073" t="s">
        <v>199</v>
      </c>
      <c r="O27" s="4431">
        <f>IF(SUM('Table2(II).B-Hs2'!J21:M21,'Table2(II).B-Hs2'!J34:M34,'Table2(II).B-Hs2'!J47:M47,'Table2(II).B-Hs2'!J60:M60,'Table2(II).B-Hs2'!J73:M73,'Table2(II).B-Hs2'!J86:M86)=0,"NO",SUM('Table2(II).B-Hs2'!J21:M21,'Table2(II).B-Hs2'!J34:M34,'Table2(II).B-Hs2'!J47:M47,'Table2(II).B-Hs2'!J60:M60,'Table2(II).B-Hs2'!J73:M73,'Table2(II).B-Hs2'!J86:M86))</f>
        <v>32.913004115802565</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5.4855006859670912</v>
      </c>
      <c r="S27" s="2073" t="s">
        <v>199</v>
      </c>
      <c r="T27" s="2073">
        <f>IF(SUM('Table2(II).B-Hs2'!J23:M23,'Table2(II).B-Hs2'!J36:M36,'Table2(II).B-Hs2'!J49:M49,'Table2(II).B-Hs2'!J62:M62,'Table2(II).B-Hs2'!J75:M75,'Table2(II).B-Hs2'!J88:M88)=0,"NO",SUM('Table2(II).B-Hs2'!J23:M23,'Table2(II).B-Hs2'!J36:M36,'Table2(II).B-Hs2'!J49:M49,'Table2(II).B-Hs2'!J62:M62,'Table2(II).B-Hs2'!J75:M75,'Table2(II).B-Hs2'!J88:M88))</f>
        <v>100.56751257606335</v>
      </c>
      <c r="U27" s="2073">
        <f>IF(SUM('Table2(II).B-Hs2'!J24:M24,'Table2(II).B-Hs2'!J37:M37,'Table2(II).B-Hs2'!J50:M50,'Table2(II).B-Hs2'!J63:M63,'Table2(II).B-Hs2'!J76:M76,'Table2(II).B-Hs2'!J89:M89)=0,"NO",SUM('Table2(II).B-Hs2'!J24:M24,'Table2(II).B-Hs2'!J37:M37,'Table2(II).B-Hs2'!J50:M50,'Table2(II).B-Hs2'!J63:M63,'Table2(II).B-Hs2'!J76:M76,'Table2(II).B-Hs2'!J89:M89))</f>
        <v>69.483008688916499</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0.34182771089996128</v>
      </c>
      <c r="D28" s="4431">
        <f>IF(SUM('Table2(II).B-Hs2'!J93:M93,'Table2(II).B-Hs2'!J106:M106)=0,"NO",SUM('Table2(II).B-Hs2'!J93:M93,'Table2(II).B-Hs2'!J106:M106))</f>
        <v>2.6369566269425588</v>
      </c>
      <c r="E28" s="2073" t="s">
        <v>199</v>
      </c>
      <c r="F28" s="2073" t="str">
        <f>IF(SUM('Table2(II).B-Hs2'!J94:M94,'Table2(II).B-Hs2'!J107:M107)=0,"NO",SUM('Table2(II).B-Hs2'!J94:M94,'Table2(II).B-Hs2'!J107:M107))</f>
        <v>NO</v>
      </c>
      <c r="G28" s="4431">
        <f>IF(SUM('Table2(II).B-Hs2'!J95:M95,'Table2(II).B-Hs2'!J108:M108)=0,"NO",SUM('Table2(II).B-Hs2'!J95:M95,'Table2(II).B-Hs2'!J108:M108))</f>
        <v>6.0186093383457475</v>
      </c>
      <c r="H28" s="4431">
        <f>IF(SUM('Table2(II).B-Hs2'!J96:M96,'Table2(II).B-Hs2'!J109:M109)=0,"NO",SUM('Table2(II).B-Hs2'!J96:M96,'Table2(II).B-Hs2'!J109:M109))</f>
        <v>3.1530822479411864E-2</v>
      </c>
      <c r="I28" s="4431">
        <f>IF(SUM('Table2(II).B-Hs2'!J97:M97,'Table2(II).B-Hs2'!J110:M110)=0,"NO",SUM('Table2(II).B-Hs2'!J97:M97,'Table2(II).B-Hs2'!J110:M110))</f>
        <v>17.286715665512332</v>
      </c>
      <c r="J28" s="4431" t="s">
        <v>199</v>
      </c>
      <c r="K28" s="4431">
        <f>IF(SUM('Table2(II).B-Hs2'!J98:M98,'Table2(II).B-Hs2'!J111:M111)=0,"NO",SUM('Table2(II).B-Hs2'!J98:M98,'Table2(II).B-Hs2'!J111:M111))</f>
        <v>4.0286837356066867</v>
      </c>
      <c r="L28" s="2073" t="s">
        <v>199</v>
      </c>
      <c r="M28" s="2073">
        <f>IF(SUM('Table2(II).B-Hs2'!J99:M99,'Table2(II).B-Hs2'!J112:M112)=0,"NO",SUM('Table2(II).B-Hs2'!J99:M99,'Table2(II).B-Hs2'!J112:M112))</f>
        <v>0.73248795192848848</v>
      </c>
      <c r="N28" s="2073" t="s">
        <v>199</v>
      </c>
      <c r="O28" s="4431">
        <f>IF(SUM('Table2(II).B-Hs2'!J100:M100,'Table2(II).B-Hs2'!J113:M113)=0,"NO",SUM('Table2(II).B-Hs2'!J100:M100,'Table2(II).B-Hs2'!J113:M113))</f>
        <v>0.21974638557854659</v>
      </c>
      <c r="P28" s="2073" t="s">
        <v>199</v>
      </c>
      <c r="Q28" s="2073" t="s">
        <v>199</v>
      </c>
      <c r="R28" s="2073">
        <f>IF(SUM('Table2(II).B-Hs2'!J101:M101,'Table2(II).B-Hs2'!J114:M114)=0,"NO",SUM('Table2(II).B-Hs2'!J101:M101,'Table2(II).B-Hs2'!J114:M114))</f>
        <v>3.662439759642442E-2</v>
      </c>
      <c r="S28" s="2073" t="s">
        <v>199</v>
      </c>
      <c r="T28" s="2073">
        <f>IF(SUM('Table2(II).B-Hs2'!J102:M102,'Table2(II).B-Hs2'!J115:M115)=0,"NO",SUM('Table2(II).B-Hs2'!J102:M102,'Table2(II).B-Hs2'!J115:M115))</f>
        <v>0.67144728926778119</v>
      </c>
      <c r="U28" s="2073">
        <f>IF(SUM('Table2(II).B-Hs2'!J103:M103,'Table2(II).B-Hs2'!J116:M116)=0,"NO",SUM('Table2(II).B-Hs2'!J103:M103,'Table2(II).B-Hs2'!J116:M116))</f>
        <v>0.46390903622137608</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0.40944312974557118</v>
      </c>
      <c r="D29" s="4431">
        <f>IF(SUM('Table2(II).B-Hs2'!J119:M119)=0,"NO",SUM('Table2(II).B-Hs2'!J119:M119))</f>
        <v>3.1585612866086921</v>
      </c>
      <c r="E29" s="2073" t="s">
        <v>199</v>
      </c>
      <c r="F29" s="2073" t="str">
        <f>IF(SUM('Table2(II).B-Hs2'!J120:M120)=0,"NO",SUM('Table2(II).B-Hs2'!J120:M120))</f>
        <v>NO</v>
      </c>
      <c r="G29" s="4431">
        <f>IF(SUM('Table2(II).B-Hs2'!J121:M121)=0,"NO",SUM('Table2(II).B-Hs2'!J121:M121))</f>
        <v>7.2091236773059482</v>
      </c>
      <c r="H29" s="4431">
        <f>IF(SUM('Table2(II).B-Hs2'!J122:M122)=0,"NO",SUM('Table2(II).B-Hs2'!J122:M122))</f>
        <v>3.7767794206715569E-2</v>
      </c>
      <c r="I29" s="4431">
        <f>IF(SUM('Table2(II).B-Hs2'!J123:M123)=0,"NO",SUM('Table2(II).B-Hs2'!J123:M123))</f>
        <v>20.70612398999031</v>
      </c>
      <c r="J29" s="4431" t="s">
        <v>199</v>
      </c>
      <c r="K29" s="4431">
        <f>IF(SUM('Table2(II).B-Hs2'!J124:M124)=0,"NO",SUM('Table2(II).B-Hs2'!J124:M124))</f>
        <v>4.8255797434299446</v>
      </c>
      <c r="L29" s="2073" t="s">
        <v>199</v>
      </c>
      <c r="M29" s="2073">
        <f>IF(SUM('Table2(II).B-Hs2'!J125:M125)=0,"NO",SUM('Table2(II).B-Hs2'!J125:M125))</f>
        <v>0.87737813516908125</v>
      </c>
      <c r="N29" s="2073" t="s">
        <v>199</v>
      </c>
      <c r="O29" s="4431">
        <f>IF(SUM('Table2(II).B-Hs2'!J126:M126)=0,"NO",SUM('Table2(II).B-Hs2'!J126:M126))</f>
        <v>0.26321344055072438</v>
      </c>
      <c r="P29" s="2073" t="s">
        <v>199</v>
      </c>
      <c r="Q29" s="2073" t="s">
        <v>199</v>
      </c>
      <c r="R29" s="2073">
        <f>IF(SUM('Table2(II).B-Hs2'!J127:M127)=0,"NO",SUM('Table2(II).B-Hs2'!J127:M127))</f>
        <v>4.3868906758454049E-2</v>
      </c>
      <c r="S29" s="2073" t="s">
        <v>199</v>
      </c>
      <c r="T29" s="2073">
        <f>IF(SUM('Table2(II).B-Hs2'!J128:M128)=0,"NO",SUM('Table2(II).B-Hs2'!J128:M128))</f>
        <v>0.8042632905716578</v>
      </c>
      <c r="U29" s="2073">
        <f>IF(SUM('Table2(II).B-Hs2'!J129:M129)=0,"NO",SUM('Table2(II).B-Hs2'!J129:M129))</f>
        <v>0.55567281894041776</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0.61739618791683926</v>
      </c>
      <c r="D30" s="4431">
        <f>IF(SUM('Table2(II).B-Hs2'!J133:M133)=0,"NO",SUM('Table2(II).B-Hs2'!J133:M133))</f>
        <v>4.7627705925013313</v>
      </c>
      <c r="E30" s="2073" t="s">
        <v>199</v>
      </c>
      <c r="F30" s="2073" t="str">
        <f>IF(SUM('Table2(II).B-Hs2'!J134:M134)=0,"NO",SUM('Table2(II).B-Hs2'!J134:M134))</f>
        <v>NO</v>
      </c>
      <c r="G30" s="4431">
        <f>IF(SUM('Table2(II).B-Hs2'!J135:M135)=0,"NO",SUM('Table2(II).B-Hs2'!J135:M135))</f>
        <v>10.870582880107206</v>
      </c>
      <c r="H30" s="4431">
        <f>IF(SUM('Table2(II).B-Hs2'!J136:M136)=0,"NO",SUM('Table2(II).B-Hs2'!J136:M136))</f>
        <v>5.6949770249518028E-2</v>
      </c>
      <c r="I30" s="4431">
        <f>IF(SUM('Table2(II).B-Hs2'!J137:M137)=0,"NO",SUM('Table2(II).B-Hs2'!J137:M137))</f>
        <v>31.222607217508731</v>
      </c>
      <c r="J30" s="4431" t="s">
        <v>199</v>
      </c>
      <c r="K30" s="4431">
        <f>IF(SUM('Table2(II).B-Hs2'!J138:M138)=0,"NO",SUM('Table2(II).B-Hs2'!J138:M138))</f>
        <v>7.2764550718770327</v>
      </c>
      <c r="L30" s="2073" t="s">
        <v>199</v>
      </c>
      <c r="M30" s="2073">
        <f>IF(SUM('Table2(II).B-Hs2'!J139:M139)=0,"NO",SUM('Table2(II).B-Hs2'!J139:M139))</f>
        <v>1.3229918312503699</v>
      </c>
      <c r="N30" s="2073" t="s">
        <v>199</v>
      </c>
      <c r="O30" s="4431">
        <f>IF(SUM('Table2(II).B-Hs2'!J140:M140)=0,"NO",SUM('Table2(II).B-Hs2'!J140:M140))</f>
        <v>0.39689754937511101</v>
      </c>
      <c r="P30" s="2073" t="s">
        <v>199</v>
      </c>
      <c r="Q30" s="2073" t="s">
        <v>199</v>
      </c>
      <c r="R30" s="2073">
        <f>IF(SUM('Table2(II).B-Hs2'!J141:M141)=0,"NO",SUM('Table2(II).B-Hs2'!J141:M141))</f>
        <v>6.6149591562518484E-2</v>
      </c>
      <c r="S30" s="2073" t="s">
        <v>199</v>
      </c>
      <c r="T30" s="2073">
        <f>IF(SUM('Table2(II).B-Hs2'!J142:M142)=0,"NO",SUM('Table2(II).B-Hs2'!J142:M142))</f>
        <v>1.2127425119795057</v>
      </c>
      <c r="U30" s="2073">
        <f>IF(SUM('Table2(II).B-Hs2'!J143:M143)=0,"NO",SUM('Table2(II).B-Hs2'!J143:M143))</f>
        <v>0.83789482645856761</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1.6522318515473771</v>
      </c>
      <c r="D31" s="4431">
        <f>IF(SUM('Table2(II).B-Hs2'!J148:M148)=0,"NO",SUM('Table2(II).B-Hs2'!J148:M148))</f>
        <v>12.745788569079769</v>
      </c>
      <c r="E31" s="2073" t="s">
        <v>199</v>
      </c>
      <c r="F31" s="2073" t="str">
        <f>IF(SUM('Table2(II).B-Hs2'!J149:M149)=0,"NO",SUM('Table2(II).B-Hs2'!J149:M149))</f>
        <v>NO</v>
      </c>
      <c r="G31" s="4431">
        <f>IF(SUM('Table2(II).B-Hs2'!J150:M150)=0,"NO",SUM('Table2(II).B-Hs2'!J150:M150))</f>
        <v>29.091082243316318</v>
      </c>
      <c r="H31" s="4431">
        <f>IF(SUM('Table2(II).B-Hs2'!J151:M151)=0,"NO",SUM('Table2(II).B-Hs2'!J151:M151))</f>
        <v>0.15240493249892401</v>
      </c>
      <c r="I31" s="4431">
        <f>IF(SUM('Table2(II).B-Hs2'!J152:M152)=0,"NO",SUM('Table2(II).B-Hs2'!J152:M152))</f>
        <v>83.555725063967373</v>
      </c>
      <c r="J31" s="4431" t="s">
        <v>199</v>
      </c>
      <c r="K31" s="4431">
        <f>IF(SUM('Table2(II).B-Hs2'!J153:M153)=0,"NO",SUM('Table2(II).B-Hs2'!J153:M153))</f>
        <v>19.472732536094085</v>
      </c>
      <c r="L31" s="2073" t="s">
        <v>199</v>
      </c>
      <c r="M31" s="2073">
        <f>IF(SUM('Table2(II).B-Hs2'!J154:M154)=0,"NO",SUM('Table2(II).B-Hs2'!J154:M154))</f>
        <v>3.5404968247443791</v>
      </c>
      <c r="N31" s="2073" t="s">
        <v>199</v>
      </c>
      <c r="O31" s="4431">
        <f>IF(SUM('Table2(II).B-Hs2'!J155:M155)=0,"NO",SUM('Table2(II).B-Hs2'!J155:M155))</f>
        <v>1.062149047423314</v>
      </c>
      <c r="P31" s="2073" t="s">
        <v>199</v>
      </c>
      <c r="Q31" s="2073" t="s">
        <v>199</v>
      </c>
      <c r="R31" s="2073">
        <f>IF(SUM('Table2(II).B-Hs2'!J156:M156)=0,"NO",SUM('Table2(II).B-Hs2'!J156:M156))</f>
        <v>0.17702484123721896</v>
      </c>
      <c r="S31" s="2073" t="s">
        <v>199</v>
      </c>
      <c r="T31" s="2073">
        <f>IF(SUM('Table2(II).B-Hs2'!J157:M157)=0,"NO",SUM('Table2(II).B-Hs2'!J157:M157))</f>
        <v>3.2454554226823484</v>
      </c>
      <c r="U31" s="2073">
        <f>IF(SUM('Table2(II).B-Hs2'!J158:M158)=0,"NO",SUM('Table2(II).B-Hs2'!J158:M158))</f>
        <v>2.2423146556714397</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4.3526154704349294</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3.4823512691142851</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0.8702642013206443</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672.31442550261886</v>
      </c>
      <c r="D39" s="4183">
        <f t="shared" ref="D39:AK39" si="72">IF(SUM(D40:D45)=0,"NO",SUM(D40:D45))</f>
        <v>283.16210561664462</v>
      </c>
      <c r="E39" s="4183" t="str">
        <f t="shared" si="72"/>
        <v>NO</v>
      </c>
      <c r="F39" s="4183" t="str">
        <f t="shared" si="72"/>
        <v>NO</v>
      </c>
      <c r="G39" s="4183">
        <f t="shared" si="72"/>
        <v>3026.2088344462791</v>
      </c>
      <c r="H39" s="4183">
        <f t="shared" si="72"/>
        <v>5.6014027468612442</v>
      </c>
      <c r="I39" s="4183">
        <f t="shared" si="72"/>
        <v>3564.5057444274794</v>
      </c>
      <c r="J39" s="4183" t="str">
        <f t="shared" si="72"/>
        <v>NO</v>
      </c>
      <c r="K39" s="4183">
        <f t="shared" si="72"/>
        <v>3067.2409274082611</v>
      </c>
      <c r="L39" s="4183" t="str">
        <f t="shared" si="72"/>
        <v>NO</v>
      </c>
      <c r="M39" s="4183">
        <f t="shared" si="72"/>
        <v>16.033304847815913</v>
      </c>
      <c r="N39" s="4183" t="str">
        <f t="shared" si="72"/>
        <v>NO</v>
      </c>
      <c r="O39" s="4183">
        <f t="shared" si="72"/>
        <v>116.76428530474635</v>
      </c>
      <c r="P39" s="4183" t="str">
        <f t="shared" si="72"/>
        <v>NO</v>
      </c>
      <c r="Q39" s="4183" t="str">
        <f t="shared" si="72"/>
        <v>NO</v>
      </c>
      <c r="R39" s="4183">
        <f t="shared" si="72"/>
        <v>46.821897490360946</v>
      </c>
      <c r="S39" s="4183" t="str">
        <f t="shared" si="72"/>
        <v>NO</v>
      </c>
      <c r="T39" s="4183">
        <f t="shared" si="72"/>
        <v>91.378219295704454</v>
      </c>
      <c r="U39" s="4183">
        <f t="shared" si="72"/>
        <v>59.160571221071478</v>
      </c>
      <c r="V39" s="4183" t="str">
        <f t="shared" si="72"/>
        <v>NO</v>
      </c>
      <c r="W39" s="4183">
        <f t="shared" si="72"/>
        <v>10949.191718307842</v>
      </c>
      <c r="X39" s="4183">
        <f t="shared" si="72"/>
        <v>199.95968418625171</v>
      </c>
      <c r="Y39" s="4183">
        <f t="shared" si="72"/>
        <v>43.156787890081972</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243.11647207633368</v>
      </c>
      <c r="AI39" s="4184" t="str">
        <f t="shared" si="72"/>
        <v>NO</v>
      </c>
      <c r="AJ39" s="4184">
        <f t="shared" si="72"/>
        <v>102.28646355522083</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199.95968418625171</v>
      </c>
      <c r="Y41" s="4186">
        <f>IF(SUM(Y16)=0,"NO",Y16*11100/1000)</f>
        <v>43.156787890081972</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243.11647207633368</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672.31442550261886</v>
      </c>
      <c r="D43" s="4186">
        <f>IF(SUM(D26)=0,"NO",D26*677/1000)</f>
        <v>283.16210561664462</v>
      </c>
      <c r="E43" s="4186" t="str">
        <f>IF(SUM(E26)=0,"NO",E26*116/1000)</f>
        <v>NO</v>
      </c>
      <c r="F43" s="4186" t="str">
        <f>IF(SUM(F26)=0,"NO",F26*1650/1000)</f>
        <v>NO</v>
      </c>
      <c r="G43" s="4186">
        <f>IF(SUM(G26)=0,"NO",G26*3170/1000)</f>
        <v>3026.2088344462791</v>
      </c>
      <c r="H43" s="4186">
        <f>IF(SUM(H26)=0,"NO",H26*1120/1000)</f>
        <v>5.6014027468612442</v>
      </c>
      <c r="I43" s="4186">
        <f>IF(SUM(I26)=0,"NO",I26*1300/1000)</f>
        <v>3564.5057444274794</v>
      </c>
      <c r="J43" s="4186" t="str">
        <f>IF(SUM(J26)=0,"NO",J26*328/1000)</f>
        <v>NO</v>
      </c>
      <c r="K43" s="4186">
        <f>IF(SUM(K26)=0,"NO",K26*4800/1000)</f>
        <v>3067.2409274082611</v>
      </c>
      <c r="L43" s="4186" t="str">
        <f>IF(SUM(L26)=0,"NO",L26*16/1000)</f>
        <v>NO</v>
      </c>
      <c r="M43" s="4186">
        <f>IF(SUM(M26)=0,"NO",M26*138/1000)</f>
        <v>16.033304847815913</v>
      </c>
      <c r="N43" s="4186" t="str">
        <f>IF(SUM(N26)=0,"NO",N26*4/1000)</f>
        <v>NO</v>
      </c>
      <c r="O43" s="4186">
        <f>IF(SUM(O26)=0,"NO",O26*3350/1000)</f>
        <v>116.76428530474635</v>
      </c>
      <c r="P43" s="4186" t="str">
        <f>IF(SUM(P26)=0,"NO",P26*1210/1000)</f>
        <v>NO</v>
      </c>
      <c r="Q43" s="4186" t="str">
        <f>IF(SUM(Q26)=0,"NO",Q26*1330/1000)</f>
        <v>NO</v>
      </c>
      <c r="R43" s="4186">
        <f>IF(SUM(R26)=0,"NO",R26*8060/1000)</f>
        <v>46.821897490360946</v>
      </c>
      <c r="S43" s="4186" t="str">
        <f>IF(SUM(S26)=0,"NO",S26*716/1000)</f>
        <v>NO</v>
      </c>
      <c r="T43" s="4186">
        <f>IF(SUM(T26)=0,"NO",T26*858/1000)</f>
        <v>91.378219295704454</v>
      </c>
      <c r="U43" s="4186">
        <f>IF(SUM(U26)=0,"NO",U26*804/1000)</f>
        <v>59.160571221071478</v>
      </c>
      <c r="V43" s="4186" t="str">
        <f>IF(SUM(V26)=0,"NO",V26*1/1000)</f>
        <v>NO</v>
      </c>
      <c r="W43" s="4186">
        <f t="shared" si="73"/>
        <v>10949.191718307842</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102.28646355522083</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8"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5230.4617644063883</v>
      </c>
      <c r="I10" s="615"/>
      <c r="J10" s="615"/>
      <c r="K10" s="3161" t="str">
        <f>IF(SUM(K11:K14)=0,"NO",SUM(K11:K14))</f>
        <v>NO</v>
      </c>
      <c r="L10" s="3161" t="str">
        <f>IF(SUM(L11:L14)=0,"NO",SUM(L11:L14))</f>
        <v>NO</v>
      </c>
      <c r="M10" s="615"/>
      <c r="N10" s="1842"/>
    </row>
    <row r="11" spans="2:14" ht="18" customHeight="1" x14ac:dyDescent="0.2">
      <c r="B11" s="286" t="s">
        <v>748</v>
      </c>
      <c r="C11" s="2126" t="s">
        <v>749</v>
      </c>
      <c r="D11" s="699">
        <v>5245.9025300000003</v>
      </c>
      <c r="E11" s="1938">
        <f>IF(SUM($D11)=0,"NA",H11/$D11)</f>
        <v>0.53759325087231458</v>
      </c>
      <c r="F11" s="615"/>
      <c r="G11" s="615"/>
      <c r="H11" s="3149">
        <v>2820.1617948620001</v>
      </c>
      <c r="I11" s="615"/>
      <c r="J11" s="615"/>
      <c r="K11" s="3149" t="s">
        <v>199</v>
      </c>
      <c r="L11" s="699" t="s">
        <v>199</v>
      </c>
      <c r="M11" s="615"/>
      <c r="N11" s="1842"/>
    </row>
    <row r="12" spans="2:14" ht="18" customHeight="1" x14ac:dyDescent="0.2">
      <c r="B12" s="286" t="s">
        <v>750</v>
      </c>
      <c r="C12" s="2127" t="s">
        <v>751</v>
      </c>
      <c r="D12" s="699">
        <v>1547.7613200000001</v>
      </c>
      <c r="E12" s="1938">
        <f>IF(SUM($D12)=0,"NA",H12/$D12)</f>
        <v>0.68385987171712403</v>
      </c>
      <c r="F12" s="615"/>
      <c r="G12" s="615"/>
      <c r="H12" s="3149">
        <v>1058.4518577439267</v>
      </c>
      <c r="I12" s="615"/>
      <c r="J12" s="615"/>
      <c r="K12" s="3149" t="s">
        <v>199</v>
      </c>
      <c r="L12" s="699" t="s">
        <v>199</v>
      </c>
      <c r="M12" s="615"/>
      <c r="N12" s="1842"/>
    </row>
    <row r="13" spans="2:14" ht="18" customHeight="1" x14ac:dyDescent="0.2">
      <c r="B13" s="286" t="s">
        <v>752</v>
      </c>
      <c r="C13" s="2127" t="s">
        <v>753</v>
      </c>
      <c r="D13" s="699">
        <v>183.57819999999998</v>
      </c>
      <c r="E13" s="1938">
        <f>IF(SUM($D13)=0,"NA",H13/$D13)</f>
        <v>0.42744626935489621</v>
      </c>
      <c r="F13" s="615"/>
      <c r="G13" s="615"/>
      <c r="H13" s="3149">
        <v>78.469816724886996</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1273.3782950755742</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111.99824698415952</v>
      </c>
      <c r="I15" s="615"/>
      <c r="J15" s="615"/>
      <c r="K15" s="3149" t="s">
        <v>199</v>
      </c>
      <c r="L15" s="699" t="s">
        <v>199</v>
      </c>
      <c r="M15" s="615"/>
      <c r="N15" s="1842"/>
    </row>
    <row r="16" spans="2:14" ht="18" customHeight="1" x14ac:dyDescent="0.2">
      <c r="B16" s="160" t="s">
        <v>756</v>
      </c>
      <c r="C16" s="474" t="s">
        <v>757</v>
      </c>
      <c r="D16" s="2917">
        <v>261.62258185000002</v>
      </c>
      <c r="E16" s="1938">
        <f>IF(SUM($D16)=0,"NA",H16/$D16)</f>
        <v>0.41492000000000001</v>
      </c>
      <c r="F16" s="615"/>
      <c r="G16" s="615"/>
      <c r="H16" s="3149">
        <v>108.55244166120201</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1052.8276064302127</v>
      </c>
      <c r="I18" s="615"/>
      <c r="J18" s="615"/>
      <c r="K18" s="3150" t="str">
        <f>K19</f>
        <v>NO</v>
      </c>
      <c r="L18" s="3162" t="str">
        <f>L19</f>
        <v>NO</v>
      </c>
      <c r="M18" s="615"/>
      <c r="N18" s="1842"/>
    </row>
    <row r="19" spans="2:14" ht="18" customHeight="1" x14ac:dyDescent="0.2">
      <c r="B19" s="3151" t="s">
        <v>761</v>
      </c>
      <c r="C19" s="474" t="s">
        <v>753</v>
      </c>
      <c r="D19" s="2917">
        <v>1389.380437</v>
      </c>
      <c r="E19" s="1938">
        <f>IF(SUM($D19)=0,"NA",H19/$D19)</f>
        <v>0.4132566794294571</v>
      </c>
      <c r="F19" s="615"/>
      <c r="G19" s="615"/>
      <c r="H19" s="3149">
        <v>574.17074585886803</v>
      </c>
      <c r="I19" s="615"/>
      <c r="J19" s="615"/>
      <c r="K19" s="3149" t="s">
        <v>199</v>
      </c>
      <c r="L19" s="3149" t="s">
        <v>199</v>
      </c>
      <c r="M19" s="615"/>
      <c r="N19" s="1842"/>
    </row>
    <row r="20" spans="2:14" ht="18" customHeight="1" x14ac:dyDescent="0.2">
      <c r="B20" s="3152" t="s">
        <v>762</v>
      </c>
      <c r="C20" s="474" t="s">
        <v>753</v>
      </c>
      <c r="D20" s="2917">
        <v>316.91466329115036</v>
      </c>
      <c r="E20" s="1938">
        <f>IF(SUM($D20)=0,"NA",H20/$D20)</f>
        <v>0.512712976392386</v>
      </c>
      <c r="F20" s="615"/>
      <c r="G20" s="615"/>
      <c r="H20" s="3149">
        <v>162.48626027839654</v>
      </c>
      <c r="I20" s="615"/>
      <c r="J20" s="615"/>
      <c r="K20" s="3149" t="s">
        <v>199</v>
      </c>
      <c r="L20" s="3149" t="s">
        <v>199</v>
      </c>
      <c r="M20" s="2161"/>
      <c r="N20" s="2174"/>
    </row>
    <row r="21" spans="2:14" ht="18" customHeight="1" thickBot="1" x14ac:dyDescent="0.25">
      <c r="B21" s="3152" t="s">
        <v>763</v>
      </c>
      <c r="C21" s="474" t="s">
        <v>753</v>
      </c>
      <c r="D21" s="2917">
        <v>722.3936009250001</v>
      </c>
      <c r="E21" s="1938">
        <f>IF(SUM($D21)=0,"NA",H21/$D21)</f>
        <v>0.43767082084905301</v>
      </c>
      <c r="F21" s="615"/>
      <c r="G21" s="615"/>
      <c r="H21" s="3149">
        <v>316.170600292948</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2987.1547812315525</v>
      </c>
      <c r="I22" s="3046">
        <f>IF(SUM(I23:I26,I30,I33:I35,I47)=0,"IE",SUM(I23:I26,I30,I33:I35,I47))</f>
        <v>0.43359999999999999</v>
      </c>
      <c r="J22" s="3046">
        <f>IF(SUM(J23:J26,J30,J33:J35,J47)=0,"IE",SUM(J23:J26,J30,J33:J35,J47))</f>
        <v>6.533489044731553</v>
      </c>
      <c r="K22" s="3046">
        <f>IF(SUM(K23:K26,K30,K33:K35,K47)=0,"NO",SUM(K23:K26,K30,K33:K35,K47))</f>
        <v>-292.14973300000003</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1815.5590900000002</v>
      </c>
      <c r="E23" s="1938">
        <f>IF(SUM($D23)=0,"NA",(H23-K23)/$D23)</f>
        <v>1.3370346645794389</v>
      </c>
      <c r="F23" s="1938" t="str">
        <f>IFERROR(IF(SUM($D23)=0,"NA",I23/$D23),"NA")</f>
        <v>NA</v>
      </c>
      <c r="G23" s="1938" t="str">
        <f>IFERROR(IF(SUM($D23)=0,"NA",J23/$D23),"NA")</f>
        <v>NA</v>
      </c>
      <c r="H23" s="699">
        <v>2135.3157059223013</v>
      </c>
      <c r="I23" s="699" t="s">
        <v>199</v>
      </c>
      <c r="J23" s="699" t="s">
        <v>199</v>
      </c>
      <c r="K23" s="3149">
        <v>-292.14973300000003</v>
      </c>
      <c r="L23" s="699" t="s">
        <v>199</v>
      </c>
      <c r="M23" s="699" t="s">
        <v>199</v>
      </c>
      <c r="N23" s="2921" t="s">
        <v>199</v>
      </c>
    </row>
    <row r="24" spans="2:14" ht="18" customHeight="1" x14ac:dyDescent="0.2">
      <c r="B24" s="286" t="s">
        <v>766</v>
      </c>
      <c r="C24" s="474" t="s">
        <v>349</v>
      </c>
      <c r="D24" s="699">
        <v>1815.2919250000002</v>
      </c>
      <c r="E24" s="2135"/>
      <c r="F24" s="2135"/>
      <c r="G24" s="1938">
        <f>IF(SUM($D24)=0,"NA",J24/$D24)</f>
        <v>3.5991395955400135E-3</v>
      </c>
      <c r="H24" s="2135"/>
      <c r="I24" s="2135"/>
      <c r="J24" s="699">
        <v>6.533489044731553</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832.52291714887497</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0.43359999999999999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0.43359999999999999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0.43359999999999999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0.43359999999999999</v>
      </c>
      <c r="J46" s="615"/>
      <c r="K46" s="699" t="s">
        <v>199</v>
      </c>
      <c r="L46" s="699" t="s">
        <v>199</v>
      </c>
      <c r="M46" s="699" t="s">
        <v>199</v>
      </c>
      <c r="N46" s="1842"/>
    </row>
    <row r="47" spans="2:16" ht="18" customHeight="1" x14ac:dyDescent="0.2">
      <c r="B47" s="286" t="s">
        <v>787</v>
      </c>
      <c r="C47" s="2131"/>
      <c r="D47" s="615"/>
      <c r="E47" s="615"/>
      <c r="F47" s="615"/>
      <c r="G47" s="615"/>
      <c r="H47" s="3167">
        <f>H50</f>
        <v>19.316158160376141</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19.316158160376141</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19.316158160376141</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10162.119319579853</v>
      </c>
      <c r="I52" s="3161">
        <f>IF(SUM(I53,I62:I67)=0,"IE",SUM(I53,I62:I67))</f>
        <v>2.4249170657857428</v>
      </c>
      <c r="J52" s="1934">
        <f>J67</f>
        <v>5.3252796968182657E-2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1575.7670000000001</v>
      </c>
      <c r="E63" s="4121">
        <f>IF(SUM($D63)=0,"NA",H63/$D63)</f>
        <v>1.4797999553057832</v>
      </c>
      <c r="F63" s="1917"/>
      <c r="G63" s="2134"/>
      <c r="H63" s="699">
        <v>2331.8199361723282</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7830.2993834075251</v>
      </c>
      <c r="I67" s="3168">
        <f t="shared" ref="I67:N67" si="8">IF(SUM(I69:I70)=0,I70,SUM(I69:I70))</f>
        <v>2.4249170657857428</v>
      </c>
      <c r="J67" s="3168">
        <f t="shared" si="8"/>
        <v>5.3252796968182657E-2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7830.2993834075251</v>
      </c>
      <c r="I70" s="3074">
        <f t="shared" si="9"/>
        <v>2.4249170657857428</v>
      </c>
      <c r="J70" s="3074">
        <f t="shared" si="9"/>
        <v>5.3252796968182657E-2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7830.2993834075251</v>
      </c>
      <c r="I71" s="3101">
        <v>2.4249170657857428</v>
      </c>
      <c r="J71" s="3101">
        <v>5.3252796968182657E-2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178.35814491499997</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331.72680412371136</v>
      </c>
      <c r="E73" s="4121">
        <f t="shared" ref="E73:G74" si="11">IF(SUM($D73)=0,"NA",H73/$D73)</f>
        <v>0.53766576199999982</v>
      </c>
      <c r="F73" s="276" t="s">
        <v>205</v>
      </c>
      <c r="G73" s="276" t="s">
        <v>205</v>
      </c>
      <c r="H73" s="3100">
        <v>178.35814491499997</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213.54650957533741</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213.54650957533741</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2" t="s">
        <v>837</v>
      </c>
      <c r="C135" s="4493"/>
      <c r="D135" s="4493"/>
      <c r="E135" s="4493"/>
      <c r="F135" s="4493"/>
      <c r="G135" s="4493"/>
      <c r="H135" s="4493"/>
      <c r="I135" s="4493"/>
      <c r="J135" s="4493"/>
      <c r="K135" s="4493"/>
      <c r="L135" s="4493"/>
      <c r="M135" s="4493"/>
      <c r="N135" s="4494"/>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34.047830611316805</v>
      </c>
      <c r="H22" s="2628" t="str">
        <f>H23</f>
        <v>NO</v>
      </c>
    </row>
    <row r="23" spans="2:8" ht="18" customHeight="1" x14ac:dyDescent="0.2">
      <c r="B23" s="169" t="s">
        <v>857</v>
      </c>
      <c r="C23" s="2523"/>
      <c r="D23" s="76"/>
      <c r="E23" s="76"/>
      <c r="F23" s="1829"/>
      <c r="G23" s="3157">
        <f>IF(SUM(G24,G27)=0,"NO",SUM(G24,G27))</f>
        <v>34.047830611316805</v>
      </c>
      <c r="H23" s="2628" t="str">
        <f>H24</f>
        <v>NO</v>
      </c>
    </row>
    <row r="24" spans="2:8" ht="18" customHeight="1" x14ac:dyDescent="0.2">
      <c r="B24" s="171" t="s">
        <v>858</v>
      </c>
      <c r="C24" s="2523"/>
      <c r="D24" s="76"/>
      <c r="E24" s="76"/>
      <c r="F24" s="1829"/>
      <c r="G24" s="3157">
        <f>IF(SUM(G25:G26)=0,"NO",SUM(G25:G26))</f>
        <v>34.047830611316805</v>
      </c>
      <c r="H24" s="2628" t="str">
        <f>H25</f>
        <v>NO</v>
      </c>
    </row>
    <row r="25" spans="2:8" ht="18" customHeight="1" x14ac:dyDescent="0.25">
      <c r="B25" s="2626" t="s">
        <v>859</v>
      </c>
      <c r="C25" s="2638" t="s">
        <v>859</v>
      </c>
      <c r="D25" s="73" t="s">
        <v>860</v>
      </c>
      <c r="E25" s="699">
        <v>1575767</v>
      </c>
      <c r="F25" s="4135">
        <f>IF(SUM(E25)=0,"NA",G25*1000/E25)</f>
        <v>1.9139778725090963E-2</v>
      </c>
      <c r="G25" s="699">
        <v>30.159831702300409</v>
      </c>
      <c r="H25" s="2627" t="s">
        <v>199</v>
      </c>
    </row>
    <row r="26" spans="2:8" ht="18" customHeight="1" x14ac:dyDescent="0.25">
      <c r="B26" s="2626" t="s">
        <v>861</v>
      </c>
      <c r="C26" s="2638" t="s">
        <v>861</v>
      </c>
      <c r="D26" s="73" t="s">
        <v>860</v>
      </c>
      <c r="E26" s="699">
        <v>1575767</v>
      </c>
      <c r="F26" s="4135">
        <f>IF(SUM(E26)=0,"NA",G26*1000/E26)</f>
        <v>2.4673691662640438E-3</v>
      </c>
      <c r="G26" s="699">
        <v>3.8879989090163938</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169"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46.500121547485023</v>
      </c>
      <c r="K10" s="3191">
        <f>IF(SUM(K11,K90,K117,K130,K146,K159)=0,"NO",SUM(K11,K90,K117,K130,K146,K159))</f>
        <v>3618.8563476975787</v>
      </c>
      <c r="L10" s="3192">
        <f>IF(SUM(L11,L90,L117,L130,L146,L159)=0,"NO",SUM(L11,L90,L117,L130,L146,L159))</f>
        <v>1922.2439659373454</v>
      </c>
      <c r="M10" s="3462">
        <f>IF(SUM(M11,M90,M117,M130,M146,M159)=0,"NO",SUM(M11,M90,M117,M130,M146,M159))</f>
        <v>-437.61234931839499</v>
      </c>
    </row>
    <row r="11" spans="1:13" ht="18" customHeight="1" x14ac:dyDescent="0.2">
      <c r="B11" s="147" t="s">
        <v>888</v>
      </c>
      <c r="C11" s="2524"/>
      <c r="D11" s="150"/>
      <c r="E11" s="150"/>
      <c r="F11" s="150"/>
      <c r="G11" s="150"/>
      <c r="H11" s="150"/>
      <c r="I11" s="150"/>
      <c r="J11" s="3081">
        <f>IF(SUM(J12,J25,J38,J51,J64,J77)=0,"NO",SUM(J12,J25,J38,J51,J64,J77))</f>
        <v>24.233929579122858</v>
      </c>
      <c r="K11" s="3081">
        <f t="shared" ref="K11:M11" si="0">IF(SUM(K12,K25,K38,K51,K64,K77)=0,"NO",SUM(K12,K25,K38,K51,K64,K77))</f>
        <v>3417.3247836822229</v>
      </c>
      <c r="L11" s="3081">
        <f t="shared" si="0"/>
        <v>1841.873103994132</v>
      </c>
      <c r="M11" s="3193">
        <f t="shared" si="0"/>
        <v>-420.38411058417012</v>
      </c>
    </row>
    <row r="12" spans="1:13" ht="18" customHeight="1" x14ac:dyDescent="0.2">
      <c r="B12" s="104" t="s">
        <v>889</v>
      </c>
      <c r="C12" s="2524"/>
      <c r="D12" s="150"/>
      <c r="E12" s="150"/>
      <c r="F12" s="150"/>
      <c r="G12" s="150"/>
      <c r="H12" s="150"/>
      <c r="I12" s="150"/>
      <c r="J12" s="3081">
        <f>IF(SUM(J13:J24)=0,"NO",SUM(J13:J24))</f>
        <v>18.56766680785336</v>
      </c>
      <c r="K12" s="3081">
        <f>IF(SUM(K13:K24)=0,"NO",SUM(K13:K24))</f>
        <v>2133.8989900566717</v>
      </c>
      <c r="L12" s="3081">
        <f>IF(SUM(L13:L24)=0,"NO",SUM(L13:L24))</f>
        <v>722.60273917522863</v>
      </c>
      <c r="M12" s="3193">
        <f>IF(SUM(M13:M24)=0,"NO",SUM(M13:M24))</f>
        <v>-173.1256847039503</v>
      </c>
    </row>
    <row r="13" spans="1:13" ht="18" customHeight="1" x14ac:dyDescent="0.2">
      <c r="B13" s="2634" t="s">
        <v>671</v>
      </c>
      <c r="C13" s="2636" t="s">
        <v>671</v>
      </c>
      <c r="D13" s="3160">
        <v>11.170273475109019</v>
      </c>
      <c r="E13" s="3160">
        <v>167.54508581513187</v>
      </c>
      <c r="F13" s="3160">
        <v>9.453147463484342</v>
      </c>
      <c r="G13" s="3668">
        <f>IF(SUM(D13)=0,"NA",J13/D13)</f>
        <v>1.7500000000000002E-2</v>
      </c>
      <c r="H13" s="3081">
        <f>IF(SUM(E13)=0,"NA",K13/E13)</f>
        <v>0.13408700299696227</v>
      </c>
      <c r="I13" s="3081">
        <f>IF(SUM(F13)=0,"NA",L13/F13)</f>
        <v>0.80597620474729026</v>
      </c>
      <c r="J13" s="3194">
        <v>0.19547978581440784</v>
      </c>
      <c r="K13" s="3194">
        <v>22.465618423819887</v>
      </c>
      <c r="L13" s="3194">
        <v>7.6190119155355838</v>
      </c>
      <c r="M13" s="3460">
        <v>-1.8341355479487553</v>
      </c>
    </row>
    <row r="14" spans="1:13" ht="18" customHeight="1" x14ac:dyDescent="0.2">
      <c r="B14" s="2634" t="s">
        <v>672</v>
      </c>
      <c r="C14" s="2636" t="s">
        <v>672</v>
      </c>
      <c r="D14" s="3160">
        <v>86.170681093698164</v>
      </c>
      <c r="E14" s="3160">
        <v>1292.490662002446</v>
      </c>
      <c r="F14" s="3160">
        <v>72.92428043259352</v>
      </c>
      <c r="G14" s="3668">
        <f t="shared" ref="G14:G24" si="1">IF(SUM(D14)=0,"NA",J14/D14)</f>
        <v>1.7500000000000005E-2</v>
      </c>
      <c r="H14" s="3081">
        <f t="shared" ref="H14:H24" si="2">IF(SUM(E14)=0,"NA",K14/E14)</f>
        <v>0.13408700299696227</v>
      </c>
      <c r="I14" s="3081">
        <f t="shared" ref="I14:I24" si="3">IF(SUM(F14)=0,"NA",L14/F14)</f>
        <v>0.80597620474729026</v>
      </c>
      <c r="J14" s="3194">
        <v>1.5079869191397182</v>
      </c>
      <c r="K14" s="3194">
        <v>173.30619926946773</v>
      </c>
      <c r="L14" s="3194">
        <v>58.77523477698881</v>
      </c>
      <c r="M14" s="3460">
        <v>-14.149045655604686</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196.6766008295981</v>
      </c>
      <c r="E16" s="3160">
        <v>2949.9902609592864</v>
      </c>
      <c r="F16" s="3160">
        <v>166.44291783920647</v>
      </c>
      <c r="G16" s="3668">
        <f t="shared" si="1"/>
        <v>1.7500000000000005E-2</v>
      </c>
      <c r="H16" s="3081">
        <f t="shared" si="2"/>
        <v>0.13408700299696225</v>
      </c>
      <c r="I16" s="3081">
        <f t="shared" si="3"/>
        <v>0.8059762047472897</v>
      </c>
      <c r="J16" s="3194">
        <v>3.4418405145179678</v>
      </c>
      <c r="K16" s="3194">
        <v>395.5553529622573</v>
      </c>
      <c r="L16" s="3194">
        <v>134.14903122710859</v>
      </c>
      <c r="M16" s="3460">
        <v>-32.293886612097729</v>
      </c>
    </row>
    <row r="17" spans="2:13" ht="18" customHeight="1" x14ac:dyDescent="0.2">
      <c r="B17" s="2634" t="s">
        <v>676</v>
      </c>
      <c r="C17" s="2636" t="s">
        <v>676</v>
      </c>
      <c r="D17" s="3160">
        <v>1.030366757167976</v>
      </c>
      <c r="E17" s="3160">
        <v>15.454669676212454</v>
      </c>
      <c r="F17" s="3160">
        <v>0.87197586690114381</v>
      </c>
      <c r="G17" s="3668">
        <f t="shared" si="1"/>
        <v>1.7500000000000002E-2</v>
      </c>
      <c r="H17" s="3081">
        <f t="shared" si="2"/>
        <v>0.13408700299696227</v>
      </c>
      <c r="I17" s="3081">
        <f t="shared" si="3"/>
        <v>0.80597620474728993</v>
      </c>
      <c r="J17" s="3194">
        <v>1.8031418250439583E-2</v>
      </c>
      <c r="K17" s="3194">
        <v>2.0722703391913613</v>
      </c>
      <c r="L17" s="3194">
        <v>0.70279179983621187</v>
      </c>
      <c r="M17" s="3460">
        <v>-0.16918406706493133</v>
      </c>
    </row>
    <row r="18" spans="2:13" ht="18" customHeight="1" x14ac:dyDescent="0.2">
      <c r="B18" s="2634" t="s">
        <v>677</v>
      </c>
      <c r="C18" s="2636" t="s">
        <v>677</v>
      </c>
      <c r="D18" s="3160">
        <v>564.89668716979907</v>
      </c>
      <c r="E18" s="3160">
        <v>8472.9943397938132</v>
      </c>
      <c r="F18" s="3160">
        <v>478.05917172477962</v>
      </c>
      <c r="G18" s="3668">
        <f t="shared" si="1"/>
        <v>1.7500000000000002E-2</v>
      </c>
      <c r="H18" s="3081">
        <f t="shared" si="2"/>
        <v>0.13408700299696227</v>
      </c>
      <c r="I18" s="3081">
        <f t="shared" si="3"/>
        <v>0.8059762047472897</v>
      </c>
      <c r="J18" s="3194">
        <v>9.8856920254714851</v>
      </c>
      <c r="K18" s="3194">
        <v>1136.1184174331775</v>
      </c>
      <c r="L18" s="3194">
        <v>385.3043168713707</v>
      </c>
      <c r="M18" s="3460">
        <v>-92.754854853408489</v>
      </c>
    </row>
    <row r="19" spans="2:13" ht="18" customHeight="1" x14ac:dyDescent="0.2">
      <c r="B19" s="2634" t="s">
        <v>679</v>
      </c>
      <c r="C19" s="2636" t="s">
        <v>679</v>
      </c>
      <c r="D19" s="3160">
        <v>131.64965167092771</v>
      </c>
      <c r="E19" s="3160">
        <v>1974.6385113926253</v>
      </c>
      <c r="F19" s="3160">
        <v>111.41209510535118</v>
      </c>
      <c r="G19" s="3668">
        <f t="shared" si="1"/>
        <v>1.7500000000000002E-2</v>
      </c>
      <c r="H19" s="3081">
        <f t="shared" si="2"/>
        <v>0.13408700299696227</v>
      </c>
      <c r="I19" s="3081">
        <f t="shared" si="3"/>
        <v>0.80597620474728993</v>
      </c>
      <c r="J19" s="3194">
        <v>2.3038689042412352</v>
      </c>
      <c r="K19" s="3194">
        <v>264.77335999502009</v>
      </c>
      <c r="L19" s="3194">
        <v>89.795497575955068</v>
      </c>
      <c r="M19" s="3460">
        <v>-21.616597529396046</v>
      </c>
    </row>
    <row r="20" spans="2:13" ht="18" customHeight="1" x14ac:dyDescent="0.2">
      <c r="B20" s="2634" t="s">
        <v>681</v>
      </c>
      <c r="C20" s="2636" t="s">
        <v>681</v>
      </c>
      <c r="D20" s="3160">
        <v>23.936300303805044</v>
      </c>
      <c r="E20" s="3160">
        <v>359.02518388956832</v>
      </c>
      <c r="F20" s="3160">
        <v>20.256744564609306</v>
      </c>
      <c r="G20" s="3668">
        <f t="shared" si="1"/>
        <v>1.7500000000000002E-2</v>
      </c>
      <c r="H20" s="3081">
        <f t="shared" si="2"/>
        <v>0.13408700299696225</v>
      </c>
      <c r="I20" s="3081">
        <f t="shared" si="3"/>
        <v>0.78487721619539264</v>
      </c>
      <c r="J20" s="3194">
        <v>0.41888525531658832</v>
      </c>
      <c r="K20" s="3194">
        <v>48.140610908185472</v>
      </c>
      <c r="L20" s="3194">
        <v>15.899057283051704</v>
      </c>
      <c r="M20" s="3460">
        <v>-3.5028936382227838</v>
      </c>
    </row>
    <row r="21" spans="2:13" ht="18" customHeight="1" x14ac:dyDescent="0.2">
      <c r="B21" s="2634" t="s">
        <v>683</v>
      </c>
      <c r="C21" s="2636" t="s">
        <v>683</v>
      </c>
      <c r="D21" s="3160">
        <v>7.1808900911415137</v>
      </c>
      <c r="E21" s="3160">
        <v>107.70755516687049</v>
      </c>
      <c r="F21" s="3160">
        <v>6.0770233693827924</v>
      </c>
      <c r="G21" s="3668">
        <f t="shared" si="1"/>
        <v>1.7499999999999998E-2</v>
      </c>
      <c r="H21" s="3081">
        <f t="shared" si="2"/>
        <v>0.13408700299696227</v>
      </c>
      <c r="I21" s="3081">
        <f t="shared" si="3"/>
        <v>0.80597620474729037</v>
      </c>
      <c r="J21" s="3194">
        <v>0.12566557659497649</v>
      </c>
      <c r="K21" s="3194">
        <v>14.442183272455642</v>
      </c>
      <c r="L21" s="3194">
        <v>4.8979362314157342</v>
      </c>
      <c r="M21" s="3460">
        <v>-1.1790871379670571</v>
      </c>
    </row>
    <row r="22" spans="2:13" ht="18" customHeight="1" x14ac:dyDescent="0.2">
      <c r="B22" s="2634" t="s">
        <v>686</v>
      </c>
      <c r="C22" s="2636" t="s">
        <v>686</v>
      </c>
      <c r="D22" s="3160">
        <v>1.1968150151902521</v>
      </c>
      <c r="E22" s="3160">
        <v>16.90065040679228</v>
      </c>
      <c r="F22" s="3160">
        <v>1.0128372282304654</v>
      </c>
      <c r="G22" s="3668">
        <f t="shared" si="1"/>
        <v>1.7500000000000005E-2</v>
      </c>
      <c r="H22" s="3081">
        <f t="shared" si="2"/>
        <v>0.14242236171229841</v>
      </c>
      <c r="I22" s="3081">
        <f t="shared" si="3"/>
        <v>0.80597620474729059</v>
      </c>
      <c r="J22" s="3194">
        <v>2.0944262765829419E-2</v>
      </c>
      <c r="K22" s="3194">
        <v>2.4070305454092735</v>
      </c>
      <c r="L22" s="3194">
        <v>0.81632270523595585</v>
      </c>
      <c r="M22" s="3460">
        <v>-0.1965145229945095</v>
      </c>
    </row>
    <row r="23" spans="2:13" ht="18" customHeight="1" x14ac:dyDescent="0.2">
      <c r="B23" s="2634" t="s">
        <v>688</v>
      </c>
      <c r="C23" s="2636" t="s">
        <v>688</v>
      </c>
      <c r="D23" s="3160">
        <v>21.941608611821291</v>
      </c>
      <c r="E23" s="3160">
        <v>329.10641856543759</v>
      </c>
      <c r="F23" s="3160">
        <v>18.568682517558532</v>
      </c>
      <c r="G23" s="3668">
        <f t="shared" si="1"/>
        <v>1.7500000000000005E-2</v>
      </c>
      <c r="H23" s="3081">
        <f t="shared" si="2"/>
        <v>0.13408700299696227</v>
      </c>
      <c r="I23" s="3081">
        <f t="shared" si="3"/>
        <v>0.78487721619539264</v>
      </c>
      <c r="J23" s="3194">
        <v>0.38397815070687269</v>
      </c>
      <c r="K23" s="3194">
        <v>44.128893332503353</v>
      </c>
      <c r="L23" s="3194">
        <v>14.574135842797396</v>
      </c>
      <c r="M23" s="3460">
        <v>-3.2109858350375515</v>
      </c>
    </row>
    <row r="24" spans="2:13" ht="18" customHeight="1" x14ac:dyDescent="0.2">
      <c r="B24" s="2634" t="s">
        <v>689</v>
      </c>
      <c r="C24" s="2636" t="s">
        <v>689</v>
      </c>
      <c r="D24" s="3160">
        <v>15.159656859076527</v>
      </c>
      <c r="E24" s="3160">
        <v>227.38261646339322</v>
      </c>
      <c r="F24" s="3160">
        <v>12.829271557585894</v>
      </c>
      <c r="G24" s="3668">
        <f t="shared" si="1"/>
        <v>1.7500000000000002E-2</v>
      </c>
      <c r="H24" s="3081">
        <f t="shared" si="2"/>
        <v>0.13408700299696227</v>
      </c>
      <c r="I24" s="3081">
        <f t="shared" si="3"/>
        <v>0.78487721619539308</v>
      </c>
      <c r="J24" s="3194">
        <v>0.26529399503383927</v>
      </c>
      <c r="K24" s="3194">
        <v>30.48905357518413</v>
      </c>
      <c r="L24" s="3194">
        <v>10.069402945932751</v>
      </c>
      <c r="M24" s="3460">
        <v>-2.2184993042077625</v>
      </c>
    </row>
    <row r="25" spans="2:13" ht="18" customHeight="1" x14ac:dyDescent="0.2">
      <c r="B25" s="105" t="s">
        <v>890</v>
      </c>
      <c r="C25" s="2524"/>
      <c r="D25" s="150"/>
      <c r="E25" s="150"/>
      <c r="F25" s="150"/>
      <c r="G25" s="3669"/>
      <c r="H25" s="2135"/>
      <c r="I25" s="2135"/>
      <c r="J25" s="3081" t="str">
        <f>IF(SUM(J26:J37)=0,"NO",SUM(J26:J37))</f>
        <v>NO</v>
      </c>
      <c r="K25" s="3081">
        <f>IF(SUM(K26:K37)=0,"NO",SUM(K26:K37))</f>
        <v>11.187906612544722</v>
      </c>
      <c r="L25" s="3081">
        <f>IF(SUM(L26:L37)=0,"NO",SUM(L26:L37))</f>
        <v>51.001070597474467</v>
      </c>
      <c r="M25" s="3193">
        <f>IF(SUM(M26:M37)=0,"NO",SUM(M26:M37))</f>
        <v>-9.9808261827208078</v>
      </c>
    </row>
    <row r="26" spans="2:13" ht="18" customHeight="1" x14ac:dyDescent="0.2">
      <c r="B26" s="2634" t="s">
        <v>671</v>
      </c>
      <c r="C26" s="2636" t="s">
        <v>671</v>
      </c>
      <c r="D26" s="3461" t="s">
        <v>199</v>
      </c>
      <c r="E26" s="3461">
        <v>6.3042662623638384</v>
      </c>
      <c r="F26" s="3461">
        <v>0.64201540476302199</v>
      </c>
      <c r="G26" s="3668" t="str">
        <f>IF(SUM(D26)=0,"NA",J26/D26)</f>
        <v>NA</v>
      </c>
      <c r="H26" s="3081">
        <f>IF(SUM(E26)=0,"NA",K26/E26)</f>
        <v>1.8683524482750426E-2</v>
      </c>
      <c r="I26" s="3081">
        <f>IF(SUM(F26)=0,"NA",L26/F26)</f>
        <v>0.83633132602129512</v>
      </c>
      <c r="J26" s="3194" t="s">
        <v>199</v>
      </c>
      <c r="K26" s="3194">
        <v>0.1177859130586523</v>
      </c>
      <c r="L26" s="3194">
        <v>0.53693759479155667</v>
      </c>
      <c r="M26" s="3460">
        <v>-0.10507780997146524</v>
      </c>
    </row>
    <row r="27" spans="2:13" ht="18" customHeight="1" x14ac:dyDescent="0.2">
      <c r="B27" s="2634" t="s">
        <v>672</v>
      </c>
      <c r="C27" s="2636" t="s">
        <v>672</v>
      </c>
      <c r="D27" s="3461" t="s">
        <v>199</v>
      </c>
      <c r="E27" s="3461">
        <v>48.632911166806764</v>
      </c>
      <c r="F27" s="3461">
        <v>4.9526902653147422</v>
      </c>
      <c r="G27" s="3668" t="str">
        <f t="shared" ref="G27:G37" si="7">IF(SUM(D27)=0,"NA",J27/D27)</f>
        <v>NA</v>
      </c>
      <c r="H27" s="3081">
        <f t="shared" ref="H27:H37" si="8">IF(SUM(E27)=0,"NA",K27/E27)</f>
        <v>1.8683524482750426E-2</v>
      </c>
      <c r="I27" s="3081">
        <f t="shared" ref="I27:I37" si="9">IF(SUM(F27)=0,"NA",L27/F27)</f>
        <v>0.8363313260212949</v>
      </c>
      <c r="J27" s="3194" t="s">
        <v>199</v>
      </c>
      <c r="K27" s="3194">
        <v>0.90863418645246086</v>
      </c>
      <c r="L27" s="3194">
        <v>4.1420900169634374</v>
      </c>
      <c r="M27" s="3460">
        <v>-0.81060024835130329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v>111.00011669090617</v>
      </c>
      <c r="F29" s="3461">
        <v>11.304056948148924</v>
      </c>
      <c r="G29" s="3668" t="str">
        <f t="shared" si="7"/>
        <v>NA</v>
      </c>
      <c r="H29" s="3081">
        <f t="shared" si="8"/>
        <v>1.8683524482750426E-2</v>
      </c>
      <c r="I29" s="3081">
        <f t="shared" si="9"/>
        <v>0.83633132602129512</v>
      </c>
      <c r="J29" s="3194" t="s">
        <v>199</v>
      </c>
      <c r="K29" s="3194">
        <v>2.0738733977826995</v>
      </c>
      <c r="L29" s="3194">
        <v>9.4539369368656239</v>
      </c>
      <c r="M29" s="3460">
        <v>-1.8501200112832985</v>
      </c>
    </row>
    <row r="30" spans="2:13" ht="18" customHeight="1" x14ac:dyDescent="0.2">
      <c r="B30" s="2634" t="s">
        <v>676</v>
      </c>
      <c r="C30" s="2636" t="s">
        <v>676</v>
      </c>
      <c r="D30" s="3461" t="s">
        <v>199</v>
      </c>
      <c r="E30" s="3461">
        <v>0.58151722064368772</v>
      </c>
      <c r="F30" s="3461">
        <v>5.9220692504227554E-2</v>
      </c>
      <c r="G30" s="3668" t="str">
        <f t="shared" si="7"/>
        <v>NA</v>
      </c>
      <c r="H30" s="3081">
        <f t="shared" si="8"/>
        <v>1.868352448275043E-2</v>
      </c>
      <c r="I30" s="3081">
        <f t="shared" si="9"/>
        <v>0.83633132602129501</v>
      </c>
      <c r="J30" s="3194" t="s">
        <v>199</v>
      </c>
      <c r="K30" s="3194">
        <v>1.0864791229037322E-2</v>
      </c>
      <c r="L30" s="3194">
        <v>4.9528120289959995E-2</v>
      </c>
      <c r="M30" s="3460">
        <v>-9.6925722142675447E-3</v>
      </c>
    </row>
    <row r="31" spans="2:13" ht="18" customHeight="1" x14ac:dyDescent="0.2">
      <c r="B31" s="2634" t="s">
        <v>677</v>
      </c>
      <c r="C31" s="2636" t="s">
        <v>677</v>
      </c>
      <c r="D31" s="3461" t="s">
        <v>199</v>
      </c>
      <c r="E31" s="3461">
        <v>318.81575098239989</v>
      </c>
      <c r="F31" s="3461">
        <v>32.467636183729979</v>
      </c>
      <c r="G31" s="3668" t="str">
        <f t="shared" si="7"/>
        <v>NA</v>
      </c>
      <c r="H31" s="3081">
        <f t="shared" si="8"/>
        <v>1.8683524482750426E-2</v>
      </c>
      <c r="I31" s="3081">
        <f t="shared" si="9"/>
        <v>0.83633132602129501</v>
      </c>
      <c r="J31" s="3194" t="s">
        <v>199</v>
      </c>
      <c r="K31" s="3194">
        <v>5.9566018889661319</v>
      </c>
      <c r="L31" s="3194">
        <v>27.15370122231587</v>
      </c>
      <c r="M31" s="3460">
        <v>-5.3139349614141</v>
      </c>
    </row>
    <row r="32" spans="2:13" ht="18" customHeight="1" x14ac:dyDescent="0.2">
      <c r="B32" s="2634" t="s">
        <v>679</v>
      </c>
      <c r="C32" s="2636" t="s">
        <v>679</v>
      </c>
      <c r="D32" s="3461" t="s">
        <v>199</v>
      </c>
      <c r="E32" s="3461">
        <v>74.300280949288094</v>
      </c>
      <c r="F32" s="3461">
        <v>7.5666101275641875</v>
      </c>
      <c r="G32" s="3668" t="str">
        <f t="shared" si="7"/>
        <v>NA</v>
      </c>
      <c r="H32" s="3081">
        <f t="shared" si="8"/>
        <v>1.8683524482750426E-2</v>
      </c>
      <c r="I32" s="3081">
        <f t="shared" si="9"/>
        <v>0.83633132602129512</v>
      </c>
      <c r="J32" s="3194" t="s">
        <v>199</v>
      </c>
      <c r="K32" s="3194">
        <v>1.3881911181912592</v>
      </c>
      <c r="L32" s="3194">
        <v>6.3281930814719178</v>
      </c>
      <c r="M32" s="3460">
        <v>-1.2384170460922685</v>
      </c>
    </row>
    <row r="33" spans="2:13" ht="18" customHeight="1" x14ac:dyDescent="0.2">
      <c r="B33" s="2634" t="s">
        <v>681</v>
      </c>
      <c r="C33" s="2636" t="s">
        <v>681</v>
      </c>
      <c r="D33" s="3461" t="s">
        <v>199</v>
      </c>
      <c r="E33" s="3461">
        <v>13.509141990779655</v>
      </c>
      <c r="F33" s="3461">
        <v>1.3757472959207617</v>
      </c>
      <c r="G33" s="3668" t="str">
        <f t="shared" si="7"/>
        <v>NA</v>
      </c>
      <c r="H33" s="3081">
        <f t="shared" si="8"/>
        <v>1.8683524482750426E-2</v>
      </c>
      <c r="I33" s="3081">
        <f t="shared" si="9"/>
        <v>0.83633132602129501</v>
      </c>
      <c r="J33" s="3194" t="s">
        <v>199</v>
      </c>
      <c r="K33" s="3194">
        <v>0.25239838512568352</v>
      </c>
      <c r="L33" s="3194">
        <v>1.1505805602676216</v>
      </c>
      <c r="M33" s="3460">
        <v>-0.2251667356531398</v>
      </c>
    </row>
    <row r="34" spans="2:13" ht="18" customHeight="1" x14ac:dyDescent="0.2">
      <c r="B34" s="2634" t="s">
        <v>683</v>
      </c>
      <c r="C34" s="2636" t="s">
        <v>683</v>
      </c>
      <c r="D34" s="3461" t="s">
        <v>199</v>
      </c>
      <c r="E34" s="3461">
        <v>4.0527425972338964</v>
      </c>
      <c r="F34" s="3461">
        <v>0.41272418877622852</v>
      </c>
      <c r="G34" s="3668" t="str">
        <f t="shared" si="7"/>
        <v>NA</v>
      </c>
      <c r="H34" s="3081">
        <f t="shared" si="8"/>
        <v>1.868352448275043E-2</v>
      </c>
      <c r="I34" s="3081">
        <f t="shared" si="9"/>
        <v>0.83633132602129512</v>
      </c>
      <c r="J34" s="3194" t="s">
        <v>199</v>
      </c>
      <c r="K34" s="3194">
        <v>7.5719515537705062E-2</v>
      </c>
      <c r="L34" s="3194">
        <v>0.3451741680802865</v>
      </c>
      <c r="M34" s="3460">
        <v>-6.7550020695941945E-2</v>
      </c>
    </row>
    <row r="35" spans="2:13" ht="18" customHeight="1" x14ac:dyDescent="0.2">
      <c r="B35" s="2634" t="s">
        <v>686</v>
      </c>
      <c r="C35" s="2636" t="s">
        <v>686</v>
      </c>
      <c r="D35" s="3461" t="s">
        <v>199</v>
      </c>
      <c r="E35" s="3461">
        <v>0.6754570995389827</v>
      </c>
      <c r="F35" s="3461">
        <v>6.8787364796038086E-2</v>
      </c>
      <c r="G35" s="3668" t="str">
        <f t="shared" si="7"/>
        <v>NA</v>
      </c>
      <c r="H35" s="3081">
        <f t="shared" si="8"/>
        <v>1.868352448275043E-2</v>
      </c>
      <c r="I35" s="3081">
        <f t="shared" si="9"/>
        <v>0.83633132602129512</v>
      </c>
      <c r="J35" s="3194" t="s">
        <v>199</v>
      </c>
      <c r="K35" s="3194">
        <v>1.2619919256284176E-2</v>
      </c>
      <c r="L35" s="3194">
        <v>5.7529028013381084E-2</v>
      </c>
      <c r="M35" s="3460">
        <v>-1.1258336782656989E-2</v>
      </c>
    </row>
    <row r="36" spans="2:13" ht="18" customHeight="1" x14ac:dyDescent="0.2">
      <c r="B36" s="2634" t="s">
        <v>688</v>
      </c>
      <c r="C36" s="2636" t="s">
        <v>688</v>
      </c>
      <c r="D36" s="3461" t="s">
        <v>199</v>
      </c>
      <c r="E36" s="3461">
        <v>12.383380158214685</v>
      </c>
      <c r="F36" s="3461">
        <v>1.2611016879273649</v>
      </c>
      <c r="G36" s="3668" t="str">
        <f t="shared" si="7"/>
        <v>NA</v>
      </c>
      <c r="H36" s="3081">
        <f t="shared" si="8"/>
        <v>1.8683524482750426E-2</v>
      </c>
      <c r="I36" s="3081">
        <f t="shared" si="9"/>
        <v>0.83633132602129501</v>
      </c>
      <c r="J36" s="3194" t="s">
        <v>199</v>
      </c>
      <c r="K36" s="3194">
        <v>0.23136518636520992</v>
      </c>
      <c r="L36" s="3194">
        <v>1.0546988469119865</v>
      </c>
      <c r="M36" s="3460">
        <v>-0.20640284101537815</v>
      </c>
    </row>
    <row r="37" spans="2:13" ht="18" customHeight="1" x14ac:dyDescent="0.2">
      <c r="B37" s="2634" t="s">
        <v>689</v>
      </c>
      <c r="C37" s="2636" t="s">
        <v>689</v>
      </c>
      <c r="D37" s="3461" t="s">
        <v>199</v>
      </c>
      <c r="E37" s="3461">
        <v>8.5557899274937803</v>
      </c>
      <c r="F37" s="3461">
        <v>0.87130662074981569</v>
      </c>
      <c r="G37" s="3668" t="str">
        <f t="shared" si="7"/>
        <v>NA</v>
      </c>
      <c r="H37" s="3081">
        <f t="shared" si="8"/>
        <v>1.868352448275043E-2</v>
      </c>
      <c r="I37" s="3081">
        <f t="shared" si="9"/>
        <v>0.83633132602129512</v>
      </c>
      <c r="J37" s="3194" t="s">
        <v>199</v>
      </c>
      <c r="K37" s="3194">
        <v>0.15985231057959956</v>
      </c>
      <c r="L37" s="3194">
        <v>0.72870102150282701</v>
      </c>
      <c r="M37" s="3460">
        <v>-0.14260559924698854</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4.4769431229633163</v>
      </c>
      <c r="K51" s="3081">
        <f>IF(SUM(K52:K63)=0,"NO",SUM(K52:K63))</f>
        <v>154.01278874307368</v>
      </c>
      <c r="L51" s="3081">
        <f>IF(SUM(L52:L63)=0,"NO",SUM(L52:L63))</f>
        <v>91.504476289097838</v>
      </c>
      <c r="M51" s="3193">
        <f>IF(SUM(M52:M63)=0,"NO",SUM(M52:M63))</f>
        <v>-20.891822578698505</v>
      </c>
    </row>
    <row r="52" spans="2:13" ht="18" customHeight="1" x14ac:dyDescent="0.2">
      <c r="B52" s="2634" t="s">
        <v>671</v>
      </c>
      <c r="C52" s="2636" t="s">
        <v>671</v>
      </c>
      <c r="D52" s="3461">
        <v>0.92417862817145502</v>
      </c>
      <c r="E52" s="3461">
        <v>9.6219386369498814</v>
      </c>
      <c r="F52" s="3461">
        <v>1.1833045398959923</v>
      </c>
      <c r="G52" s="3081">
        <f>IF(SUM(D52)=0,"NA",J52/D52)</f>
        <v>5.099999999999999E-2</v>
      </c>
      <c r="H52" s="3081">
        <f>IF(SUM(E52)=0,"NA",K52/E52)</f>
        <v>0.16851506110199579</v>
      </c>
      <c r="I52" s="3081">
        <f>IF(SUM(F52)=0,"NA",L52/F52)</f>
        <v>0.8141235717799562</v>
      </c>
      <c r="J52" s="3194">
        <v>4.7133110036744197E-2</v>
      </c>
      <c r="K52" s="3194">
        <v>1.6214415773252633</v>
      </c>
      <c r="L52" s="3194">
        <v>0.96335611852356284</v>
      </c>
      <c r="M52" s="3460">
        <v>-0.21994842137242895</v>
      </c>
    </row>
    <row r="53" spans="2:13" ht="18" customHeight="1" x14ac:dyDescent="0.2">
      <c r="B53" s="2634" t="s">
        <v>672</v>
      </c>
      <c r="C53" s="2636" t="s">
        <v>672</v>
      </c>
      <c r="D53" s="3461">
        <v>7.1293779887512265</v>
      </c>
      <c r="E53" s="3461">
        <v>74.226383770756229</v>
      </c>
      <c r="F53" s="3461">
        <v>9.1283493077690832</v>
      </c>
      <c r="G53" s="3081">
        <f t="shared" ref="G53:G63" si="39">IF(SUM(D53)=0,"NA",J53/D53)</f>
        <v>5.0999999999999997E-2</v>
      </c>
      <c r="H53" s="3081">
        <f t="shared" ref="H53:H63" si="40">IF(SUM(E53)=0,"NA",K53/E53)</f>
        <v>0.16851506110199579</v>
      </c>
      <c r="I53" s="3081">
        <f t="shared" ref="I53:I63" si="41">IF(SUM(F53)=0,"NA",L53/F53)</f>
        <v>0.8141235717799562</v>
      </c>
      <c r="J53" s="3194">
        <v>0.36359827742631251</v>
      </c>
      <c r="K53" s="3194">
        <v>12.508263596509176</v>
      </c>
      <c r="L53" s="3194">
        <v>7.4316043428960565</v>
      </c>
      <c r="M53" s="3460">
        <v>-1.6967449648730237</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16.272145131733122</v>
      </c>
      <c r="E55" s="3461">
        <v>169.41484814343897</v>
      </c>
      <c r="F55" s="3461">
        <v>20.834612077454434</v>
      </c>
      <c r="G55" s="3081">
        <f t="shared" si="39"/>
        <v>5.0999999999999997E-2</v>
      </c>
      <c r="H55" s="3081">
        <f t="shared" si="40"/>
        <v>0.16851506110199579</v>
      </c>
      <c r="I55" s="3081">
        <f t="shared" si="41"/>
        <v>0.81412357177995598</v>
      </c>
      <c r="J55" s="3194">
        <v>0.82987940171838914</v>
      </c>
      <c r="K55" s="3194">
        <v>28.548953486476957</v>
      </c>
      <c r="L55" s="3194">
        <v>16.961948801147013</v>
      </c>
      <c r="M55" s="3460">
        <v>-3.8726632763074105</v>
      </c>
    </row>
    <row r="56" spans="2:13" ht="18" customHeight="1" x14ac:dyDescent="0.2">
      <c r="B56" s="2634" t="s">
        <v>676</v>
      </c>
      <c r="C56" s="2636" t="s">
        <v>676</v>
      </c>
      <c r="D56" s="3461">
        <v>8.5247951921219839E-2</v>
      </c>
      <c r="E56" s="3461">
        <v>0.88754547801494588</v>
      </c>
      <c r="F56" s="3461">
        <v>0.10915020695165907</v>
      </c>
      <c r="G56" s="3081">
        <f t="shared" si="39"/>
        <v>5.099999999999999E-2</v>
      </c>
      <c r="H56" s="3081">
        <f t="shared" si="40"/>
        <v>0.16851506110199577</v>
      </c>
      <c r="I56" s="3081">
        <f t="shared" si="41"/>
        <v>0.81412357177995642</v>
      </c>
      <c r="J56" s="3194">
        <v>4.3476455479822106E-3</v>
      </c>
      <c r="K56" s="3194">
        <v>0.14956478045848864</v>
      </c>
      <c r="L56" s="3194">
        <v>8.8861756344006115E-2</v>
      </c>
      <c r="M56" s="3460">
        <v>-2.0288450607652948E-2</v>
      </c>
    </row>
    <row r="57" spans="2:13" ht="18" customHeight="1" x14ac:dyDescent="0.2">
      <c r="B57" s="2634" t="s">
        <v>677</v>
      </c>
      <c r="C57" s="2636" t="s">
        <v>677</v>
      </c>
      <c r="D57" s="3461">
        <v>46.73703348181359</v>
      </c>
      <c r="E57" s="3461">
        <v>486.59518249717979</v>
      </c>
      <c r="F57" s="3461">
        <v>59.841401017597335</v>
      </c>
      <c r="G57" s="3081">
        <f t="shared" si="39"/>
        <v>5.0999999999999997E-2</v>
      </c>
      <c r="H57" s="3081">
        <f t="shared" si="40"/>
        <v>0.16851506110199579</v>
      </c>
      <c r="I57" s="3081">
        <f t="shared" si="41"/>
        <v>0.81412357177995642</v>
      </c>
      <c r="J57" s="3194">
        <v>2.3835887075724931</v>
      </c>
      <c r="K57" s="3194">
        <v>81.998616910449044</v>
      </c>
      <c r="L57" s="3194">
        <v>48.718295136763061</v>
      </c>
      <c r="M57" s="3460">
        <v>-11.123105880834268</v>
      </c>
    </row>
    <row r="58" spans="2:13" ht="18" customHeight="1" x14ac:dyDescent="0.2">
      <c r="B58" s="2634" t="s">
        <v>679</v>
      </c>
      <c r="C58" s="2636" t="s">
        <v>679</v>
      </c>
      <c r="D58" s="3461">
        <v>10.89210526059215</v>
      </c>
      <c r="E58" s="3461">
        <v>113.40141964976645</v>
      </c>
      <c r="F58" s="3461">
        <v>13.946089220202765</v>
      </c>
      <c r="G58" s="3081">
        <f t="shared" si="39"/>
        <v>5.0999999999999983E-2</v>
      </c>
      <c r="H58" s="3081">
        <f t="shared" si="40"/>
        <v>0.16851506110199579</v>
      </c>
      <c r="I58" s="3081">
        <f t="shared" si="41"/>
        <v>0.8141235717799562</v>
      </c>
      <c r="J58" s="3194">
        <v>0.55549736829019947</v>
      </c>
      <c r="K58" s="3194">
        <v>19.109847161333459</v>
      </c>
      <c r="L58" s="3194">
        <v>11.353839968313419</v>
      </c>
      <c r="M58" s="3460">
        <v>-2.5922492518893416</v>
      </c>
    </row>
    <row r="59" spans="2:13" ht="18" customHeight="1" x14ac:dyDescent="0.2">
      <c r="B59" s="2634" t="s">
        <v>681</v>
      </c>
      <c r="C59" s="2636" t="s">
        <v>681</v>
      </c>
      <c r="D59" s="3461">
        <v>1.9803827746531182</v>
      </c>
      <c r="E59" s="3461">
        <v>20.618439936321174</v>
      </c>
      <c r="F59" s="3461">
        <v>2.535652585491412</v>
      </c>
      <c r="G59" s="3081">
        <f t="shared" si="39"/>
        <v>5.0999999999999997E-2</v>
      </c>
      <c r="H59" s="3081">
        <f t="shared" si="40"/>
        <v>0.16851506110199579</v>
      </c>
      <c r="I59" s="3081">
        <f t="shared" si="41"/>
        <v>0.81412357177995665</v>
      </c>
      <c r="J59" s="3194">
        <v>0.10099952150730902</v>
      </c>
      <c r="K59" s="3194">
        <v>3.4745176656969932</v>
      </c>
      <c r="L59" s="3194">
        <v>2.0643345396933501</v>
      </c>
      <c r="M59" s="3460">
        <v>-0.47131804579806214</v>
      </c>
    </row>
    <row r="60" spans="2:13" ht="18" customHeight="1" x14ac:dyDescent="0.2">
      <c r="B60" s="2634" t="s">
        <v>683</v>
      </c>
      <c r="C60" s="2636" t="s">
        <v>683</v>
      </c>
      <c r="D60" s="3461">
        <v>0.59411483239593543</v>
      </c>
      <c r="E60" s="3461">
        <v>6.1855319808963527</v>
      </c>
      <c r="F60" s="3461">
        <v>0.76069577564742363</v>
      </c>
      <c r="G60" s="3081">
        <f t="shared" si="39"/>
        <v>5.0999999999999997E-2</v>
      </c>
      <c r="H60" s="3081">
        <f t="shared" si="40"/>
        <v>0.16851506110199579</v>
      </c>
      <c r="I60" s="3081">
        <f t="shared" si="41"/>
        <v>0.81412357177995631</v>
      </c>
      <c r="J60" s="3194">
        <v>3.0299856452192703E-2</v>
      </c>
      <c r="K60" s="3194">
        <v>1.0423552997090979</v>
      </c>
      <c r="L60" s="3194">
        <v>0.61930036190800486</v>
      </c>
      <c r="M60" s="3460">
        <v>-0.14139541373941864</v>
      </c>
    </row>
    <row r="61" spans="2:13" ht="18" customHeight="1" x14ac:dyDescent="0.2">
      <c r="B61" s="2634" t="s">
        <v>686</v>
      </c>
      <c r="C61" s="2636" t="s">
        <v>686</v>
      </c>
      <c r="D61" s="3461">
        <v>9.9019138732655915E-2</v>
      </c>
      <c r="E61" s="3461">
        <v>1.0309219968160588</v>
      </c>
      <c r="F61" s="3461">
        <v>0.1267826292745706</v>
      </c>
      <c r="G61" s="3081">
        <f t="shared" si="39"/>
        <v>5.0999999999999983E-2</v>
      </c>
      <c r="H61" s="3081">
        <f t="shared" si="40"/>
        <v>0.16851506110199577</v>
      </c>
      <c r="I61" s="3081">
        <f t="shared" si="41"/>
        <v>0.81412357177995653</v>
      </c>
      <c r="J61" s="3194">
        <v>5.0499760753654503E-3</v>
      </c>
      <c r="K61" s="3194">
        <v>0.17372588328484964</v>
      </c>
      <c r="L61" s="3194">
        <v>0.1032167269846675</v>
      </c>
      <c r="M61" s="3460">
        <v>-2.3565902289903105E-2</v>
      </c>
    </row>
    <row r="62" spans="2:13" ht="18" customHeight="1" x14ac:dyDescent="0.2">
      <c r="B62" s="2634" t="s">
        <v>688</v>
      </c>
      <c r="C62" s="2636" t="s">
        <v>688</v>
      </c>
      <c r="D62" s="3461">
        <v>1.8153508767653583</v>
      </c>
      <c r="E62" s="3461">
        <v>18.900236608294414</v>
      </c>
      <c r="F62" s="3461">
        <v>2.3243482033671277</v>
      </c>
      <c r="G62" s="3081">
        <f t="shared" si="39"/>
        <v>5.0999999999999997E-2</v>
      </c>
      <c r="H62" s="3081">
        <f t="shared" si="40"/>
        <v>0.16851506110199577</v>
      </c>
      <c r="I62" s="3081">
        <f t="shared" si="41"/>
        <v>0.81412357177995631</v>
      </c>
      <c r="J62" s="3194">
        <v>9.2582894715033268E-2</v>
      </c>
      <c r="K62" s="3194">
        <v>3.1849745268889103</v>
      </c>
      <c r="L62" s="3194">
        <v>1.8923066613855704</v>
      </c>
      <c r="M62" s="3460">
        <v>-0.43204154198155698</v>
      </c>
    </row>
    <row r="63" spans="2:13" ht="18" customHeight="1" x14ac:dyDescent="0.2">
      <c r="B63" s="2634" t="s">
        <v>689</v>
      </c>
      <c r="C63" s="2636" t="s">
        <v>689</v>
      </c>
      <c r="D63" s="3461">
        <v>1.2542424239469747</v>
      </c>
      <c r="E63" s="3461">
        <v>13.058345293003409</v>
      </c>
      <c r="F63" s="3461">
        <v>1.6059133041445608</v>
      </c>
      <c r="G63" s="3081">
        <f t="shared" si="39"/>
        <v>5.0999999999999997E-2</v>
      </c>
      <c r="H63" s="3081">
        <f t="shared" si="40"/>
        <v>0.16851506110199582</v>
      </c>
      <c r="I63" s="3081">
        <f t="shared" si="41"/>
        <v>0.81412357177995653</v>
      </c>
      <c r="J63" s="3194">
        <v>6.3966363621295708E-2</v>
      </c>
      <c r="K63" s="3194">
        <v>2.2005278549414289</v>
      </c>
      <c r="L63" s="3194">
        <v>1.3074118751391215</v>
      </c>
      <c r="M63" s="3460">
        <v>-0.29850142900543936</v>
      </c>
    </row>
    <row r="64" spans="2:13" ht="18" customHeight="1" x14ac:dyDescent="0.2">
      <c r="B64" s="104" t="s">
        <v>893</v>
      </c>
      <c r="C64" s="2524"/>
      <c r="D64" s="150"/>
      <c r="E64" s="150"/>
      <c r="F64" s="150"/>
      <c r="G64" s="2135"/>
      <c r="H64" s="2135"/>
      <c r="I64" s="2135"/>
      <c r="J64" s="3081">
        <f>IF(SUM(J65:J76)=0,"NO",SUM(J65:J76))</f>
        <v>0.60055384539532375</v>
      </c>
      <c r="K64" s="3081">
        <f>IF(SUM(K65:K76)=0,"NO",SUM(K65:K76))</f>
        <v>434.45334934672161</v>
      </c>
      <c r="L64" s="3081">
        <f>IF(SUM(L65:L76)=0,"NO",SUM(L65:L76))</f>
        <v>123.59662130766121</v>
      </c>
      <c r="M64" s="3193">
        <f>IF(SUM(M65:M76)=0,"NO",SUM(M65:M76))</f>
        <v>-32.717144841718046</v>
      </c>
    </row>
    <row r="65" spans="2:13" ht="18" customHeight="1" x14ac:dyDescent="0.2">
      <c r="B65" s="2634" t="s">
        <v>671</v>
      </c>
      <c r="C65" s="2636" t="s">
        <v>671</v>
      </c>
      <c r="D65" s="3461">
        <v>1.8064603267107182</v>
      </c>
      <c r="E65" s="3461">
        <v>55.347018581887532</v>
      </c>
      <c r="F65" s="3461">
        <v>1.8588044679972142</v>
      </c>
      <c r="G65" s="3081">
        <f>IF(SUM(D65)=0,"NA",J65/D65)</f>
        <v>3.5000000000000001E-3</v>
      </c>
      <c r="H65" s="3081">
        <f>IF(SUM(E65)=0,"NA",K65/E65)</f>
        <v>8.2640595612535547E-2</v>
      </c>
      <c r="I65" s="3081">
        <f>IF(SUM(F65)=0,"NA",L65/F65)</f>
        <v>0.70003122371368165</v>
      </c>
      <c r="J65" s="3194">
        <v>6.3226111434875141E-3</v>
      </c>
      <c r="K65" s="3194">
        <v>4.5739105809852578</v>
      </c>
      <c r="L65" s="3194">
        <v>1.3012211663765489</v>
      </c>
      <c r="M65" s="3460">
        <v>-0.34444502544675959</v>
      </c>
    </row>
    <row r="66" spans="2:13" ht="18" customHeight="1" x14ac:dyDescent="0.2">
      <c r="B66" s="2634" t="s">
        <v>672</v>
      </c>
      <c r="C66" s="2636" t="s">
        <v>672</v>
      </c>
      <c r="D66" s="3461">
        <v>13.935551091768399</v>
      </c>
      <c r="E66" s="3461">
        <v>426.96271477456111</v>
      </c>
      <c r="F66" s="3461">
        <v>14.339348753121367</v>
      </c>
      <c r="G66" s="3081">
        <f t="shared" ref="G66:G76" si="42">IF(SUM(D66)=0,"NA",J66/D66)</f>
        <v>3.5000000000000009E-3</v>
      </c>
      <c r="H66" s="3081">
        <f t="shared" ref="H66:H76" si="43">IF(SUM(E66)=0,"NA",K66/E66)</f>
        <v>8.264059561253552E-2</v>
      </c>
      <c r="I66" s="3081">
        <f t="shared" ref="I66:I76" si="44">IF(SUM(F66)=0,"NA",L66/F66)</f>
        <v>0.70003122371368198</v>
      </c>
      <c r="J66" s="3194">
        <v>4.877442882118941E-2</v>
      </c>
      <c r="K66" s="3194">
        <v>35.284453053314849</v>
      </c>
      <c r="L66" s="3194">
        <v>10.03799185490481</v>
      </c>
      <c r="M66" s="3460">
        <v>-2.657147339160717</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31.806605038156576</v>
      </c>
      <c r="E68" s="3461">
        <v>974.50286288823418</v>
      </c>
      <c r="F68" s="3461">
        <v>32.728235811522381</v>
      </c>
      <c r="G68" s="3081">
        <f t="shared" si="42"/>
        <v>3.5000000000000001E-3</v>
      </c>
      <c r="H68" s="3081">
        <f t="shared" si="43"/>
        <v>8.2640595612535533E-2</v>
      </c>
      <c r="I68" s="3081">
        <f t="shared" si="44"/>
        <v>0.70003122371368232</v>
      </c>
      <c r="J68" s="3194">
        <v>0.11132311763354802</v>
      </c>
      <c r="K68" s="3194">
        <v>80.533497015204716</v>
      </c>
      <c r="L68" s="3194">
        <v>22.910786965129972</v>
      </c>
      <c r="M68" s="3460">
        <v>-6.0646927694733019</v>
      </c>
    </row>
    <row r="69" spans="2:13" ht="18" customHeight="1" x14ac:dyDescent="0.2">
      <c r="B69" s="2634" t="s">
        <v>676</v>
      </c>
      <c r="C69" s="2636" t="s">
        <v>676</v>
      </c>
      <c r="D69" s="3461">
        <v>0.16663125329322873</v>
      </c>
      <c r="E69" s="3461">
        <v>5.1053117170507409</v>
      </c>
      <c r="F69" s="3461">
        <v>0.17145957403526704</v>
      </c>
      <c r="G69" s="3081">
        <f t="shared" si="42"/>
        <v>3.5000000000000001E-3</v>
      </c>
      <c r="H69" s="3081">
        <f t="shared" si="43"/>
        <v>8.2640595612535533E-2</v>
      </c>
      <c r="I69" s="3081">
        <f t="shared" si="44"/>
        <v>0.70003122371368121</v>
      </c>
      <c r="J69" s="3194">
        <v>5.8320938652630056E-4</v>
      </c>
      <c r="K69" s="3194">
        <v>0.4219060010847297</v>
      </c>
      <c r="L69" s="3194">
        <v>0.12002705542933451</v>
      </c>
      <c r="M69" s="3460">
        <v>-3.177224843089662E-2</v>
      </c>
    </row>
    <row r="70" spans="2:13" ht="18" customHeight="1" x14ac:dyDescent="0.2">
      <c r="B70" s="2634" t="s">
        <v>677</v>
      </c>
      <c r="C70" s="2636" t="s">
        <v>677</v>
      </c>
      <c r="D70" s="3461">
        <v>91.355279379370614</v>
      </c>
      <c r="E70" s="3461">
        <v>2798.9777968554558</v>
      </c>
      <c r="F70" s="3461">
        <v>94.002397381573417</v>
      </c>
      <c r="G70" s="3081">
        <f t="shared" si="42"/>
        <v>3.5000000000000009E-3</v>
      </c>
      <c r="H70" s="3081">
        <f t="shared" si="43"/>
        <v>8.2640595612535533E-2</v>
      </c>
      <c r="I70" s="3081">
        <f t="shared" si="44"/>
        <v>0.70003122371368198</v>
      </c>
      <c r="J70" s="3194">
        <v>0.31974347782779722</v>
      </c>
      <c r="K70" s="3194">
        <v>231.30919223839737</v>
      </c>
      <c r="L70" s="3194">
        <v>65.804613271042655</v>
      </c>
      <c r="M70" s="3460">
        <v>-17.419077001164698</v>
      </c>
    </row>
    <row r="71" spans="2:13" ht="18" customHeight="1" x14ac:dyDescent="0.2">
      <c r="B71" s="2634" t="s">
        <v>679</v>
      </c>
      <c r="C71" s="2636" t="s">
        <v>679</v>
      </c>
      <c r="D71" s="3461">
        <v>21.290425279090606</v>
      </c>
      <c r="E71" s="3461">
        <v>652.30414757224594</v>
      </c>
      <c r="F71" s="3461">
        <v>21.907338372824309</v>
      </c>
      <c r="G71" s="3081">
        <f t="shared" si="42"/>
        <v>3.5000000000000001E-3</v>
      </c>
      <c r="H71" s="3081">
        <f t="shared" si="43"/>
        <v>8.2640595612535533E-2</v>
      </c>
      <c r="I71" s="3081">
        <f t="shared" si="44"/>
        <v>0.70003122371368165</v>
      </c>
      <c r="J71" s="3194">
        <v>7.4516488476817119E-2</v>
      </c>
      <c r="K71" s="3194">
        <v>53.90680327589768</v>
      </c>
      <c r="L71" s="3194">
        <v>15.335820889437898</v>
      </c>
      <c r="M71" s="3460">
        <v>-4.0595306570510949</v>
      </c>
    </row>
    <row r="72" spans="2:13" ht="18" customHeight="1" x14ac:dyDescent="0.2">
      <c r="B72" s="2634" t="s">
        <v>681</v>
      </c>
      <c r="C72" s="2636" t="s">
        <v>681</v>
      </c>
      <c r="D72" s="3461">
        <v>3.8709864143801109</v>
      </c>
      <c r="E72" s="3461">
        <v>118.60075410404474</v>
      </c>
      <c r="F72" s="3461">
        <v>3.9831524314226021</v>
      </c>
      <c r="G72" s="3081">
        <f t="shared" si="42"/>
        <v>3.5000000000000001E-3</v>
      </c>
      <c r="H72" s="3081">
        <f t="shared" si="43"/>
        <v>8.264059561253552E-2</v>
      </c>
      <c r="I72" s="3081">
        <f t="shared" si="44"/>
        <v>0.70003122371368121</v>
      </c>
      <c r="J72" s="3194">
        <v>1.3548452450330388E-2</v>
      </c>
      <c r="K72" s="3194">
        <v>9.8012369592541244</v>
      </c>
      <c r="L72" s="3194">
        <v>2.7883310708068887</v>
      </c>
      <c r="M72" s="3460">
        <v>-0.73809648310019915</v>
      </c>
    </row>
    <row r="73" spans="2:13" ht="18" customHeight="1" x14ac:dyDescent="0.2">
      <c r="B73" s="2634" t="s">
        <v>683</v>
      </c>
      <c r="C73" s="2636" t="s">
        <v>683</v>
      </c>
      <c r="D73" s="3461">
        <v>1.1612959243140333</v>
      </c>
      <c r="E73" s="3461">
        <v>35.580226231213423</v>
      </c>
      <c r="F73" s="3461">
        <v>1.1949457294267807</v>
      </c>
      <c r="G73" s="3081">
        <f t="shared" si="42"/>
        <v>3.5000000000000001E-3</v>
      </c>
      <c r="H73" s="3081">
        <f t="shared" si="43"/>
        <v>8.264059561253552E-2</v>
      </c>
      <c r="I73" s="3081">
        <f t="shared" si="44"/>
        <v>0.70003122371368232</v>
      </c>
      <c r="J73" s="3194">
        <v>4.0645357350991163E-3</v>
      </c>
      <c r="K73" s="3194">
        <v>2.9403710877762372</v>
      </c>
      <c r="L73" s="3194">
        <v>0.83649932124206794</v>
      </c>
      <c r="M73" s="3460">
        <v>-0.22142894493005974</v>
      </c>
    </row>
    <row r="74" spans="2:13" ht="18" customHeight="1" x14ac:dyDescent="0.2">
      <c r="B74" s="2634" t="s">
        <v>686</v>
      </c>
      <c r="C74" s="2636" t="s">
        <v>686</v>
      </c>
      <c r="D74" s="3461">
        <v>0.19354932071900555</v>
      </c>
      <c r="E74" s="3461">
        <v>5.9300377052022366</v>
      </c>
      <c r="F74" s="3461">
        <v>0.19915762157113012</v>
      </c>
      <c r="G74" s="3081">
        <f t="shared" si="42"/>
        <v>3.5000000000000001E-3</v>
      </c>
      <c r="H74" s="3081">
        <f t="shared" si="43"/>
        <v>8.264059561253552E-2</v>
      </c>
      <c r="I74" s="3081">
        <f t="shared" si="44"/>
        <v>0.70003122371368165</v>
      </c>
      <c r="J74" s="3194">
        <v>6.7742262251651946E-4</v>
      </c>
      <c r="K74" s="3194">
        <v>0.49006184796270619</v>
      </c>
      <c r="L74" s="3194">
        <v>0.13941655354034455</v>
      </c>
      <c r="M74" s="3460">
        <v>-3.6904824155009952E-2</v>
      </c>
    </row>
    <row r="75" spans="2:13" ht="18" customHeight="1" x14ac:dyDescent="0.2">
      <c r="B75" s="2634" t="s">
        <v>688</v>
      </c>
      <c r="C75" s="2636" t="s">
        <v>688</v>
      </c>
      <c r="D75" s="3461">
        <v>3.5484042131817684</v>
      </c>
      <c r="E75" s="3461">
        <v>108.71735792870767</v>
      </c>
      <c r="F75" s="3461">
        <v>3.6512230621373858</v>
      </c>
      <c r="G75" s="3081">
        <f t="shared" si="42"/>
        <v>3.5000000000000001E-3</v>
      </c>
      <c r="H75" s="3081">
        <f t="shared" si="43"/>
        <v>8.2640595612535547E-2</v>
      </c>
      <c r="I75" s="3081">
        <f t="shared" si="44"/>
        <v>0.70003122371368121</v>
      </c>
      <c r="J75" s="3194">
        <v>1.2419414746136189E-2</v>
      </c>
      <c r="K75" s="3194">
        <v>8.9844672126496157</v>
      </c>
      <c r="L75" s="3194">
        <v>2.5559701482396484</v>
      </c>
      <c r="M75" s="3460">
        <v>-0.67658844284184916</v>
      </c>
    </row>
    <row r="76" spans="2:13" ht="18" customHeight="1" x14ac:dyDescent="0.2">
      <c r="B76" s="2634" t="s">
        <v>689</v>
      </c>
      <c r="C76" s="2636" t="s">
        <v>689</v>
      </c>
      <c r="D76" s="3461">
        <v>2.4516247291074036</v>
      </c>
      <c r="E76" s="3461">
        <v>75.113810932561663</v>
      </c>
      <c r="F76" s="3461">
        <v>2.522663206567648</v>
      </c>
      <c r="G76" s="3081">
        <f t="shared" si="42"/>
        <v>3.4999999999999996E-3</v>
      </c>
      <c r="H76" s="3081">
        <f t="shared" si="43"/>
        <v>8.2640595612535533E-2</v>
      </c>
      <c r="I76" s="3081">
        <f t="shared" si="44"/>
        <v>0.70003122371368154</v>
      </c>
      <c r="J76" s="3194">
        <v>8.5806865518759119E-3</v>
      </c>
      <c r="K76" s="3194">
        <v>6.2074500741942789</v>
      </c>
      <c r="L76" s="3194">
        <v>1.7659430115110304</v>
      </c>
      <c r="M76" s="3460">
        <v>-0.46746110596345941</v>
      </c>
    </row>
    <row r="77" spans="2:13" ht="18" customHeight="1" x14ac:dyDescent="0.2">
      <c r="B77" s="104" t="s">
        <v>894</v>
      </c>
      <c r="C77" s="2524"/>
      <c r="D77" s="150"/>
      <c r="E77" s="150"/>
      <c r="F77" s="150"/>
      <c r="G77" s="2135"/>
      <c r="H77" s="2135"/>
      <c r="I77" s="2135"/>
      <c r="J77" s="3081">
        <f>IF(SUM(J78:J89)=0,"NO",SUM(J78:J89))</f>
        <v>0.58876580291085656</v>
      </c>
      <c r="K77" s="3081">
        <f>IF(SUM(K78:K89)=0,"NO",SUM(K78:K89))</f>
        <v>683.77174892321113</v>
      </c>
      <c r="L77" s="3081">
        <f>IF(SUM(L78:L89)=0,"NO",SUM(L78:L89))</f>
        <v>853.1681966246698</v>
      </c>
      <c r="M77" s="3193">
        <f>IF(SUM(M78:M89)=0,"NO",SUM(M78:M89))</f>
        <v>-183.66863227708245</v>
      </c>
    </row>
    <row r="78" spans="2:13" ht="18" customHeight="1" x14ac:dyDescent="0.2">
      <c r="B78" s="2634" t="s">
        <v>671</v>
      </c>
      <c r="C78" s="2636" t="s">
        <v>671</v>
      </c>
      <c r="D78" s="3461">
        <v>0.32461819307949108</v>
      </c>
      <c r="E78" s="3461">
        <v>194.98599468601878</v>
      </c>
      <c r="F78" s="3461">
        <v>9.0428665735490465</v>
      </c>
      <c r="G78" s="3081">
        <f>IF(SUM(D78)=0,"NA",J78/D78)</f>
        <v>1.9094761636414187E-2</v>
      </c>
      <c r="H78" s="3081">
        <f>IF(SUM(E78)=0,"NA",K78/E78)</f>
        <v>3.6919197750388801E-2</v>
      </c>
      <c r="I78" s="3081">
        <f>IF(SUM(F78)=0,"NA",L78/F78)</f>
        <v>0.88491110789756133</v>
      </c>
      <c r="J78" s="3194">
        <v>6.1985070196963598E-3</v>
      </c>
      <c r="K78" s="3194">
        <v>7.198726496369388</v>
      </c>
      <c r="L78" s="3194">
        <v>8.0021330781691109</v>
      </c>
      <c r="M78" s="3460">
        <v>-0.95366367187022227</v>
      </c>
    </row>
    <row r="79" spans="2:13" ht="18" customHeight="1" x14ac:dyDescent="0.2">
      <c r="B79" s="2634" t="s">
        <v>672</v>
      </c>
      <c r="C79" s="2636" t="s">
        <v>672</v>
      </c>
      <c r="D79" s="3461">
        <v>2.5041974894703602</v>
      </c>
      <c r="E79" s="3461">
        <v>1504.1776732921453</v>
      </c>
      <c r="F79" s="3461">
        <v>69.759256424521212</v>
      </c>
      <c r="G79" s="3081">
        <f t="shared" ref="G79:G89" si="45">IF(SUM(D79)=0,"NA",J79/D79)</f>
        <v>1.9094761636414187E-2</v>
      </c>
      <c r="H79" s="3081">
        <f t="shared" ref="H79:H89" si="46">IF(SUM(E79)=0,"NA",K79/E79)</f>
        <v>3.6919197750388801E-2</v>
      </c>
      <c r="I79" s="3081">
        <f t="shared" ref="I79:I89" si="47">IF(SUM(F79)=0,"NA",L79/F79)</f>
        <v>2.0022549848018523</v>
      </c>
      <c r="J79" s="3194">
        <v>4.7817054151943351E-2</v>
      </c>
      <c r="K79" s="3194">
        <v>55.533032971992426</v>
      </c>
      <c r="L79" s="3194">
        <v>139.67581891206822</v>
      </c>
      <c r="M79" s="3460">
        <v>-85.301912063476806</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5.7155988995781826</v>
      </c>
      <c r="E81" s="3461">
        <v>3433.1462635788316</v>
      </c>
      <c r="F81" s="3461">
        <v>159.21904359856001</v>
      </c>
      <c r="G81" s="3081">
        <f t="shared" si="45"/>
        <v>1.9094761636414187E-2</v>
      </c>
      <c r="H81" s="3081">
        <f t="shared" si="46"/>
        <v>3.6919197750388794E-2</v>
      </c>
      <c r="I81" s="3081">
        <f t="shared" si="47"/>
        <v>0.88491110789756144</v>
      </c>
      <c r="J81" s="3194">
        <v>0.10913799859679663</v>
      </c>
      <c r="K81" s="3194">
        <v>126.74900581107529</v>
      </c>
      <c r="L81" s="3194">
        <v>140.89470026919187</v>
      </c>
      <c r="M81" s="3460">
        <v>-16.791292508286414</v>
      </c>
    </row>
    <row r="82" spans="2:13" ht="18" customHeight="1" x14ac:dyDescent="0.2">
      <c r="B82" s="2634" t="s">
        <v>676</v>
      </c>
      <c r="C82" s="2636" t="s">
        <v>676</v>
      </c>
      <c r="D82" s="3461">
        <v>2.994338461510037E-2</v>
      </c>
      <c r="E82" s="3461">
        <v>17.985870040289644</v>
      </c>
      <c r="F82" s="3461">
        <v>0.83413079613966046</v>
      </c>
      <c r="G82" s="3081">
        <f t="shared" si="45"/>
        <v>1.9094761636414187E-2</v>
      </c>
      <c r="H82" s="3081">
        <f t="shared" si="46"/>
        <v>3.6919197750388801E-2</v>
      </c>
      <c r="I82" s="3081">
        <f t="shared" si="47"/>
        <v>1.8991054929531272</v>
      </c>
      <c r="J82" s="3194">
        <v>5.7176179181281329E-4</v>
      </c>
      <c r="K82" s="3194">
        <v>0.66402389273024676</v>
      </c>
      <c r="L82" s="3194">
        <v>1.5841023767901943</v>
      </c>
      <c r="M82" s="3460">
        <v>-0.93393847692247023</v>
      </c>
    </row>
    <row r="83" spans="2:13" ht="18" customHeight="1" x14ac:dyDescent="0.2">
      <c r="B83" s="2634" t="s">
        <v>677</v>
      </c>
      <c r="C83" s="2636" t="s">
        <v>677</v>
      </c>
      <c r="D83" s="3461">
        <v>16.416405764305694</v>
      </c>
      <c r="E83" s="3461">
        <v>9860.7203026929528</v>
      </c>
      <c r="F83" s="3461">
        <v>457.31068100519474</v>
      </c>
      <c r="G83" s="3081">
        <f t="shared" si="45"/>
        <v>1.9094761636414187E-2</v>
      </c>
      <c r="H83" s="3081">
        <f t="shared" si="46"/>
        <v>3.6919197750388801E-2</v>
      </c>
      <c r="I83" s="3081">
        <f t="shared" si="47"/>
        <v>0.8960632637772139</v>
      </c>
      <c r="J83" s="3194">
        <v>0.31346735499607309</v>
      </c>
      <c r="K83" s="3194">
        <v>364.04988281639481</v>
      </c>
      <c r="L83" s="3194">
        <v>409.77930138169512</v>
      </c>
      <c r="M83" s="3460">
        <v>-53.328134263151249</v>
      </c>
    </row>
    <row r="84" spans="2:13" ht="18" customHeight="1" x14ac:dyDescent="0.2">
      <c r="B84" s="2634" t="s">
        <v>679</v>
      </c>
      <c r="C84" s="2636" t="s">
        <v>679</v>
      </c>
      <c r="D84" s="3461">
        <v>3.8258572755797164</v>
      </c>
      <c r="E84" s="3461">
        <v>2298.0492230852215</v>
      </c>
      <c r="F84" s="3461">
        <v>106.57664175968519</v>
      </c>
      <c r="G84" s="3081">
        <f t="shared" si="45"/>
        <v>1.9094761636414187E-2</v>
      </c>
      <c r="H84" s="3081">
        <f t="shared" si="46"/>
        <v>3.6919197750388807E-2</v>
      </c>
      <c r="I84" s="3081">
        <f t="shared" si="47"/>
        <v>0.92569119259306742</v>
      </c>
      <c r="J84" s="3194">
        <v>7.3053832732135671E-2</v>
      </c>
      <c r="K84" s="3194">
        <v>84.84213370721065</v>
      </c>
      <c r="L84" s="3194">
        <v>98.657058613087088</v>
      </c>
      <c r="M84" s="3460">
        <v>-15.585812038850207</v>
      </c>
    </row>
    <row r="85" spans="2:13" ht="18" customHeight="1" x14ac:dyDescent="0.2">
      <c r="B85" s="2634" t="s">
        <v>681</v>
      </c>
      <c r="C85" s="2636" t="s">
        <v>681</v>
      </c>
      <c r="D85" s="3461" t="s">
        <v>199</v>
      </c>
      <c r="E85" s="3461">
        <v>335.91130321985815</v>
      </c>
      <c r="F85" s="3461">
        <v>18.531600459186905</v>
      </c>
      <c r="G85" s="3081" t="str">
        <f t="shared" si="45"/>
        <v>NA</v>
      </c>
      <c r="H85" s="3081">
        <f t="shared" si="46"/>
        <v>4.5922368030955223E-2</v>
      </c>
      <c r="I85" s="3081">
        <f t="shared" si="47"/>
        <v>0.96715344526305191</v>
      </c>
      <c r="J85" s="3194">
        <v>1.3282515042206487E-2</v>
      </c>
      <c r="K85" s="3194">
        <v>15.42584249222012</v>
      </c>
      <c r="L85" s="3194">
        <v>17.922901230340969</v>
      </c>
      <c r="M85" s="3460">
        <v>-2.8190382168433512</v>
      </c>
    </row>
    <row r="86" spans="2:13" ht="18" customHeight="1" x14ac:dyDescent="0.2">
      <c r="B86" s="2634" t="s">
        <v>683</v>
      </c>
      <c r="C86" s="2636" t="s">
        <v>683</v>
      </c>
      <c r="D86" s="3461">
        <v>0.20868312412253001</v>
      </c>
      <c r="E86" s="3461">
        <v>125.34813944101211</v>
      </c>
      <c r="F86" s="3461">
        <v>5.8132713687101019</v>
      </c>
      <c r="G86" s="3081">
        <f t="shared" si="45"/>
        <v>1.9094761636414187E-2</v>
      </c>
      <c r="H86" s="3081">
        <f t="shared" si="46"/>
        <v>3.6919197750388801E-2</v>
      </c>
      <c r="I86" s="3081">
        <f t="shared" si="47"/>
        <v>0.88665211509414477</v>
      </c>
      <c r="J86" s="3194">
        <v>3.984754512661946E-3</v>
      </c>
      <c r="K86" s="3194">
        <v>4.6277527476660358</v>
      </c>
      <c r="L86" s="3194">
        <v>5.1543493546830454</v>
      </c>
      <c r="M86" s="3460">
        <v>-0.62319045063376066</v>
      </c>
    </row>
    <row r="87" spans="2:13" ht="18" customHeight="1" x14ac:dyDescent="0.2">
      <c r="B87" s="2634" t="s">
        <v>686</v>
      </c>
      <c r="C87" s="2636" t="s">
        <v>686</v>
      </c>
      <c r="D87" s="3461">
        <v>3.4780520687088333E-2</v>
      </c>
      <c r="E87" s="3461">
        <v>20.891356573502016</v>
      </c>
      <c r="F87" s="3461">
        <v>0.96887856145168372</v>
      </c>
      <c r="G87" s="3081">
        <f t="shared" si="45"/>
        <v>1.9094761636414187E-2</v>
      </c>
      <c r="H87" s="3081">
        <f t="shared" si="46"/>
        <v>3.6919197750388794E-2</v>
      </c>
      <c r="I87" s="3081">
        <f t="shared" si="47"/>
        <v>4.5243404666753131</v>
      </c>
      <c r="J87" s="3194">
        <v>6.6412575211032433E-4</v>
      </c>
      <c r="K87" s="3194">
        <v>0.77129212461100582</v>
      </c>
      <c r="L87" s="3194">
        <v>4.3835364828700163</v>
      </c>
      <c r="M87" s="3460">
        <v>-3.6283433321951351</v>
      </c>
    </row>
    <row r="88" spans="2:13" ht="18" customHeight="1" x14ac:dyDescent="0.2">
      <c r="B88" s="2634" t="s">
        <v>688</v>
      </c>
      <c r="C88" s="2636" t="s">
        <v>688</v>
      </c>
      <c r="D88" s="3461" t="s">
        <v>199</v>
      </c>
      <c r="E88" s="3461">
        <v>307.91869461820329</v>
      </c>
      <c r="F88" s="3461">
        <v>16.987300420921326</v>
      </c>
      <c r="G88" s="3081" t="str">
        <f t="shared" si="45"/>
        <v>NA</v>
      </c>
      <c r="H88" s="3081">
        <f t="shared" si="46"/>
        <v>4.5922368030955216E-2</v>
      </c>
      <c r="I88" s="3081">
        <f t="shared" si="47"/>
        <v>0.95684757283811028</v>
      </c>
      <c r="J88" s="3194">
        <v>1.217563878868928E-2</v>
      </c>
      <c r="K88" s="3194">
        <v>14.14035561786844</v>
      </c>
      <c r="L88" s="3194">
        <v>16.254257176830379</v>
      </c>
      <c r="M88" s="3460">
        <v>-2.4090494144575594</v>
      </c>
    </row>
    <row r="89" spans="2:13" ht="18" customHeight="1" x14ac:dyDescent="0.2">
      <c r="B89" s="2634" t="s">
        <v>689</v>
      </c>
      <c r="C89" s="2636" t="s">
        <v>689</v>
      </c>
      <c r="D89" s="3461" t="s">
        <v>199</v>
      </c>
      <c r="E89" s="3461">
        <v>212.74382537257682</v>
      </c>
      <c r="F89" s="3461">
        <v>11.736680290818372</v>
      </c>
      <c r="G89" s="3081" t="str">
        <f t="shared" si="45"/>
        <v>NA</v>
      </c>
      <c r="H89" s="3081">
        <f t="shared" si="46"/>
        <v>4.5922368030955216E-2</v>
      </c>
      <c r="I89" s="3081">
        <f t="shared" si="47"/>
        <v>0.92530745320204566</v>
      </c>
      <c r="J89" s="3194">
        <v>8.4122595267307736E-3</v>
      </c>
      <c r="K89" s="3194">
        <v>9.769700245072741</v>
      </c>
      <c r="L89" s="3194">
        <v>10.860037748943792</v>
      </c>
      <c r="M89" s="3460">
        <v>-1.2942578403953016</v>
      </c>
    </row>
    <row r="90" spans="2:13" ht="18" customHeight="1" x14ac:dyDescent="0.2">
      <c r="B90" s="88" t="s">
        <v>657</v>
      </c>
      <c r="C90" s="2524" t="s">
        <v>895</v>
      </c>
      <c r="D90" s="150"/>
      <c r="E90" s="150"/>
      <c r="F90" s="150"/>
      <c r="G90" s="2135"/>
      <c r="H90" s="2135"/>
      <c r="I90" s="2135"/>
      <c r="J90" s="3081">
        <f>IF(SUM(J91,J104)=0,"NO",SUM(J91,J104))</f>
        <v>22.139711915016704</v>
      </c>
      <c r="K90" s="3081">
        <f t="shared" ref="K90:M90" si="48">IF(SUM(K91,K104)=0,"NO",SUM(K91,K104))</f>
        <v>5.2738937780232034</v>
      </c>
      <c r="L90" s="3081">
        <f t="shared" si="48"/>
        <v>5.0549332673394094</v>
      </c>
      <c r="M90" s="3193" t="str">
        <f t="shared" si="48"/>
        <v>NO</v>
      </c>
    </row>
    <row r="91" spans="2:13" ht="18" customHeight="1" x14ac:dyDescent="0.2">
      <c r="B91" s="104" t="s">
        <v>896</v>
      </c>
      <c r="C91" s="2524"/>
      <c r="D91" s="150"/>
      <c r="E91" s="150"/>
      <c r="F91" s="150"/>
      <c r="G91" s="2135"/>
      <c r="H91" s="2135"/>
      <c r="I91" s="2135"/>
      <c r="J91" s="3081">
        <f>IF(SUM(J92:J103)=0,"NO",SUM(J92:J103))</f>
        <v>22.139711915016704</v>
      </c>
      <c r="K91" s="3081">
        <f>IF(SUM(K92:K103)=0,"NO",SUM(K92:K103))</f>
        <v>5.2738937780232034</v>
      </c>
      <c r="L91" s="3081">
        <f>IF(SUM(L92:L103)=0,"NO",SUM(L92:L103))</f>
        <v>5.0549332673394094</v>
      </c>
      <c r="M91" s="3193" t="str">
        <f>IF(SUM(M92:M103)=0,"NO",SUM(M92:M103))</f>
        <v>NO</v>
      </c>
    </row>
    <row r="92" spans="2:13" ht="18" customHeight="1" x14ac:dyDescent="0.2">
      <c r="B92" s="2634" t="s">
        <v>671</v>
      </c>
      <c r="C92" s="2636" t="s">
        <v>671</v>
      </c>
      <c r="D92" s="3461">
        <v>0.38847693214292722</v>
      </c>
      <c r="E92" s="3461">
        <v>2.3269549996540557</v>
      </c>
      <c r="F92" s="3461">
        <v>5.3218171277593651E-2</v>
      </c>
      <c r="G92" s="3081">
        <f>IF(SUM(D92)=0,"NA",J92/D92)</f>
        <v>0.60000000000000009</v>
      </c>
      <c r="H92" s="3081">
        <f>IF(SUM(E92)=0,"NA",K92/E92)</f>
        <v>2.3860960072225629E-2</v>
      </c>
      <c r="I92" s="3081">
        <f>IF(SUM(F92)=0,"NA",L92/F92)</f>
        <v>1.0000000000000011</v>
      </c>
      <c r="J92" s="3194">
        <v>0.23308615928575635</v>
      </c>
      <c r="K92" s="3194">
        <v>5.5523380336611222E-2</v>
      </c>
      <c r="L92" s="3194">
        <v>5.3218171277593707E-2</v>
      </c>
      <c r="M92" s="3460" t="s">
        <v>199</v>
      </c>
    </row>
    <row r="93" spans="2:13" ht="18" customHeight="1" x14ac:dyDescent="0.2">
      <c r="B93" s="2634" t="s">
        <v>672</v>
      </c>
      <c r="C93" s="2636" t="s">
        <v>672</v>
      </c>
      <c r="D93" s="3461">
        <v>2.996822047959725</v>
      </c>
      <c r="E93" s="3461">
        <v>17.950795711617005</v>
      </c>
      <c r="F93" s="3461">
        <v>0.41054017842715113</v>
      </c>
      <c r="G93" s="3081">
        <f t="shared" ref="G93:G103" si="49">IF(SUM(D93)=0,"NA",J93/D93)</f>
        <v>0.6</v>
      </c>
      <c r="H93" s="3081">
        <f t="shared" ref="H93:H103" si="50">IF(SUM(E93)=0,"NA",K93/E93)</f>
        <v>2.3860960072225622E-2</v>
      </c>
      <c r="I93" s="3081">
        <f t="shared" ref="I93:I103" si="51">IF(SUM(F93)=0,"NA",L93/F93)</f>
        <v>1.0000000000000018</v>
      </c>
      <c r="J93" s="3194">
        <v>1.7980932287758349</v>
      </c>
      <c r="K93" s="3194">
        <v>0.42832321973957227</v>
      </c>
      <c r="L93" s="3194">
        <v>0.41054017842715185</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6.8399688409451116</v>
      </c>
      <c r="E95" s="3461">
        <v>40.971029101051769</v>
      </c>
      <c r="F95" s="3461">
        <v>0.93701994428048818</v>
      </c>
      <c r="G95" s="3081">
        <f t="shared" si="49"/>
        <v>0.6</v>
      </c>
      <c r="H95" s="3081">
        <f t="shared" si="50"/>
        <v>2.3860960072225625E-2</v>
      </c>
      <c r="I95" s="3081">
        <f t="shared" si="51"/>
        <v>1.0000000000000024</v>
      </c>
      <c r="J95" s="3194">
        <v>4.1039813045670668</v>
      </c>
      <c r="K95" s="3194">
        <v>0.97760808949819045</v>
      </c>
      <c r="L95" s="3194">
        <v>0.93701994428049051</v>
      </c>
      <c r="M95" s="3460" t="s">
        <v>199</v>
      </c>
    </row>
    <row r="96" spans="2:13" ht="18" customHeight="1" x14ac:dyDescent="0.2">
      <c r="B96" s="2634" t="s">
        <v>676</v>
      </c>
      <c r="C96" s="2636" t="s">
        <v>676</v>
      </c>
      <c r="D96" s="3461">
        <v>3.5833833226967184E-2</v>
      </c>
      <c r="E96" s="3461">
        <v>0.21464264795414584</v>
      </c>
      <c r="F96" s="3461">
        <v>4.9089428906008876E-3</v>
      </c>
      <c r="G96" s="3081">
        <f t="shared" si="49"/>
        <v>0.6</v>
      </c>
      <c r="H96" s="3081">
        <f t="shared" si="50"/>
        <v>2.3860960072225622E-2</v>
      </c>
      <c r="I96" s="3081">
        <f t="shared" si="51"/>
        <v>1.0000000000000022</v>
      </c>
      <c r="J96" s="3194">
        <v>2.1500299936180311E-2</v>
      </c>
      <c r="K96" s="3194">
        <v>5.1215796526306546E-3</v>
      </c>
      <c r="L96" s="3194">
        <v>4.9089428906008981E-3</v>
      </c>
      <c r="M96" s="3460" t="s">
        <v>199</v>
      </c>
    </row>
    <row r="97" spans="2:13" ht="18" customHeight="1" x14ac:dyDescent="0.2">
      <c r="B97" s="2634" t="s">
        <v>677</v>
      </c>
      <c r="C97" s="2636" t="s">
        <v>677</v>
      </c>
      <c r="D97" s="3461">
        <v>19.64583342551375</v>
      </c>
      <c r="E97" s="3461">
        <v>117.6774385539337</v>
      </c>
      <c r="F97" s="3461">
        <v>2.6913189474668791</v>
      </c>
      <c r="G97" s="3081">
        <f t="shared" si="49"/>
        <v>0.6</v>
      </c>
      <c r="H97" s="3081">
        <f t="shared" si="50"/>
        <v>2.3860960072225625E-2</v>
      </c>
      <c r="I97" s="3081">
        <f t="shared" si="51"/>
        <v>1.0000000000000027</v>
      </c>
      <c r="J97" s="3194">
        <v>11.78750005530825</v>
      </c>
      <c r="K97" s="3194">
        <v>2.8078966627371962</v>
      </c>
      <c r="L97" s="3194">
        <v>2.6913189474668862</v>
      </c>
      <c r="M97" s="3460" t="s">
        <v>199</v>
      </c>
    </row>
    <row r="98" spans="2:13" ht="18" customHeight="1" x14ac:dyDescent="0.2">
      <c r="B98" s="2634" t="s">
        <v>679</v>
      </c>
      <c r="C98" s="2636" t="s">
        <v>679</v>
      </c>
      <c r="D98" s="3461">
        <v>4.5784781288273564</v>
      </c>
      <c r="E98" s="3461">
        <v>27.424826781637087</v>
      </c>
      <c r="F98" s="3461">
        <v>0.62721416148592513</v>
      </c>
      <c r="G98" s="3081">
        <f t="shared" si="49"/>
        <v>0.60000000000000009</v>
      </c>
      <c r="H98" s="3081">
        <f t="shared" si="50"/>
        <v>2.3860960072225622E-2</v>
      </c>
      <c r="I98" s="3081">
        <f t="shared" si="51"/>
        <v>1.000000000000002</v>
      </c>
      <c r="J98" s="3194">
        <v>2.7470868772964141</v>
      </c>
      <c r="K98" s="3194">
        <v>0.65438269682434647</v>
      </c>
      <c r="L98" s="3194">
        <v>0.62721416148592635</v>
      </c>
      <c r="M98" s="3460" t="s">
        <v>199</v>
      </c>
    </row>
    <row r="99" spans="2:13" ht="18" customHeight="1" x14ac:dyDescent="0.2">
      <c r="B99" s="2634" t="s">
        <v>681</v>
      </c>
      <c r="C99" s="2636" t="s">
        <v>681</v>
      </c>
      <c r="D99" s="3461">
        <v>0.8324505688777013</v>
      </c>
      <c r="E99" s="3461">
        <v>4.9863321421158346</v>
      </c>
      <c r="F99" s="3461">
        <v>0.1140389384519864</v>
      </c>
      <c r="G99" s="3081">
        <f t="shared" si="49"/>
        <v>0.6</v>
      </c>
      <c r="H99" s="3081">
        <f t="shared" si="50"/>
        <v>2.3860960072225625E-2</v>
      </c>
      <c r="I99" s="3081">
        <f t="shared" si="51"/>
        <v>1.0000000000000011</v>
      </c>
      <c r="J99" s="3194">
        <v>0.49947034132662077</v>
      </c>
      <c r="K99" s="3194">
        <v>0.1189786721498812</v>
      </c>
      <c r="L99" s="3194">
        <v>0.11403893845198654</v>
      </c>
      <c r="M99" s="3460" t="s">
        <v>199</v>
      </c>
    </row>
    <row r="100" spans="2:13" ht="18" customHeight="1" x14ac:dyDescent="0.2">
      <c r="B100" s="2634" t="s">
        <v>683</v>
      </c>
      <c r="C100" s="2636" t="s">
        <v>683</v>
      </c>
      <c r="D100" s="3461">
        <v>0.24973517066331041</v>
      </c>
      <c r="E100" s="3461">
        <v>1.4958996426347504</v>
      </c>
      <c r="F100" s="3461">
        <v>3.4211681535595923E-2</v>
      </c>
      <c r="G100" s="3081">
        <f t="shared" si="49"/>
        <v>0.6</v>
      </c>
      <c r="H100" s="3081">
        <f t="shared" si="50"/>
        <v>2.3860960072225622E-2</v>
      </c>
      <c r="I100" s="3081">
        <f t="shared" si="51"/>
        <v>1.0000000000000024</v>
      </c>
      <c r="J100" s="3194">
        <v>0.14984110239798623</v>
      </c>
      <c r="K100" s="3194">
        <v>3.5693601644964358E-2</v>
      </c>
      <c r="L100" s="3194">
        <v>3.4211681535596006E-2</v>
      </c>
      <c r="M100" s="3460" t="s">
        <v>199</v>
      </c>
    </row>
    <row r="101" spans="2:13" ht="18" customHeight="1" x14ac:dyDescent="0.2">
      <c r="B101" s="2634" t="s">
        <v>686</v>
      </c>
      <c r="C101" s="2636" t="s">
        <v>686</v>
      </c>
      <c r="D101" s="3461">
        <v>4.1622528443885067E-2</v>
      </c>
      <c r="E101" s="3461">
        <v>0.2493166071057917</v>
      </c>
      <c r="F101" s="3461">
        <v>5.7019469225993201E-3</v>
      </c>
      <c r="G101" s="3081">
        <f t="shared" si="49"/>
        <v>0.6</v>
      </c>
      <c r="H101" s="3081">
        <f t="shared" si="50"/>
        <v>2.3860960072225625E-2</v>
      </c>
      <c r="I101" s="3081">
        <f t="shared" si="51"/>
        <v>1.0000000000000004</v>
      </c>
      <c r="J101" s="3194">
        <v>2.4973517066331039E-2</v>
      </c>
      <c r="K101" s="3194">
        <v>5.9489336074940594E-3</v>
      </c>
      <c r="L101" s="3194">
        <v>5.7019469225993227E-3</v>
      </c>
      <c r="M101" s="3460" t="s">
        <v>199</v>
      </c>
    </row>
    <row r="102" spans="2:13" ht="18" customHeight="1" x14ac:dyDescent="0.2">
      <c r="B102" s="2634" t="s">
        <v>688</v>
      </c>
      <c r="C102" s="2636" t="s">
        <v>688</v>
      </c>
      <c r="D102" s="3461">
        <v>0.76307968813789284</v>
      </c>
      <c r="E102" s="3461">
        <v>4.5708044636061818</v>
      </c>
      <c r="F102" s="3461">
        <v>0.10453569358098753</v>
      </c>
      <c r="G102" s="3081">
        <f t="shared" si="49"/>
        <v>0.60000000000000009</v>
      </c>
      <c r="H102" s="3081">
        <f t="shared" si="50"/>
        <v>2.3860960072225625E-2</v>
      </c>
      <c r="I102" s="3081">
        <f t="shared" si="51"/>
        <v>1.0000000000000016</v>
      </c>
      <c r="J102" s="3194">
        <v>0.45784781288273574</v>
      </c>
      <c r="K102" s="3194">
        <v>0.10906378280405776</v>
      </c>
      <c r="L102" s="3194">
        <v>0.10453569358098769</v>
      </c>
      <c r="M102" s="3460" t="s">
        <v>199</v>
      </c>
    </row>
    <row r="103" spans="2:13" ht="18" customHeight="1" x14ac:dyDescent="0.2">
      <c r="B103" s="2634" t="s">
        <v>689</v>
      </c>
      <c r="C103" s="2636" t="s">
        <v>689</v>
      </c>
      <c r="D103" s="3461">
        <v>0.52721869362254414</v>
      </c>
      <c r="E103" s="3461">
        <v>3.1580103566733615</v>
      </c>
      <c r="F103" s="3461">
        <v>7.222466101959138E-2</v>
      </c>
      <c r="G103" s="3081">
        <f t="shared" si="49"/>
        <v>0.6</v>
      </c>
      <c r="H103" s="3081">
        <f t="shared" si="50"/>
        <v>2.3860960072225625E-2</v>
      </c>
      <c r="I103" s="3081">
        <f t="shared" si="51"/>
        <v>1.000000000000002</v>
      </c>
      <c r="J103" s="3194">
        <v>0.3163312161735265</v>
      </c>
      <c r="K103" s="3194">
        <v>7.5353159028258079E-2</v>
      </c>
      <c r="L103" s="3194">
        <v>7.2224661019591518E-2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0.12648005334545853</v>
      </c>
      <c r="K117" s="3081">
        <f>IF(SUM(K118:K129)=0,"NO",SUM(K118:K129))</f>
        <v>24.92169911526825</v>
      </c>
      <c r="L117" s="3081">
        <f>IF(SUM(L118:L129)=0,"NO",SUM(L118:L129))</f>
        <v>31.071055778888685</v>
      </c>
      <c r="M117" s="3193">
        <f>IF(SUM(M118:M129)=0,"NO",SUM(M118:M129))</f>
        <v>-17.228238734224878</v>
      </c>
    </row>
    <row r="118" spans="2:13" ht="18" customHeight="1" x14ac:dyDescent="0.2">
      <c r="B118" s="2634" t="s">
        <v>671</v>
      </c>
      <c r="C118" s="2636" t="s">
        <v>671</v>
      </c>
      <c r="D118" s="3461">
        <v>0.37838376196058643</v>
      </c>
      <c r="E118" s="3461">
        <v>5.1178730898544398</v>
      </c>
      <c r="F118" s="3461">
        <v>0.50849338498561714</v>
      </c>
      <c r="G118" s="4443">
        <f>IF(SUM(D118)=0,"NA",J118/D118)</f>
        <v>3.5191199463462893E-3</v>
      </c>
      <c r="H118" s="3081">
        <f>IF(SUM(E118)=0,"NA",K118/E118)</f>
        <v>5.1266380482019994E-2</v>
      </c>
      <c r="I118" s="3081">
        <f>IF(SUM(F118)=0,"NA",L118/F118)</f>
        <v>0.6433024766118004</v>
      </c>
      <c r="J118" s="3194">
        <v>1.3315778440890461E-3</v>
      </c>
      <c r="K118" s="3194">
        <v>0.262374829083169</v>
      </c>
      <c r="L118" s="3194">
        <v>0.32711505390196516</v>
      </c>
      <c r="M118" s="3460">
        <v>-0.18137833108365212</v>
      </c>
    </row>
    <row r="119" spans="2:13" ht="18" customHeight="1" x14ac:dyDescent="0.2">
      <c r="B119" s="2634" t="s">
        <v>672</v>
      </c>
      <c r="C119" s="2636" t="s">
        <v>672</v>
      </c>
      <c r="D119" s="3461">
        <v>2.9189604494102386</v>
      </c>
      <c r="E119" s="3461">
        <v>39.480735264591395</v>
      </c>
      <c r="F119" s="3461">
        <v>3.9226632556033332</v>
      </c>
      <c r="G119" s="4443">
        <f t="shared" ref="G119:G129" si="77">IF(SUM(D119)=0,"NA",J119/D119)</f>
        <v>3.5191199463462893E-3</v>
      </c>
      <c r="H119" s="3081">
        <f t="shared" ref="H119:H129" si="78">IF(SUM(E119)=0,"NA",K119/E119)</f>
        <v>5.1266380482019994E-2</v>
      </c>
      <c r="I119" s="3081">
        <f t="shared" ref="I119:I129" si="79">IF(SUM(F119)=0,"NA",L119/F119)</f>
        <v>0.6433024766118004</v>
      </c>
      <c r="J119" s="3194">
        <v>1.0272171940115499E-2</v>
      </c>
      <c r="K119" s="3194">
        <v>2.0240343957844469</v>
      </c>
      <c r="L119" s="3194">
        <v>2.5234589872437319</v>
      </c>
      <c r="M119" s="3460">
        <v>-1.3992042683596024</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6.6622569516631822</v>
      </c>
      <c r="E121" s="3461">
        <v>90.111122617794251</v>
      </c>
      <c r="F121" s="3461">
        <v>8.9531156713539026</v>
      </c>
      <c r="G121" s="4443">
        <f t="shared" si="77"/>
        <v>3.5191199463462898E-3</v>
      </c>
      <c r="H121" s="3081">
        <f t="shared" si="78"/>
        <v>5.1266380482019994E-2</v>
      </c>
      <c r="I121" s="3081">
        <f t="shared" si="79"/>
        <v>0.64330247661180018</v>
      </c>
      <c r="J121" s="3194">
        <v>2.3445281326282135E-2</v>
      </c>
      <c r="K121" s="3194">
        <v>4.6196710977857975</v>
      </c>
      <c r="L121" s="3194">
        <v>5.7595614847738856</v>
      </c>
      <c r="M121" s="3460">
        <v>-3.1935541865800179</v>
      </c>
    </row>
    <row r="122" spans="2:13" ht="18" customHeight="1" x14ac:dyDescent="0.2">
      <c r="B122" s="2634" t="s">
        <v>676</v>
      </c>
      <c r="C122" s="2636" t="s">
        <v>676</v>
      </c>
      <c r="D122" s="3461">
        <v>3.4902820476608226E-2</v>
      </c>
      <c r="E122" s="3461">
        <v>0.47208211248732235</v>
      </c>
      <c r="F122" s="3461">
        <v>4.6904373585525315E-2</v>
      </c>
      <c r="G122" s="4443">
        <f t="shared" si="77"/>
        <v>3.5191199463462893E-3</v>
      </c>
      <c r="H122" s="3081">
        <f t="shared" si="78"/>
        <v>5.1266380482019987E-2</v>
      </c>
      <c r="I122" s="3081">
        <f t="shared" si="79"/>
        <v>0.64330247661180029</v>
      </c>
      <c r="J122" s="3194">
        <v>1.2282721172297571E-4</v>
      </c>
      <c r="K122" s="3194">
        <v>2.4201941197530826E-2</v>
      </c>
      <c r="L122" s="3194">
        <v>3.0173699691493545E-2</v>
      </c>
      <c r="M122" s="3460">
        <v>-1.6730673894031784E-2</v>
      </c>
    </row>
    <row r="123" spans="2:13" ht="18" customHeight="1" x14ac:dyDescent="0.2">
      <c r="B123" s="2634" t="s">
        <v>677</v>
      </c>
      <c r="C123" s="2636" t="s">
        <v>677</v>
      </c>
      <c r="D123" s="3461">
        <v>19.13540739057823</v>
      </c>
      <c r="E123" s="3461">
        <v>258.81815340121028</v>
      </c>
      <c r="F123" s="3461">
        <v>25.715236897844072</v>
      </c>
      <c r="G123" s="4443">
        <f t="shared" si="77"/>
        <v>3.5191199463462898E-3</v>
      </c>
      <c r="H123" s="3081">
        <f t="shared" si="78"/>
        <v>5.1266380482019994E-2</v>
      </c>
      <c r="I123" s="3081">
        <f t="shared" si="79"/>
        <v>0.64330247661180029</v>
      </c>
      <c r="J123" s="3194">
        <v>6.7339793829646055E-2</v>
      </c>
      <c r="K123" s="3194">
        <v>13.268669927920264</v>
      </c>
      <c r="L123" s="3194">
        <v>16.542675583042239</v>
      </c>
      <c r="M123" s="3460">
        <v>-9.1725613148018379</v>
      </c>
    </row>
    <row r="124" spans="2:13" ht="18" customHeight="1" x14ac:dyDescent="0.2">
      <c r="B124" s="2634" t="s">
        <v>679</v>
      </c>
      <c r="C124" s="2636" t="s">
        <v>679</v>
      </c>
      <c r="D124" s="3461">
        <v>4.4595229088211967</v>
      </c>
      <c r="E124" s="3461">
        <v>60.31778998757018</v>
      </c>
      <c r="F124" s="3461">
        <v>5.9929577516162018</v>
      </c>
      <c r="G124" s="4443">
        <f t="shared" si="77"/>
        <v>3.5191199463462898E-3</v>
      </c>
      <c r="H124" s="3081">
        <f t="shared" si="78"/>
        <v>5.1266380482019994E-2</v>
      </c>
      <c r="I124" s="3081">
        <f t="shared" si="79"/>
        <v>0.64330247661180029</v>
      </c>
      <c r="J124" s="3194">
        <v>1.5693596019620899E-2</v>
      </c>
      <c r="K124" s="3194">
        <v>3.0922747713373488</v>
      </c>
      <c r="L124" s="3194">
        <v>3.855284563844589</v>
      </c>
      <c r="M124" s="3460">
        <v>-2.1376731877716142</v>
      </c>
    </row>
    <row r="125" spans="2:13" ht="18" customHeight="1" x14ac:dyDescent="0.2">
      <c r="B125" s="2634" t="s">
        <v>681</v>
      </c>
      <c r="C125" s="2636" t="s">
        <v>681</v>
      </c>
      <c r="D125" s="3461">
        <v>0.81082234705839951</v>
      </c>
      <c r="E125" s="3461">
        <v>10.966870906830943</v>
      </c>
      <c r="F125" s="3461">
        <v>1.0896286821120369</v>
      </c>
      <c r="G125" s="4443">
        <f t="shared" si="77"/>
        <v>3.5191199463462898E-3</v>
      </c>
      <c r="H125" s="3081">
        <f t="shared" si="78"/>
        <v>5.1266380482020001E-2</v>
      </c>
      <c r="I125" s="3081">
        <f t="shared" si="79"/>
        <v>0.6433024766118004</v>
      </c>
      <c r="J125" s="3194">
        <v>2.8533810944765276E-3</v>
      </c>
      <c r="K125" s="3194">
        <v>0.5622317766067908</v>
      </c>
      <c r="L125" s="3194">
        <v>0.70096082978992547</v>
      </c>
      <c r="M125" s="3460">
        <v>-0.38866785232211171</v>
      </c>
    </row>
    <row r="126" spans="2:13" ht="18" customHeight="1" x14ac:dyDescent="0.2">
      <c r="B126" s="2634" t="s">
        <v>683</v>
      </c>
      <c r="C126" s="2636" t="s">
        <v>683</v>
      </c>
      <c r="D126" s="3461">
        <v>0.24324670411751986</v>
      </c>
      <c r="E126" s="3461">
        <v>3.2900612720492832</v>
      </c>
      <c r="F126" s="3461">
        <v>0.32688860463361108</v>
      </c>
      <c r="G126" s="4443">
        <f t="shared" si="77"/>
        <v>3.5191199463462902E-3</v>
      </c>
      <c r="H126" s="3081">
        <f t="shared" si="78"/>
        <v>5.1266380482019994E-2</v>
      </c>
      <c r="I126" s="3081">
        <f t="shared" si="79"/>
        <v>0.6433024766118004</v>
      </c>
      <c r="J126" s="3194">
        <v>8.5601432834295839E-4</v>
      </c>
      <c r="K126" s="3194">
        <v>0.16866953298203724</v>
      </c>
      <c r="L126" s="3194">
        <v>0.21028824893697767</v>
      </c>
      <c r="M126" s="3460">
        <v>-0.11660035569663353</v>
      </c>
    </row>
    <row r="127" spans="2:13" ht="18" customHeight="1" x14ac:dyDescent="0.2">
      <c r="B127" s="2634" t="s">
        <v>686</v>
      </c>
      <c r="C127" s="2636" t="s">
        <v>686</v>
      </c>
      <c r="D127" s="3461">
        <v>4.0541117352919979E-2</v>
      </c>
      <c r="E127" s="3461">
        <v>0.54834354534154717</v>
      </c>
      <c r="F127" s="3461">
        <v>5.4481434105601842E-2</v>
      </c>
      <c r="G127" s="4443">
        <f t="shared" si="77"/>
        <v>3.5191199463462893E-3</v>
      </c>
      <c r="H127" s="3081">
        <f t="shared" si="78"/>
        <v>5.1266380482019994E-2</v>
      </c>
      <c r="I127" s="3081">
        <f t="shared" si="79"/>
        <v>0.64330247661180029</v>
      </c>
      <c r="J127" s="3194">
        <v>1.4266905472382638E-4</v>
      </c>
      <c r="K127" s="3194">
        <v>2.811158883033954E-2</v>
      </c>
      <c r="L127" s="3194">
        <v>3.5048041489496265E-2</v>
      </c>
      <c r="M127" s="3460">
        <v>-1.9433392616105587E-2</v>
      </c>
    </row>
    <row r="128" spans="2:13" ht="18" customHeight="1" x14ac:dyDescent="0.2">
      <c r="B128" s="2634" t="s">
        <v>688</v>
      </c>
      <c r="C128" s="2636" t="s">
        <v>688</v>
      </c>
      <c r="D128" s="3461">
        <v>0.7432538181368662</v>
      </c>
      <c r="E128" s="3461">
        <v>10.052964997928365</v>
      </c>
      <c r="F128" s="3461">
        <v>0.99882629193603389</v>
      </c>
      <c r="G128" s="4443">
        <f t="shared" si="77"/>
        <v>3.5191199463462902E-3</v>
      </c>
      <c r="H128" s="3081">
        <f t="shared" si="78"/>
        <v>5.1266380482019994E-2</v>
      </c>
      <c r="I128" s="3081">
        <f t="shared" si="79"/>
        <v>0.64330247661180029</v>
      </c>
      <c r="J128" s="3194">
        <v>2.6155993366034839E-3</v>
      </c>
      <c r="K128" s="3194">
        <v>0.51537912855622492</v>
      </c>
      <c r="L128" s="3194">
        <v>0.64254742730743164</v>
      </c>
      <c r="M128" s="3460">
        <v>-0.35627886462860242</v>
      </c>
    </row>
    <row r="129" spans="2:13" ht="18" customHeight="1" x14ac:dyDescent="0.2">
      <c r="B129" s="2634" t="s">
        <v>689</v>
      </c>
      <c r="C129" s="2636" t="s">
        <v>689</v>
      </c>
      <c r="D129" s="3461">
        <v>0.51352081980365305</v>
      </c>
      <c r="E129" s="3461">
        <v>6.9456849076595972</v>
      </c>
      <c r="F129" s="3461">
        <v>0.69009816533762336</v>
      </c>
      <c r="G129" s="4443">
        <f t="shared" si="77"/>
        <v>3.5191199463462893E-3</v>
      </c>
      <c r="H129" s="3081">
        <f t="shared" si="78"/>
        <v>5.1266380482019987E-2</v>
      </c>
      <c r="I129" s="3081">
        <f t="shared" si="79"/>
        <v>0.64330247661180018</v>
      </c>
      <c r="J129" s="3194">
        <v>1.8071413598351341E-3</v>
      </c>
      <c r="K129" s="3194">
        <v>0.35608012518430077</v>
      </c>
      <c r="L129" s="3194">
        <v>0.4439418588669527</v>
      </c>
      <c r="M129" s="3460">
        <v>-0.24615630647067074</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58.643438030786733</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58.643438030786733</v>
      </c>
      <c r="L131" s="3196"/>
      <c r="M131" s="3193" t="str">
        <f>IF(SUM(M132:M143)=0,"NO",SUM(M132:M143))</f>
        <v>NO</v>
      </c>
    </row>
    <row r="132" spans="2:13" ht="18" customHeight="1" x14ac:dyDescent="0.2">
      <c r="B132" s="2634" t="s">
        <v>671</v>
      </c>
      <c r="C132" s="2636" t="s">
        <v>671</v>
      </c>
      <c r="D132" s="3461" t="s">
        <v>199</v>
      </c>
      <c r="E132" s="3461">
        <v>0.81925125053469727</v>
      </c>
      <c r="F132" s="346"/>
      <c r="G132" s="3668" t="str">
        <f>IF(SUM(D132)=0,"NA",J132/D132)</f>
        <v>NA</v>
      </c>
      <c r="H132" s="3081">
        <f>IF(SUM(E132)=0,"NA",K132/E132)</f>
        <v>0.75361030882026225</v>
      </c>
      <c r="I132" s="4253"/>
      <c r="J132" s="3194" t="s">
        <v>199</v>
      </c>
      <c r="K132" s="3194">
        <v>0.61739618791683926</v>
      </c>
      <c r="L132" s="3196"/>
      <c r="M132" s="3460" t="s">
        <v>199</v>
      </c>
    </row>
    <row r="133" spans="2:13" ht="18" customHeight="1" x14ac:dyDescent="0.2">
      <c r="B133" s="2634" t="s">
        <v>672</v>
      </c>
      <c r="C133" s="2636" t="s">
        <v>672</v>
      </c>
      <c r="D133" s="3461" t="s">
        <v>199</v>
      </c>
      <c r="E133" s="3461">
        <v>6.3199382184105239</v>
      </c>
      <c r="F133" s="346"/>
      <c r="G133" s="3668" t="str">
        <f t="shared" ref="G133:G143" si="80">IF(SUM(D133)=0,"NA",J133/D133)</f>
        <v>NA</v>
      </c>
      <c r="H133" s="3081">
        <f t="shared" ref="H133:H143" si="81">IF(SUM(E133)=0,"NA",K133/E133)</f>
        <v>0.75361030882026203</v>
      </c>
      <c r="I133" s="4253"/>
      <c r="J133" s="3194" t="s">
        <v>199</v>
      </c>
      <c r="K133" s="3194">
        <v>4.7627705925013313</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14.424673804057349</v>
      </c>
      <c r="F135" s="346"/>
      <c r="G135" s="3668" t="str">
        <f t="shared" si="80"/>
        <v>NA</v>
      </c>
      <c r="H135" s="3081">
        <f t="shared" si="81"/>
        <v>0.75361030882026225</v>
      </c>
      <c r="I135" s="4253"/>
      <c r="J135" s="3194" t="s">
        <v>199</v>
      </c>
      <c r="K135" s="3194">
        <v>10.870582880107206</v>
      </c>
      <c r="L135" s="3196"/>
      <c r="M135" s="3460" t="s">
        <v>199</v>
      </c>
    </row>
    <row r="136" spans="2:13" ht="18" customHeight="1" x14ac:dyDescent="0.2">
      <c r="B136" s="2634" t="s">
        <v>676</v>
      </c>
      <c r="C136" s="2636" t="s">
        <v>676</v>
      </c>
      <c r="D136" s="3461" t="s">
        <v>199</v>
      </c>
      <c r="E136" s="3461">
        <v>7.5569255864705379E-2</v>
      </c>
      <c r="F136" s="346"/>
      <c r="G136" s="3668" t="str">
        <f t="shared" si="80"/>
        <v>NA</v>
      </c>
      <c r="H136" s="3081">
        <f t="shared" si="81"/>
        <v>0.75361030882026214</v>
      </c>
      <c r="I136" s="4253"/>
      <c r="J136" s="3194" t="s">
        <v>199</v>
      </c>
      <c r="K136" s="3194">
        <v>5.6949770249518028E-2</v>
      </c>
      <c r="L136" s="3196"/>
      <c r="M136" s="3460" t="s">
        <v>199</v>
      </c>
    </row>
    <row r="137" spans="2:13" ht="18" customHeight="1" x14ac:dyDescent="0.2">
      <c r="B137" s="2634" t="s">
        <v>677</v>
      </c>
      <c r="C137" s="2636" t="s">
        <v>677</v>
      </c>
      <c r="D137" s="3461" t="s">
        <v>199</v>
      </c>
      <c r="E137" s="3461">
        <v>41.430706098468988</v>
      </c>
      <c r="F137" s="346"/>
      <c r="G137" s="3668" t="str">
        <f t="shared" si="80"/>
        <v>NA</v>
      </c>
      <c r="H137" s="3081">
        <f t="shared" si="81"/>
        <v>0.75361030882026214</v>
      </c>
      <c r="I137" s="4253"/>
      <c r="J137" s="3194" t="s">
        <v>199</v>
      </c>
      <c r="K137" s="3194">
        <v>31.222607217508731</v>
      </c>
      <c r="L137" s="3196"/>
      <c r="M137" s="3460" t="s">
        <v>199</v>
      </c>
    </row>
    <row r="138" spans="2:13" ht="18" customHeight="1" x14ac:dyDescent="0.2">
      <c r="B138" s="2634" t="s">
        <v>679</v>
      </c>
      <c r="C138" s="2636" t="s">
        <v>679</v>
      </c>
      <c r="D138" s="3461" t="s">
        <v>199</v>
      </c>
      <c r="E138" s="3461">
        <v>9.6554611670160746</v>
      </c>
      <c r="F138" s="346"/>
      <c r="G138" s="3668" t="str">
        <f t="shared" si="80"/>
        <v>NA</v>
      </c>
      <c r="H138" s="3081">
        <f t="shared" si="81"/>
        <v>0.75361030882026214</v>
      </c>
      <c r="I138" s="4253"/>
      <c r="J138" s="3194" t="s">
        <v>199</v>
      </c>
      <c r="K138" s="3194">
        <v>7.2764550718770327</v>
      </c>
      <c r="L138" s="3196"/>
      <c r="M138" s="3460" t="s">
        <v>199</v>
      </c>
    </row>
    <row r="139" spans="2:13" ht="18" customHeight="1" x14ac:dyDescent="0.2">
      <c r="B139" s="2634" t="s">
        <v>681</v>
      </c>
      <c r="C139" s="2636" t="s">
        <v>681</v>
      </c>
      <c r="D139" s="3461" t="s">
        <v>199</v>
      </c>
      <c r="E139" s="3461">
        <v>1.755538394002923</v>
      </c>
      <c r="F139" s="346"/>
      <c r="G139" s="3668" t="str">
        <f t="shared" si="80"/>
        <v>NA</v>
      </c>
      <c r="H139" s="3081">
        <f t="shared" si="81"/>
        <v>0.75361030882026214</v>
      </c>
      <c r="I139" s="4253"/>
      <c r="J139" s="3194" t="s">
        <v>199</v>
      </c>
      <c r="K139" s="3194">
        <v>1.3229918312503699</v>
      </c>
      <c r="L139" s="3196"/>
      <c r="M139" s="3460" t="s">
        <v>199</v>
      </c>
    </row>
    <row r="140" spans="2:13" ht="18" customHeight="1" x14ac:dyDescent="0.2">
      <c r="B140" s="2634" t="s">
        <v>683</v>
      </c>
      <c r="C140" s="2636" t="s">
        <v>683</v>
      </c>
      <c r="D140" s="3461" t="s">
        <v>199</v>
      </c>
      <c r="E140" s="3461">
        <v>0.52666151820087692</v>
      </c>
      <c r="F140" s="346"/>
      <c r="G140" s="3668" t="str">
        <f t="shared" si="80"/>
        <v>NA</v>
      </c>
      <c r="H140" s="3081">
        <f t="shared" si="81"/>
        <v>0.75361030882026225</v>
      </c>
      <c r="I140" s="4253"/>
      <c r="J140" s="3194" t="s">
        <v>199</v>
      </c>
      <c r="K140" s="3194">
        <v>0.39689754937511101</v>
      </c>
      <c r="L140" s="3196"/>
      <c r="M140" s="3460" t="s">
        <v>199</v>
      </c>
    </row>
    <row r="141" spans="2:13" ht="18" customHeight="1" x14ac:dyDescent="0.2">
      <c r="B141" s="2634" t="s">
        <v>686</v>
      </c>
      <c r="C141" s="2636" t="s">
        <v>686</v>
      </c>
      <c r="D141" s="3461" t="s">
        <v>199</v>
      </c>
      <c r="E141" s="3461">
        <v>8.7776919700146144E-2</v>
      </c>
      <c r="F141" s="346"/>
      <c r="G141" s="3668" t="str">
        <f t="shared" si="80"/>
        <v>NA</v>
      </c>
      <c r="H141" s="3081">
        <f t="shared" si="81"/>
        <v>0.75361030882026214</v>
      </c>
      <c r="I141" s="4253"/>
      <c r="J141" s="3194" t="s">
        <v>199</v>
      </c>
      <c r="K141" s="3194">
        <v>6.6149591562518484E-2</v>
      </c>
      <c r="L141" s="3196"/>
      <c r="M141" s="3460" t="s">
        <v>199</v>
      </c>
    </row>
    <row r="142" spans="2:13" ht="18" customHeight="1" x14ac:dyDescent="0.2">
      <c r="B142" s="2634" t="s">
        <v>688</v>
      </c>
      <c r="C142" s="2636" t="s">
        <v>688</v>
      </c>
      <c r="D142" s="3461" t="s">
        <v>199</v>
      </c>
      <c r="E142" s="3461">
        <v>1.6092435278360127</v>
      </c>
      <c r="F142" s="346"/>
      <c r="G142" s="3668" t="str">
        <f t="shared" si="80"/>
        <v>NA</v>
      </c>
      <c r="H142" s="3081">
        <f t="shared" si="81"/>
        <v>0.75361030882026214</v>
      </c>
      <c r="I142" s="4253"/>
      <c r="J142" s="3194" t="s">
        <v>199</v>
      </c>
      <c r="K142" s="3194">
        <v>1.2127425119795057</v>
      </c>
      <c r="L142" s="3196"/>
      <c r="M142" s="3460" t="s">
        <v>199</v>
      </c>
    </row>
    <row r="143" spans="2:13" ht="18" customHeight="1" x14ac:dyDescent="0.2">
      <c r="B143" s="2634" t="s">
        <v>689</v>
      </c>
      <c r="C143" s="2636" t="s">
        <v>689</v>
      </c>
      <c r="D143" s="3461" t="s">
        <v>199</v>
      </c>
      <c r="E143" s="3461">
        <v>1.1118409828685178</v>
      </c>
      <c r="F143" s="346"/>
      <c r="G143" s="3668" t="str">
        <f t="shared" si="80"/>
        <v>NA</v>
      </c>
      <c r="H143" s="3081">
        <f t="shared" si="81"/>
        <v>0.75361030882026225</v>
      </c>
      <c r="I143" s="4253"/>
      <c r="J143" s="3194" t="s">
        <v>199</v>
      </c>
      <c r="K143" s="3194">
        <v>0.83789482645856761</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112.69253309127721</v>
      </c>
      <c r="L146" s="3081">
        <f>IF(SUM(L147:L158)=0,"NO",SUM(L147:L158))</f>
        <v>44.244872896985321</v>
      </c>
      <c r="M146" s="3193" t="str">
        <f>IF(SUM(M147:M158)=0,"NO",SUM(M147:M158))</f>
        <v>NO</v>
      </c>
    </row>
    <row r="147" spans="2:13" ht="18" customHeight="1" x14ac:dyDescent="0.2">
      <c r="B147" s="2634" t="s">
        <v>671</v>
      </c>
      <c r="C147" s="2636" t="s">
        <v>671</v>
      </c>
      <c r="D147" s="3461">
        <v>0.44905866626502244</v>
      </c>
      <c r="E147" s="3461">
        <v>2.0774740495231918</v>
      </c>
      <c r="F147" s="3461">
        <v>0.46580856748410759</v>
      </c>
      <c r="G147" s="3668" t="str">
        <f>IFERROR(J147/D147,"NA")</f>
        <v>NA</v>
      </c>
      <c r="H147" s="3081">
        <f>IF(SUM(E147)=0,"NA",K147/E147)</f>
        <v>0.57108934012223611</v>
      </c>
      <c r="I147" s="3081">
        <f>IF(SUM(F147)=0,"NA",L147/F147)</f>
        <v>1.0000000000000002</v>
      </c>
      <c r="J147" s="3194" t="s">
        <v>199</v>
      </c>
      <c r="K147" s="3194">
        <v>1.1864232840632694</v>
      </c>
      <c r="L147" s="3194">
        <v>0.46580856748410771</v>
      </c>
      <c r="M147" s="3460" t="s">
        <v>199</v>
      </c>
    </row>
    <row r="148" spans="2:13" ht="18" customHeight="1" x14ac:dyDescent="0.2">
      <c r="B148" s="2634" t="s">
        <v>672</v>
      </c>
      <c r="C148" s="2636" t="s">
        <v>672</v>
      </c>
      <c r="D148" s="3461">
        <v>3.4641668540444597</v>
      </c>
      <c r="E148" s="3461">
        <v>16.026228382036052</v>
      </c>
      <c r="F148" s="3461">
        <v>3.5933803777345452</v>
      </c>
      <c r="G148" s="3668" t="str">
        <f t="shared" ref="G148:G158" si="82">IFERROR(J148/D148,"NA")</f>
        <v>NA</v>
      </c>
      <c r="H148" s="3081">
        <f t="shared" ref="H148:H158" si="83">IF(SUM(E148)=0,"NA",K148/E148)</f>
        <v>0.57108934012223622</v>
      </c>
      <c r="I148" s="3081">
        <f t="shared" ref="I148:I158" si="84">IF(SUM(F148)=0,"NA",L148/F148)</f>
        <v>1.0000000000000007</v>
      </c>
      <c r="J148" s="3194" t="s">
        <v>199</v>
      </c>
      <c r="K148" s="3194">
        <v>9.1524081913452218</v>
      </c>
      <c r="L148" s="3194">
        <v>3.5933803777345474</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7.9066400881662879</v>
      </c>
      <c r="E150" s="3461">
        <v>36.578382371961915</v>
      </c>
      <c r="F150" s="3461">
        <v>8.2015579917737522</v>
      </c>
      <c r="G150" s="3668" t="str">
        <f t="shared" si="82"/>
        <v>NA</v>
      </c>
      <c r="H150" s="3081">
        <f t="shared" si="83"/>
        <v>0.57108934012223611</v>
      </c>
      <c r="I150" s="3081">
        <f t="shared" si="84"/>
        <v>1.0000000000000002</v>
      </c>
      <c r="J150" s="3194" t="s">
        <v>199</v>
      </c>
      <c r="K150" s="3194">
        <v>20.889524251542564</v>
      </c>
      <c r="L150" s="3194">
        <v>8.201557991773754</v>
      </c>
      <c r="M150" s="3460" t="s">
        <v>199</v>
      </c>
    </row>
    <row r="151" spans="2:13" ht="18" customHeight="1" x14ac:dyDescent="0.2">
      <c r="B151" s="2634" t="s">
        <v>676</v>
      </c>
      <c r="C151" s="2636" t="s">
        <v>676</v>
      </c>
      <c r="D151" s="3461">
        <v>4.1422004820983294E-2</v>
      </c>
      <c r="E151" s="3461">
        <v>0.19163006208197989</v>
      </c>
      <c r="F151" s="3461">
        <v>4.2967046796942999E-2</v>
      </c>
      <c r="G151" s="3668" t="str">
        <f t="shared" si="82"/>
        <v>NA</v>
      </c>
      <c r="H151" s="3081">
        <f t="shared" si="83"/>
        <v>0.57108934012223611</v>
      </c>
      <c r="I151" s="3081">
        <f t="shared" si="84"/>
        <v>0.99999999999999956</v>
      </c>
      <c r="J151" s="3194" t="s">
        <v>199</v>
      </c>
      <c r="K151" s="3194">
        <v>0.10943788570198103</v>
      </c>
      <c r="L151" s="3194">
        <v>4.2967046796942979E-2</v>
      </c>
      <c r="M151" s="3460" t="s">
        <v>199</v>
      </c>
    </row>
    <row r="152" spans="2:13" ht="18" customHeight="1" x14ac:dyDescent="0.2">
      <c r="B152" s="2634" t="s">
        <v>677</v>
      </c>
      <c r="C152" s="2636" t="s">
        <v>677</v>
      </c>
      <c r="D152" s="3461">
        <v>22.709538265402568</v>
      </c>
      <c r="E152" s="3461">
        <v>105.06083050445858</v>
      </c>
      <c r="F152" s="3461">
        <v>23.556604698482015</v>
      </c>
      <c r="G152" s="3668" t="str">
        <f t="shared" si="82"/>
        <v>NA</v>
      </c>
      <c r="H152" s="3081">
        <f t="shared" si="83"/>
        <v>0.57108934012223611</v>
      </c>
      <c r="I152" s="3081">
        <f t="shared" si="84"/>
        <v>1.0000000000000007</v>
      </c>
      <c r="J152" s="3194" t="s">
        <v>199</v>
      </c>
      <c r="K152" s="3194">
        <v>59.999120365485339</v>
      </c>
      <c r="L152" s="3194">
        <v>23.556604698482033</v>
      </c>
      <c r="M152" s="3460" t="s">
        <v>199</v>
      </c>
    </row>
    <row r="153" spans="2:13" ht="18" customHeight="1" x14ac:dyDescent="0.2">
      <c r="B153" s="2634" t="s">
        <v>679</v>
      </c>
      <c r="C153" s="2636" t="s">
        <v>679</v>
      </c>
      <c r="D153" s="3461">
        <v>5.2924771381234788</v>
      </c>
      <c r="E153" s="3461">
        <v>24.484515583666187</v>
      </c>
      <c r="F153" s="3461">
        <v>5.4898866882055541</v>
      </c>
      <c r="G153" s="3668" t="str">
        <f t="shared" si="82"/>
        <v>NA</v>
      </c>
      <c r="H153" s="3081">
        <f t="shared" si="83"/>
        <v>0.57108934012223622</v>
      </c>
      <c r="I153" s="3081">
        <f t="shared" si="84"/>
        <v>0.99999999999999989</v>
      </c>
      <c r="J153" s="3194" t="s">
        <v>199</v>
      </c>
      <c r="K153" s="3194">
        <v>13.982845847888532</v>
      </c>
      <c r="L153" s="3194">
        <v>5.4898866882055533</v>
      </c>
      <c r="M153" s="3460" t="s">
        <v>199</v>
      </c>
    </row>
    <row r="154" spans="2:13" ht="18" customHeight="1" x14ac:dyDescent="0.2">
      <c r="B154" s="2634" t="s">
        <v>681</v>
      </c>
      <c r="C154" s="2636" t="s">
        <v>681</v>
      </c>
      <c r="D154" s="3461">
        <v>0.96226857056790527</v>
      </c>
      <c r="E154" s="3461">
        <v>4.4517301061211256</v>
      </c>
      <c r="F154" s="3461">
        <v>0.99816121603737362</v>
      </c>
      <c r="G154" s="3668" t="str">
        <f t="shared" si="82"/>
        <v>NA</v>
      </c>
      <c r="H154" s="3081">
        <f t="shared" si="83"/>
        <v>0.57108934012223611</v>
      </c>
      <c r="I154" s="3081">
        <f t="shared" si="84"/>
        <v>0.99999999999999978</v>
      </c>
      <c r="J154" s="3194" t="s">
        <v>199</v>
      </c>
      <c r="K154" s="3194">
        <v>2.5423356087070057</v>
      </c>
      <c r="L154" s="3194">
        <v>0.9981612160373734</v>
      </c>
      <c r="M154" s="3460" t="s">
        <v>199</v>
      </c>
    </row>
    <row r="155" spans="2:13" ht="18" customHeight="1" x14ac:dyDescent="0.2">
      <c r="B155" s="2634" t="s">
        <v>683</v>
      </c>
      <c r="C155" s="2636" t="s">
        <v>683</v>
      </c>
      <c r="D155" s="3461">
        <v>0.2886805711703716</v>
      </c>
      <c r="E155" s="3461">
        <v>1.3355190318363379</v>
      </c>
      <c r="F155" s="3461">
        <v>0.29944836481121206</v>
      </c>
      <c r="G155" s="3668" t="str">
        <f t="shared" si="82"/>
        <v>NA</v>
      </c>
      <c r="H155" s="3081">
        <f t="shared" si="83"/>
        <v>0.571089340122236</v>
      </c>
      <c r="I155" s="3081">
        <f t="shared" si="84"/>
        <v>1.0000000000000007</v>
      </c>
      <c r="J155" s="3194" t="s">
        <v>199</v>
      </c>
      <c r="K155" s="3194">
        <v>0.76270068261210167</v>
      </c>
      <c r="L155" s="3194">
        <v>0.29944836481121229</v>
      </c>
      <c r="M155" s="3460" t="s">
        <v>199</v>
      </c>
    </row>
    <row r="156" spans="2:13" ht="18" customHeight="1" x14ac:dyDescent="0.2">
      <c r="B156" s="2634" t="s">
        <v>686</v>
      </c>
      <c r="C156" s="2636" t="s">
        <v>686</v>
      </c>
      <c r="D156" s="3461">
        <v>4.8113428528395265E-2</v>
      </c>
      <c r="E156" s="3461">
        <v>0.22258650530605625</v>
      </c>
      <c r="F156" s="3461">
        <v>4.9908060801868673E-2</v>
      </c>
      <c r="G156" s="3668" t="str">
        <f t="shared" si="82"/>
        <v>NA</v>
      </c>
      <c r="H156" s="3081">
        <f t="shared" si="83"/>
        <v>0.57108934012223622</v>
      </c>
      <c r="I156" s="3081">
        <f t="shared" si="84"/>
        <v>0.99999999999999967</v>
      </c>
      <c r="J156" s="3194" t="s">
        <v>199</v>
      </c>
      <c r="K156" s="3194">
        <v>0.1271167804353503</v>
      </c>
      <c r="L156" s="3194">
        <v>4.9908060801868659E-2</v>
      </c>
      <c r="M156" s="3460" t="s">
        <v>199</v>
      </c>
    </row>
    <row r="157" spans="2:13" ht="18" customHeight="1" x14ac:dyDescent="0.2">
      <c r="B157" s="2634" t="s">
        <v>688</v>
      </c>
      <c r="C157" s="2636" t="s">
        <v>688</v>
      </c>
      <c r="D157" s="3461">
        <v>0.8820795230205799</v>
      </c>
      <c r="E157" s="3461">
        <v>4.0807525972776988</v>
      </c>
      <c r="F157" s="3461">
        <v>0.9149811147009258</v>
      </c>
      <c r="G157" s="3668" t="str">
        <f t="shared" si="82"/>
        <v>NA</v>
      </c>
      <c r="H157" s="3081">
        <f t="shared" si="83"/>
        <v>0.571089340122236</v>
      </c>
      <c r="I157" s="3081">
        <f t="shared" si="84"/>
        <v>1.0000000000000009</v>
      </c>
      <c r="J157" s="3194" t="s">
        <v>199</v>
      </c>
      <c r="K157" s="3194">
        <v>2.3304743079814219</v>
      </c>
      <c r="L157" s="3194">
        <v>0.91498111470092658</v>
      </c>
      <c r="M157" s="3460" t="s">
        <v>199</v>
      </c>
    </row>
    <row r="158" spans="2:13" ht="18" customHeight="1" x14ac:dyDescent="0.2">
      <c r="B158" s="2634" t="s">
        <v>689</v>
      </c>
      <c r="C158" s="2636" t="s">
        <v>689</v>
      </c>
      <c r="D158" s="3461">
        <v>0.60943676135967328</v>
      </c>
      <c r="E158" s="3461">
        <v>2.8194290672100459</v>
      </c>
      <c r="F158" s="3461">
        <v>0.63216877015700323</v>
      </c>
      <c r="G158" s="3668" t="str">
        <f t="shared" si="82"/>
        <v>NA</v>
      </c>
      <c r="H158" s="3081">
        <f t="shared" si="83"/>
        <v>0.57108934012223622</v>
      </c>
      <c r="I158" s="3081">
        <f t="shared" si="84"/>
        <v>0.99999999999999911</v>
      </c>
      <c r="J158" s="3194" t="s">
        <v>199</v>
      </c>
      <c r="K158" s="3194">
        <v>1.610145885514437</v>
      </c>
      <c r="L158" s="3194">
        <v>0.63216877015700268</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0.54028473394980381</v>
      </c>
      <c r="K162" s="3200">
        <f t="shared" ref="K162:M162" si="90">IF(SUM(K163,K165,K175)=0,"NO",SUM(K163,K165,K175))</f>
        <v>3.8123307364851255</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0.54028473394980381</v>
      </c>
      <c r="K163" s="3197">
        <f t="shared" ref="K163:M163" si="91">K164</f>
        <v>2.9420665351644812</v>
      </c>
      <c r="L163" s="3197">
        <f t="shared" si="91"/>
        <v>0</v>
      </c>
      <c r="M163" s="3193" t="str">
        <f t="shared" si="91"/>
        <v>NO</v>
      </c>
    </row>
    <row r="164" spans="2:13" ht="18" customHeight="1" x14ac:dyDescent="0.2">
      <c r="B164" s="2634" t="s">
        <v>905</v>
      </c>
      <c r="C164" s="2636" t="s">
        <v>905</v>
      </c>
      <c r="D164" s="4136">
        <v>6.3562909876447495</v>
      </c>
      <c r="E164" s="4136">
        <v>795.06243154844299</v>
      </c>
      <c r="F164" s="2635">
        <v>0</v>
      </c>
      <c r="G164" s="3668">
        <f t="shared" ref="G164" si="92">IF(SUM(D164)=0,"NA",J164/D164)</f>
        <v>8.500000000000002E-2</v>
      </c>
      <c r="H164" s="3081">
        <f t="shared" ref="H164" si="93">IF(SUM(E164)=0,"NA",K164/E164)</f>
        <v>3.7004220277828859E-3</v>
      </c>
      <c r="I164" s="3081" t="str">
        <f t="shared" ref="I164" si="94">IF(SUM(F164)=0,"NA",L164/F164)</f>
        <v>NA</v>
      </c>
      <c r="J164" s="3120">
        <v>0.54028473394980381</v>
      </c>
      <c r="K164" s="3120">
        <v>2.9420665351644812</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0.8702642013206443</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0.8702642013206443</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0.8702642013206443</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0.8702642013206443</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2796.5451532274419</v>
      </c>
      <c r="D10" s="2517">
        <f t="shared" ref="D10:I10" si="0">IF(SUM(D11,D21,D32:D33,D43:D48)=0,"NO",SUM(D11,D21,D32:D33,D43:D48))</f>
        <v>2077.0050473409892</v>
      </c>
      <c r="E10" s="2517">
        <f t="shared" si="0"/>
        <v>40.083676874785652</v>
      </c>
      <c r="F10" s="2517">
        <f t="shared" si="0"/>
        <v>13.911558799337836</v>
      </c>
      <c r="G10" s="2517">
        <f t="shared" si="0"/>
        <v>223.31433573821647</v>
      </c>
      <c r="H10" s="2925">
        <f t="shared" si="0"/>
        <v>13.026669584729296</v>
      </c>
      <c r="I10" s="2934" t="str">
        <f t="shared" si="0"/>
        <v>NO</v>
      </c>
      <c r="J10" s="2935">
        <f>IF(SUM(C10:E10)=0,"NO",SUM(C10)+28*SUM(D10)+265*SUM(E10))</f>
        <v>71574.860850593337</v>
      </c>
    </row>
    <row r="11" spans="1:10" ht="18" customHeight="1" x14ac:dyDescent="0.2">
      <c r="B11" s="234" t="s">
        <v>923</v>
      </c>
      <c r="C11" s="2936"/>
      <c r="D11" s="2163">
        <f>SUM(D17:D20)</f>
        <v>1849.8425778115834</v>
      </c>
      <c r="E11" s="1955"/>
      <c r="F11" s="1955"/>
      <c r="G11" s="1955"/>
      <c r="H11" s="2937"/>
      <c r="I11" s="2937"/>
      <c r="J11" s="1887">
        <f>IF(SUM(C11:E11)=0,"NO",SUM(C11)+28*SUM(D11)+265*SUM(E11))</f>
        <v>51795.592178724335</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1393.9962622923354</v>
      </c>
      <c r="E17" s="615"/>
      <c r="F17" s="615"/>
      <c r="G17" s="615"/>
      <c r="H17" s="2939"/>
      <c r="I17" s="2940"/>
      <c r="J17" s="2943">
        <f>IF(SUM(C17:E17)=0,"NO",SUM(C17)+28*SUM(D17)+265*SUM(E17))</f>
        <v>39031.895344185388</v>
      </c>
    </row>
    <row r="18" spans="2:10" ht="18" customHeight="1" x14ac:dyDescent="0.2">
      <c r="B18" s="228" t="s">
        <v>930</v>
      </c>
      <c r="C18" s="2945"/>
      <c r="D18" s="2930">
        <f>Table3.A!G24</f>
        <v>443.71479575717046</v>
      </c>
      <c r="E18" s="615"/>
      <c r="F18" s="615"/>
      <c r="G18" s="615"/>
      <c r="H18" s="2939"/>
      <c r="I18" s="2940"/>
      <c r="J18" s="2943">
        <f t="shared" ref="J18:J22" si="1">IF(SUM(C18:E18)=0,"NO",SUM(C18)+28*SUM(D18)+265*SUM(E18))</f>
        <v>12424.014281200773</v>
      </c>
    </row>
    <row r="19" spans="2:10" ht="18" customHeight="1" x14ac:dyDescent="0.2">
      <c r="B19" s="228" t="s">
        <v>931</v>
      </c>
      <c r="C19" s="2945"/>
      <c r="D19" s="2930">
        <f>Table3.A!G27</f>
        <v>3.583765429266585</v>
      </c>
      <c r="E19" s="615"/>
      <c r="F19" s="615"/>
      <c r="G19" s="615"/>
      <c r="H19" s="2939"/>
      <c r="I19" s="2940"/>
      <c r="J19" s="2943">
        <f t="shared" si="1"/>
        <v>100.34543201946438</v>
      </c>
    </row>
    <row r="20" spans="2:10" ht="18" customHeight="1" thickBot="1" x14ac:dyDescent="0.25">
      <c r="B20" s="1296" t="s">
        <v>932</v>
      </c>
      <c r="C20" s="2946"/>
      <c r="D20" s="2517">
        <f>Table3.A!G30</f>
        <v>8.5477543328109125</v>
      </c>
      <c r="E20" s="1948"/>
      <c r="F20" s="1948"/>
      <c r="G20" s="1948"/>
      <c r="H20" s="2947"/>
      <c r="I20" s="2948"/>
      <c r="J20" s="2943">
        <f t="shared" si="1"/>
        <v>239.33712131870556</v>
      </c>
    </row>
    <row r="21" spans="2:10" ht="18" customHeight="1" x14ac:dyDescent="0.2">
      <c r="B21" s="1455" t="s">
        <v>933</v>
      </c>
      <c r="C21" s="2949"/>
      <c r="D21" s="2930">
        <f>IF(SUM(D27:D31)=0,"NO",SUM(D27:D31))</f>
        <v>220.60939068850422</v>
      </c>
      <c r="E21" s="2930">
        <f>IF(SUM(E27:E31)=0,"NO",SUM(E27:E31))</f>
        <v>2.3744228304840567</v>
      </c>
      <c r="F21" s="2160"/>
      <c r="G21" s="2160"/>
      <c r="H21" s="2930" t="str">
        <f>IF(SUM(H27:H31)=0,"NE",SUM(H27:H31))</f>
        <v>NE</v>
      </c>
      <c r="I21" s="2940"/>
      <c r="J21" s="2950">
        <f t="shared" si="1"/>
        <v>6806.2849893563935</v>
      </c>
    </row>
    <row r="22" spans="2:10" ht="18" customHeight="1" x14ac:dyDescent="0.2">
      <c r="B22" s="228" t="s">
        <v>934</v>
      </c>
      <c r="C22" s="2945"/>
      <c r="D22" s="2930">
        <f>D27</f>
        <v>140.48900131536314</v>
      </c>
      <c r="E22" s="2930">
        <f>E27</f>
        <v>1.0796314439836507</v>
      </c>
      <c r="F22" s="2951"/>
      <c r="G22" s="2951"/>
      <c r="H22" s="2930" t="str">
        <f>H27</f>
        <v>NE</v>
      </c>
      <c r="I22" s="2940"/>
      <c r="J22" s="2943">
        <f t="shared" si="1"/>
        <v>4219.7943694858359</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140.48900131536314</v>
      </c>
      <c r="E27" s="2930">
        <f>'Table3.B(b)'!X15</f>
        <v>1.0796314439836507</v>
      </c>
      <c r="F27" s="615"/>
      <c r="G27" s="615"/>
      <c r="H27" s="2953" t="s">
        <v>221</v>
      </c>
      <c r="I27" s="2940"/>
      <c r="J27" s="2943">
        <f t="shared" ref="J27:J49" si="2">IF(SUM(C27:E27)=0,"NO",SUM(C27)+28*SUM(D27)+265*SUM(E27))</f>
        <v>4219.7943694858359</v>
      </c>
    </row>
    <row r="28" spans="2:10" ht="18" customHeight="1" x14ac:dyDescent="0.2">
      <c r="B28" s="228" t="s">
        <v>938</v>
      </c>
      <c r="C28" s="2945"/>
      <c r="D28" s="2930">
        <f>'Table3.B(a)'!K24</f>
        <v>22.585009596840802</v>
      </c>
      <c r="E28" s="2930" t="str">
        <f>'Table3.B(b)'!X24</f>
        <v>NA</v>
      </c>
      <c r="F28" s="2951"/>
      <c r="G28" s="2951"/>
      <c r="H28" s="2953" t="s">
        <v>221</v>
      </c>
      <c r="I28" s="2940"/>
      <c r="J28" s="2943">
        <f t="shared" si="2"/>
        <v>632.3802687115425</v>
      </c>
    </row>
    <row r="29" spans="2:10" ht="18" customHeight="1" x14ac:dyDescent="0.2">
      <c r="B29" s="228" t="s">
        <v>939</v>
      </c>
      <c r="C29" s="2945"/>
      <c r="D29" s="2930">
        <f>'Table3.B(a)'!K27</f>
        <v>52.875132249769159</v>
      </c>
      <c r="E29" s="2930">
        <f>'Table3.B(b)'!X27</f>
        <v>0.18382161936532615</v>
      </c>
      <c r="F29" s="2951"/>
      <c r="G29" s="2951"/>
      <c r="H29" s="2953" t="s">
        <v>221</v>
      </c>
      <c r="I29" s="2940"/>
      <c r="J29" s="2943">
        <f t="shared" si="2"/>
        <v>1529.2164321253479</v>
      </c>
    </row>
    <row r="30" spans="2:10" ht="18" customHeight="1" x14ac:dyDescent="0.2">
      <c r="B30" s="228" t="s">
        <v>940</v>
      </c>
      <c r="C30" s="2945"/>
      <c r="D30" s="2930">
        <f>'Table3.B(a)'!K30</f>
        <v>4.6602475265311245</v>
      </c>
      <c r="E30" s="2930">
        <f>'Table3.B(b)'!X30</f>
        <v>0.45114333345272201</v>
      </c>
      <c r="F30" s="2951"/>
      <c r="G30" s="2951"/>
      <c r="H30" s="2953" t="s">
        <v>221</v>
      </c>
      <c r="I30" s="2940"/>
      <c r="J30" s="2943">
        <f t="shared" si="2"/>
        <v>250.03991410784283</v>
      </c>
    </row>
    <row r="31" spans="2:10" ht="18" customHeight="1" thickBot="1" x14ac:dyDescent="0.25">
      <c r="B31" s="1296" t="s">
        <v>941</v>
      </c>
      <c r="C31" s="2954"/>
      <c r="D31" s="2955"/>
      <c r="E31" s="2956">
        <f>SUM('Table3.B(b)'!Y47:Z47)</f>
        <v>0.65982643368235794</v>
      </c>
      <c r="F31" s="2957"/>
      <c r="G31" s="2957"/>
      <c r="H31" s="2958"/>
      <c r="I31" s="2959"/>
      <c r="J31" s="2943">
        <f t="shared" si="2"/>
        <v>174.85400492582485</v>
      </c>
    </row>
    <row r="32" spans="2:10" ht="18" customHeight="1" thickBot="1" x14ac:dyDescent="0.25">
      <c r="B32" s="2658" t="s">
        <v>942</v>
      </c>
      <c r="C32" s="2960"/>
      <c r="D32" s="2961">
        <f>Table3.C!G11</f>
        <v>0.82707023222906406</v>
      </c>
      <c r="E32" s="2962"/>
      <c r="F32" s="2962"/>
      <c r="G32" s="2962"/>
      <c r="H32" s="2963" t="s">
        <v>221</v>
      </c>
      <c r="I32" s="2964"/>
      <c r="J32" s="2965">
        <f t="shared" si="2"/>
        <v>23.157966502413792</v>
      </c>
    </row>
    <row r="33" spans="2:10" ht="18" customHeight="1" x14ac:dyDescent="0.2">
      <c r="B33" s="2657" t="s">
        <v>943</v>
      </c>
      <c r="C33" s="2966"/>
      <c r="D33" s="2967" t="s">
        <v>221</v>
      </c>
      <c r="E33" s="2967">
        <f>IF(SUM(E34,E42)=0,"NO",SUM(E34,E42))</f>
        <v>37.468465987236449</v>
      </c>
      <c r="F33" s="2967" t="str">
        <f>IF(SUM(F34,F42)=0,"NO",SUM(F34,F42))</f>
        <v>NO</v>
      </c>
      <c r="G33" s="2967" t="str">
        <f>IF(SUM(G34,G42)=0,"NO",SUM(G34,G42))</f>
        <v>NO</v>
      </c>
      <c r="H33" s="2967" t="str">
        <f>IF(SUM(H34,H42)=0,"NO",SUM(H34,H42))</f>
        <v>NO</v>
      </c>
      <c r="I33" s="2968"/>
      <c r="J33" s="2969">
        <f t="shared" si="2"/>
        <v>9929.1434866176587</v>
      </c>
    </row>
    <row r="34" spans="2:10" ht="18" customHeight="1" x14ac:dyDescent="0.2">
      <c r="B34" s="228" t="s">
        <v>944</v>
      </c>
      <c r="C34" s="2970"/>
      <c r="D34" s="615"/>
      <c r="E34" s="2971">
        <f>IF(SUM(E35:E41)=0,"NO",SUM(E35:E41))</f>
        <v>26.959836121460931</v>
      </c>
      <c r="F34" s="615"/>
      <c r="G34" s="615"/>
      <c r="H34" s="615"/>
      <c r="I34" s="2940"/>
      <c r="J34" s="2972">
        <f t="shared" si="2"/>
        <v>7144.3565721871464</v>
      </c>
    </row>
    <row r="35" spans="2:10" ht="18" customHeight="1" x14ac:dyDescent="0.2">
      <c r="B35" s="232" t="s">
        <v>945</v>
      </c>
      <c r="C35" s="2970"/>
      <c r="D35" s="615"/>
      <c r="E35" s="4248">
        <f>Table3.D!F11</f>
        <v>9.9985482240911931</v>
      </c>
      <c r="F35" s="615"/>
      <c r="G35" s="615"/>
      <c r="H35" s="615"/>
      <c r="I35" s="2940"/>
      <c r="J35" s="2972">
        <f t="shared" si="2"/>
        <v>2649.6152793841661</v>
      </c>
    </row>
    <row r="36" spans="2:10" ht="18" customHeight="1" x14ac:dyDescent="0.2">
      <c r="B36" s="232" t="s">
        <v>946</v>
      </c>
      <c r="C36" s="2970"/>
      <c r="D36" s="615"/>
      <c r="E36" s="4248">
        <f>Table3.D!F12</f>
        <v>1.5289701450351632</v>
      </c>
      <c r="F36" s="615"/>
      <c r="G36" s="615"/>
      <c r="H36" s="615"/>
      <c r="I36" s="2940"/>
      <c r="J36" s="2972">
        <f t="shared" si="2"/>
        <v>405.17708843431825</v>
      </c>
    </row>
    <row r="37" spans="2:10" ht="18" customHeight="1" x14ac:dyDescent="0.2">
      <c r="B37" s="232" t="s">
        <v>947</v>
      </c>
      <c r="C37" s="2970"/>
      <c r="D37" s="615"/>
      <c r="E37" s="4248">
        <f>Table3.D!F16</f>
        <v>9.3720685541324311</v>
      </c>
      <c r="F37" s="615"/>
      <c r="G37" s="615"/>
      <c r="H37" s="615"/>
      <c r="I37" s="2940"/>
      <c r="J37" s="2972">
        <f t="shared" si="2"/>
        <v>2483.5981668450941</v>
      </c>
    </row>
    <row r="38" spans="2:10" ht="18" customHeight="1" x14ac:dyDescent="0.2">
      <c r="B38" s="232" t="s">
        <v>948</v>
      </c>
      <c r="C38" s="2970"/>
      <c r="D38" s="615"/>
      <c r="E38" s="4248">
        <f>Table3.D!F17</f>
        <v>5.8481743201417551</v>
      </c>
      <c r="F38" s="615"/>
      <c r="G38" s="615"/>
      <c r="H38" s="615"/>
      <c r="I38" s="2940"/>
      <c r="J38" s="2972">
        <f t="shared" si="2"/>
        <v>1549.7661948375651</v>
      </c>
    </row>
    <row r="39" spans="2:10" ht="26.25" customHeight="1" x14ac:dyDescent="0.2">
      <c r="B39" s="1708" t="s">
        <v>949</v>
      </c>
      <c r="C39" s="2970"/>
      <c r="D39" s="2951"/>
      <c r="E39" s="4248">
        <f>Table3.D!F18</f>
        <v>0.12407487806038692</v>
      </c>
      <c r="F39" s="2951"/>
      <c r="G39" s="2951"/>
      <c r="H39" s="2951"/>
      <c r="I39" s="2940"/>
      <c r="J39" s="2972">
        <f t="shared" si="2"/>
        <v>32.879842686002533</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10.508629865775516</v>
      </c>
      <c r="F42" s="2957"/>
      <c r="G42" s="2957"/>
      <c r="H42" s="2957"/>
      <c r="I42" s="2976"/>
      <c r="J42" s="2977">
        <f t="shared" si="2"/>
        <v>2784.7869144305118</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5.7260086086722168</v>
      </c>
      <c r="E44" s="2984">
        <f>SUM(Table3.F!J10,Table3.F!J20,Table3.F!J23,Table3.F!J26:J27)</f>
        <v>0.2407880570651435</v>
      </c>
      <c r="F44" s="2919">
        <v>13.911558799337836</v>
      </c>
      <c r="G44" s="2919">
        <v>223.31433573821647</v>
      </c>
      <c r="H44" s="2920">
        <v>13.026669584729296</v>
      </c>
      <c r="I44" s="2985" t="s">
        <v>199</v>
      </c>
      <c r="J44" s="2986">
        <f t="shared" si="2"/>
        <v>224.13707616508509</v>
      </c>
    </row>
    <row r="45" spans="2:10" ht="18" customHeight="1" thickBot="1" x14ac:dyDescent="0.25">
      <c r="B45" s="2660" t="s">
        <v>955</v>
      </c>
      <c r="C45" s="2987">
        <f>'Table3.G-J'!E10</f>
        <v>1318.3866247265748</v>
      </c>
      <c r="D45" s="2988"/>
      <c r="E45" s="2988"/>
      <c r="F45" s="2988"/>
      <c r="G45" s="2988"/>
      <c r="H45" s="2989"/>
      <c r="I45" s="2990"/>
      <c r="J45" s="2986">
        <f t="shared" si="2"/>
        <v>1318.3866247265748</v>
      </c>
    </row>
    <row r="46" spans="2:10" ht="18" customHeight="1" thickBot="1" x14ac:dyDescent="0.25">
      <c r="B46" s="2660" t="s">
        <v>956</v>
      </c>
      <c r="C46" s="2987">
        <f>'Table3.G-J'!E13</f>
        <v>1478.1585285008669</v>
      </c>
      <c r="D46" s="2988"/>
      <c r="E46" s="2988"/>
      <c r="F46" s="2988"/>
      <c r="G46" s="2988"/>
      <c r="H46" s="2989"/>
      <c r="I46" s="2990"/>
      <c r="J46" s="2986">
        <f t="shared" si="2"/>
        <v>1478.1585285008669</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24770.691999999999</v>
      </c>
      <c r="D10" s="3208"/>
      <c r="E10" s="3208"/>
      <c r="F10" s="3109">
        <f>IF(SUM(C10)=0,"NA",G10*1000/C10)</f>
        <v>56.276032267985705</v>
      </c>
      <c r="G10" s="3209">
        <f>G15</f>
        <v>1393.9962622923354</v>
      </c>
      <c r="I10" s="275" t="s">
        <v>977</v>
      </c>
      <c r="J10" s="276" t="s">
        <v>978</v>
      </c>
      <c r="K10" s="699">
        <v>452.64903641317767</v>
      </c>
      <c r="L10" s="699">
        <v>361.01279228211729</v>
      </c>
      <c r="M10" s="3125">
        <v>532.35397279022516</v>
      </c>
      <c r="N10" s="3125">
        <v>43.593197982053489</v>
      </c>
      <c r="O10" s="2921">
        <v>57.24512212823727</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17.505596143989575</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24770.691999999999</v>
      </c>
      <c r="D15" s="3215"/>
      <c r="E15" s="3215"/>
      <c r="F15" s="3109">
        <f>IF(SUM(C15)=0,"NA",G15*1000/C15)</f>
        <v>56.276032267985705</v>
      </c>
      <c r="G15" s="3216">
        <f>G20</f>
        <v>1393.9962622923354</v>
      </c>
      <c r="I15" s="1780" t="s">
        <v>989</v>
      </c>
      <c r="J15" s="1853" t="s">
        <v>428</v>
      </c>
      <c r="K15" s="3408">
        <v>75</v>
      </c>
      <c r="L15" s="3408">
        <v>58.013245088113166</v>
      </c>
      <c r="M15" s="1563">
        <v>80.400086617612189</v>
      </c>
      <c r="N15" s="1563">
        <v>66.574173837401602</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1393.9962622923354</v>
      </c>
      <c r="I20" s="72"/>
      <c r="J20" s="287"/>
      <c r="K20" s="287"/>
      <c r="L20" s="287"/>
      <c r="M20" s="287"/>
      <c r="N20" s="287"/>
      <c r="O20" s="287"/>
    </row>
    <row r="21" spans="2:15" ht="18" customHeight="1" x14ac:dyDescent="0.2">
      <c r="B21" s="2652" t="s">
        <v>994</v>
      </c>
      <c r="C21" s="3239">
        <v>2428.817</v>
      </c>
      <c r="D21" s="3224">
        <v>235.65845791949405</v>
      </c>
      <c r="E21" s="3224">
        <v>6.1459531992220899</v>
      </c>
      <c r="F21" s="3109">
        <f t="shared" ref="F21:F30" si="0">IF(SUM(C21)=0,"NA",G21*1000/C21)</f>
        <v>95.734565549774302</v>
      </c>
      <c r="G21" s="3206">
        <v>232.52174029490615</v>
      </c>
      <c r="I21" s="72"/>
      <c r="J21" s="287"/>
      <c r="K21" s="287"/>
      <c r="L21" s="287"/>
      <c r="M21" s="287"/>
      <c r="N21" s="287"/>
      <c r="O21" s="287"/>
    </row>
    <row r="22" spans="2:15" ht="18" customHeight="1" x14ac:dyDescent="0.2">
      <c r="B22" s="2652" t="s">
        <v>965</v>
      </c>
      <c r="C22" s="3239">
        <v>21227.704000000002</v>
      </c>
      <c r="D22" s="3224">
        <v>124.6596611666295</v>
      </c>
      <c r="E22" s="3224">
        <v>6.21225</v>
      </c>
      <c r="F22" s="3109">
        <f t="shared" si="0"/>
        <v>51.188374454077938</v>
      </c>
      <c r="G22" s="3206">
        <v>1086.6116611523282</v>
      </c>
      <c r="I22" s="72"/>
      <c r="J22" s="287"/>
      <c r="K22" s="287"/>
      <c r="L22" s="287"/>
      <c r="M22" s="287"/>
      <c r="N22" s="287"/>
      <c r="O22" s="287"/>
    </row>
    <row r="23" spans="2:15" ht="18" customHeight="1" x14ac:dyDescent="0.2">
      <c r="B23" s="2652" t="s">
        <v>966</v>
      </c>
      <c r="C23" s="3239">
        <v>1114.171</v>
      </c>
      <c r="D23" s="3224">
        <v>202.0259233174431</v>
      </c>
      <c r="E23" s="3224">
        <v>5.0316570778439473</v>
      </c>
      <c r="F23" s="3109">
        <f t="shared" si="0"/>
        <v>67.191535989629145</v>
      </c>
      <c r="G23" s="3206">
        <v>74.862860845101096</v>
      </c>
      <c r="I23" s="72"/>
      <c r="J23" s="287"/>
      <c r="K23" s="287"/>
      <c r="L23" s="287"/>
      <c r="M23" s="287"/>
      <c r="N23" s="287"/>
      <c r="O23" s="287"/>
    </row>
    <row r="24" spans="2:15" ht="18" customHeight="1" x14ac:dyDescent="0.2">
      <c r="B24" s="286" t="s">
        <v>995</v>
      </c>
      <c r="C24" s="2654">
        <f>C25</f>
        <v>66669.976999999999</v>
      </c>
      <c r="D24" s="3225"/>
      <c r="E24" s="3225"/>
      <c r="F24" s="3109">
        <f t="shared" si="0"/>
        <v>6.6553914628944675</v>
      </c>
      <c r="G24" s="3106">
        <f>G25</f>
        <v>443.71479575717046</v>
      </c>
      <c r="I24" s="72"/>
    </row>
    <row r="25" spans="2:15" ht="18" customHeight="1" x14ac:dyDescent="0.2">
      <c r="B25" s="282" t="s">
        <v>996</v>
      </c>
      <c r="C25" s="2654">
        <f>C26</f>
        <v>66669.976999999999</v>
      </c>
      <c r="D25" s="3225"/>
      <c r="E25" s="3225"/>
      <c r="F25" s="3109">
        <f t="shared" si="0"/>
        <v>6.6553914628944675</v>
      </c>
      <c r="G25" s="3106">
        <f>G26</f>
        <v>443.71479575717046</v>
      </c>
    </row>
    <row r="26" spans="2:15" ht="18" customHeight="1" x14ac:dyDescent="0.2">
      <c r="B26" s="2653" t="s">
        <v>967</v>
      </c>
      <c r="C26" s="288">
        <v>66669.976999999999</v>
      </c>
      <c r="D26" s="3226">
        <v>16.299609995402651</v>
      </c>
      <c r="E26" s="3226">
        <v>6.1773176352781753</v>
      </c>
      <c r="F26" s="3109">
        <f t="shared" si="0"/>
        <v>6.6553914628944675</v>
      </c>
      <c r="G26" s="3207">
        <v>443.71479575717046</v>
      </c>
    </row>
    <row r="27" spans="2:15" ht="18" customHeight="1" x14ac:dyDescent="0.2">
      <c r="B27" s="286" t="s">
        <v>997</v>
      </c>
      <c r="C27" s="2654">
        <f>C28</f>
        <v>2283.3910000000001</v>
      </c>
      <c r="D27" s="3225"/>
      <c r="E27" s="3225"/>
      <c r="F27" s="3109">
        <f t="shared" si="0"/>
        <v>1.5694926665063431</v>
      </c>
      <c r="G27" s="3106">
        <f>G28</f>
        <v>3.583765429266585</v>
      </c>
    </row>
    <row r="28" spans="2:15" ht="18" customHeight="1" x14ac:dyDescent="0.2">
      <c r="B28" s="282" t="s">
        <v>998</v>
      </c>
      <c r="C28" s="2654">
        <f>C29</f>
        <v>2283.3910000000001</v>
      </c>
      <c r="D28" s="3225"/>
      <c r="E28" s="3225"/>
      <c r="F28" s="3109">
        <f t="shared" si="0"/>
        <v>1.5694926665063431</v>
      </c>
      <c r="G28" s="3106">
        <f>G29</f>
        <v>3.583765429266585</v>
      </c>
    </row>
    <row r="29" spans="2:15" ht="18" customHeight="1" x14ac:dyDescent="0.2">
      <c r="B29" s="2653" t="s">
        <v>968</v>
      </c>
      <c r="C29" s="288">
        <v>2283.3910000000001</v>
      </c>
      <c r="D29" s="3226">
        <v>33.920704425040334</v>
      </c>
      <c r="E29" s="3226">
        <v>0.70000000000000007</v>
      </c>
      <c r="F29" s="3109">
        <f t="shared" si="0"/>
        <v>1.5694926665063431</v>
      </c>
      <c r="G29" s="3207">
        <v>3.583765429266585</v>
      </c>
    </row>
    <row r="30" spans="2:15" ht="18" customHeight="1" x14ac:dyDescent="0.2">
      <c r="B30" s="286" t="s">
        <v>999</v>
      </c>
      <c r="C30" s="2654">
        <f>SUM(C32:C39)</f>
        <v>100918.95699999999</v>
      </c>
      <c r="D30" s="3225"/>
      <c r="E30" s="3225"/>
      <c r="F30" s="3109">
        <f t="shared" si="0"/>
        <v>8.4699194154482918E-2</v>
      </c>
      <c r="G30" s="3106">
        <f>SUM(G32:G39)</f>
        <v>8.5477543328109125</v>
      </c>
    </row>
    <row r="31" spans="2:15" ht="18" customHeight="1" x14ac:dyDescent="0.2">
      <c r="B31" s="1304" t="s">
        <v>498</v>
      </c>
      <c r="C31" s="3240"/>
      <c r="D31" s="3228"/>
      <c r="E31" s="3228"/>
      <c r="F31" s="3228"/>
      <c r="G31" s="3229"/>
    </row>
    <row r="32" spans="2:15" ht="18" customHeight="1" x14ac:dyDescent="0.2">
      <c r="B32" s="285" t="s">
        <v>1000</v>
      </c>
      <c r="C32" s="3234">
        <v>5.1520000000000001</v>
      </c>
      <c r="D32" s="3230" t="s">
        <v>205</v>
      </c>
      <c r="E32" s="3230" t="s">
        <v>205</v>
      </c>
      <c r="F32" s="3109">
        <f t="shared" ref="F32:F41" si="1">IF(SUM(C32)=0,"NA",G32*1000/C32)</f>
        <v>76.006174462646882</v>
      </c>
      <c r="G32" s="3206">
        <v>0.39158381083155674</v>
      </c>
    </row>
    <row r="33" spans="2:7" ht="18" customHeight="1" x14ac:dyDescent="0.2">
      <c r="B33" s="285" t="s">
        <v>1001</v>
      </c>
      <c r="C33" s="3234">
        <v>2.7589999999999999</v>
      </c>
      <c r="D33" s="3230" t="s">
        <v>205</v>
      </c>
      <c r="E33" s="3230" t="s">
        <v>205</v>
      </c>
      <c r="F33" s="3109">
        <f t="shared" si="1"/>
        <v>45.996686405068701</v>
      </c>
      <c r="G33" s="3206">
        <v>0.12690485779158453</v>
      </c>
    </row>
    <row r="34" spans="2:7" ht="18" customHeight="1" x14ac:dyDescent="0.2">
      <c r="B34" s="285" t="s">
        <v>1002</v>
      </c>
      <c r="C34" s="3234">
        <v>30.123000000000001</v>
      </c>
      <c r="D34" s="3230" t="s">
        <v>205</v>
      </c>
      <c r="E34" s="3230" t="s">
        <v>205</v>
      </c>
      <c r="F34" s="3109">
        <f t="shared" si="1"/>
        <v>19.999704881094388</v>
      </c>
      <c r="G34" s="3206">
        <v>0.60245111013320629</v>
      </c>
    </row>
    <row r="35" spans="2:7" ht="18" customHeight="1" x14ac:dyDescent="0.2">
      <c r="B35" s="285" t="s">
        <v>1003</v>
      </c>
      <c r="C35" s="3234">
        <v>460.32400000000001</v>
      </c>
      <c r="D35" s="3230" t="s">
        <v>205</v>
      </c>
      <c r="E35" s="3230" t="s">
        <v>205</v>
      </c>
      <c r="F35" s="3109">
        <f t="shared" si="1"/>
        <v>4.999996687116032</v>
      </c>
      <c r="G35" s="3206">
        <v>2.3016184750000002</v>
      </c>
    </row>
    <row r="36" spans="2:7" ht="18" customHeight="1" x14ac:dyDescent="0.2">
      <c r="B36" s="285" t="s">
        <v>1004</v>
      </c>
      <c r="C36" s="3234">
        <v>222.53</v>
      </c>
      <c r="D36" s="3230" t="s">
        <v>205</v>
      </c>
      <c r="E36" s="3230" t="s">
        <v>205</v>
      </c>
      <c r="F36" s="3109">
        <f t="shared" si="1"/>
        <v>17.999997951186046</v>
      </c>
      <c r="G36" s="3206">
        <v>4.0055395440774308</v>
      </c>
    </row>
    <row r="37" spans="2:7" ht="18" customHeight="1" x14ac:dyDescent="0.2">
      <c r="B37" s="285" t="s">
        <v>1005</v>
      </c>
      <c r="C37" s="3234">
        <v>0.64600000000000002</v>
      </c>
      <c r="D37" s="3230" t="s">
        <v>205</v>
      </c>
      <c r="E37" s="3230" t="s">
        <v>205</v>
      </c>
      <c r="F37" s="3109">
        <f t="shared" si="1"/>
        <v>10.006287556295343</v>
      </c>
      <c r="G37" s="3206">
        <v>6.4640617613667918E-3</v>
      </c>
    </row>
    <row r="38" spans="2:7" ht="18" customHeight="1" x14ac:dyDescent="0.2">
      <c r="B38" s="285" t="s">
        <v>1006</v>
      </c>
      <c r="C38" s="3241">
        <v>100054.595</v>
      </c>
      <c r="D38" s="3230" t="s">
        <v>205</v>
      </c>
      <c r="E38" s="3230" t="s">
        <v>205</v>
      </c>
      <c r="F38" s="3109" t="s">
        <v>205</v>
      </c>
      <c r="G38" s="3231" t="s">
        <v>221</v>
      </c>
    </row>
    <row r="39" spans="2:7" ht="18" customHeight="1" x14ac:dyDescent="0.2">
      <c r="B39" s="285" t="s">
        <v>1007</v>
      </c>
      <c r="C39" s="2654">
        <f>SUM(C41:C45)</f>
        <v>142.828</v>
      </c>
      <c r="D39" s="3225"/>
      <c r="E39" s="3225"/>
      <c r="F39" s="3109">
        <f t="shared" si="1"/>
        <v>7.7939372757146161</v>
      </c>
      <c r="G39" s="3106">
        <f>SUM(G41:G45)</f>
        <v>1.1131924732157672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9.8109999999999999</v>
      </c>
      <c r="D43" s="2974" t="s">
        <v>205</v>
      </c>
      <c r="E43" s="2974" t="s">
        <v>205</v>
      </c>
      <c r="F43" s="3109">
        <f t="shared" si="2"/>
        <v>4.9999415727966809</v>
      </c>
      <c r="G43" s="3170">
        <v>4.9054426770708238E-2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133.017</v>
      </c>
      <c r="D45" s="3225"/>
      <c r="E45" s="3225"/>
      <c r="F45" s="3109">
        <f>IF(SUM(C45)=0,"NA",G45*1000/C45)</f>
        <v>8.0000153848384716</v>
      </c>
      <c r="G45" s="3106">
        <f>G46</f>
        <v>1.0641380464450589</v>
      </c>
    </row>
    <row r="46" spans="2:7" ht="18" customHeight="1" thickBot="1" x14ac:dyDescent="0.25">
      <c r="B46" s="2655" t="s">
        <v>1013</v>
      </c>
      <c r="C46" s="3243">
        <v>133.017</v>
      </c>
      <c r="D46" s="3115" t="s">
        <v>205</v>
      </c>
      <c r="E46" s="3115" t="s">
        <v>205</v>
      </c>
      <c r="F46" s="3232">
        <f>IF(SUM(C46)=0,"NA",G46*1000/C46)</f>
        <v>8.0000153848384716</v>
      </c>
      <c r="G46" s="3172">
        <v>1.0641380464450589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1" t="s">
        <v>1014</v>
      </c>
      <c r="C67" s="4502"/>
      <c r="D67" s="4502"/>
      <c r="E67" s="4502"/>
      <c r="F67" s="4502"/>
      <c r="G67" s="4503"/>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24770.691999999999</v>
      </c>
      <c r="D10" s="2951"/>
      <c r="E10" s="2951"/>
      <c r="F10" s="2951"/>
      <c r="G10" s="2951"/>
      <c r="H10" s="2951"/>
      <c r="I10" s="3246"/>
      <c r="J10" s="3247">
        <f>IF(SUM(C10)=0,"NA",K10*1000/C10)</f>
        <v>5.6715816140850297</v>
      </c>
      <c r="K10" s="3248">
        <f>K15</f>
        <v>140.48900131536314</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24770.691999999999</v>
      </c>
      <c r="D15" s="3260"/>
      <c r="E15" s="3260"/>
      <c r="F15" s="3260"/>
      <c r="G15" s="3260"/>
      <c r="H15" s="3260"/>
      <c r="I15" s="3255"/>
      <c r="J15" s="3254">
        <f>IF(SUM(C15)=0,"NA",K15*1000/C15)</f>
        <v>5.6715816140850297</v>
      </c>
      <c r="K15" s="3248">
        <f>SUM(K17:K20)</f>
        <v>140.48900131536314</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24770.691999999999</v>
      </c>
      <c r="D20" s="3260"/>
      <c r="E20" s="3260"/>
      <c r="F20" s="3260"/>
      <c r="G20" s="3260"/>
      <c r="H20" s="3260"/>
      <c r="I20" s="3255"/>
      <c r="J20" s="3268">
        <f>IF(SUM(C20)=0,"NA",K20*1000/C20)</f>
        <v>5.6715816140850297</v>
      </c>
      <c r="K20" s="3248">
        <f>SUM(K21:K23)</f>
        <v>140.48900131536314</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2428.817</v>
      </c>
      <c r="D21" s="3290">
        <v>12.334637154814219</v>
      </c>
      <c r="E21" s="3290">
        <v>87.665362845185783</v>
      </c>
      <c r="F21" s="3290" t="s">
        <v>199</v>
      </c>
      <c r="G21" s="3265">
        <f>Table3.A!K10</f>
        <v>452.64903641317767</v>
      </c>
      <c r="H21" s="3266">
        <v>3.3821791037371614</v>
      </c>
      <c r="I21" s="3267">
        <v>0.24</v>
      </c>
      <c r="J21" s="3268">
        <f>IF(SUM(C21)=0,"NA",K21*1000/C21)</f>
        <v>14.020702534647524</v>
      </c>
      <c r="K21" s="3244">
        <v>34.053720668094996</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21227.704000000002</v>
      </c>
      <c r="D22" s="3290" t="s">
        <v>199</v>
      </c>
      <c r="E22" s="3290">
        <v>82.335318285196948</v>
      </c>
      <c r="F22" s="3290">
        <v>17.664681714803049</v>
      </c>
      <c r="G22" s="3265">
        <f>Table3.A!L10</f>
        <v>361.01279228211729</v>
      </c>
      <c r="H22" s="3266" t="s">
        <v>205</v>
      </c>
      <c r="I22" s="3267" t="s">
        <v>205</v>
      </c>
      <c r="J22" s="3268">
        <f t="shared" ref="J22:J46" si="0">IF(SUM(C22)=0,"NA",K22*1000/C22)</f>
        <v>4.8318309868724194</v>
      </c>
      <c r="K22" s="3244">
        <v>102.56867796735561</v>
      </c>
      <c r="M22" s="1597" t="s">
        <v>1049</v>
      </c>
      <c r="N22" s="4510" t="s">
        <v>994</v>
      </c>
      <c r="O22" s="1693" t="s">
        <v>1051</v>
      </c>
      <c r="P22" s="1694" t="s">
        <v>1039</v>
      </c>
      <c r="Q22" s="4444">
        <v>6.8404199091171094</v>
      </c>
      <c r="R22" s="4445" t="s">
        <v>199</v>
      </c>
      <c r="S22" s="4445">
        <v>2.601084717829397</v>
      </c>
      <c r="T22" s="4445">
        <v>1.6656978891262348</v>
      </c>
      <c r="U22" s="4445" t="s">
        <v>199</v>
      </c>
      <c r="V22" s="4445" t="s">
        <v>274</v>
      </c>
      <c r="W22" s="4445" t="s">
        <v>199</v>
      </c>
      <c r="X22" s="4445">
        <v>88.982490060404146</v>
      </c>
      <c r="Y22" s="4446" t="s">
        <v>199</v>
      </c>
      <c r="Z22" s="4446" t="s">
        <v>199</v>
      </c>
      <c r="AA22" s="4446" t="s">
        <v>199</v>
      </c>
      <c r="AB22" s="4447" t="s">
        <v>199</v>
      </c>
    </row>
    <row r="23" spans="2:28" s="84" customFormat="1" ht="18" customHeight="1" x14ac:dyDescent="0.2">
      <c r="B23" s="2661" t="s">
        <v>966</v>
      </c>
      <c r="C23" s="3290">
        <f>Table3.A!C23</f>
        <v>1114.171</v>
      </c>
      <c r="D23" s="3290" t="s">
        <v>199</v>
      </c>
      <c r="E23" s="3290">
        <v>100</v>
      </c>
      <c r="F23" s="3290" t="s">
        <v>199</v>
      </c>
      <c r="G23" s="3265">
        <f>Table3.A!M10</f>
        <v>532.35397279022516</v>
      </c>
      <c r="H23" s="3266">
        <v>1.7323646366332279</v>
      </c>
      <c r="I23" s="3267">
        <v>0.19</v>
      </c>
      <c r="J23" s="3268">
        <f t="shared" si="0"/>
        <v>3.47038531779459</v>
      </c>
      <c r="K23" s="3244">
        <v>3.8666026799125164</v>
      </c>
      <c r="M23" s="1667" t="s">
        <v>1061</v>
      </c>
      <c r="N23" s="4511"/>
      <c r="O23" s="1695" t="s">
        <v>1042</v>
      </c>
      <c r="P23" s="1696" t="s">
        <v>1040</v>
      </c>
      <c r="Q23" s="4448">
        <v>8.2696363031277986</v>
      </c>
      <c r="R23" s="4165" t="s">
        <v>199</v>
      </c>
      <c r="S23" s="4165">
        <v>1.4666670578117293</v>
      </c>
      <c r="T23" s="4166">
        <v>4.187137840592305</v>
      </c>
      <c r="U23" s="4166" t="s">
        <v>199</v>
      </c>
      <c r="V23" s="4166" t="s">
        <v>274</v>
      </c>
      <c r="W23" s="4166" t="s">
        <v>199</v>
      </c>
      <c r="X23" s="4166">
        <v>86.006808668810393</v>
      </c>
      <c r="Y23" s="4166" t="s">
        <v>199</v>
      </c>
      <c r="Z23" s="4166" t="s">
        <v>199</v>
      </c>
      <c r="AA23" s="4166" t="s">
        <v>199</v>
      </c>
      <c r="AB23" s="4140" t="s">
        <v>199</v>
      </c>
    </row>
    <row r="24" spans="2:28" s="84" customFormat="1" ht="18" customHeight="1" thickBot="1" x14ac:dyDescent="0.25">
      <c r="B24" s="1646" t="s">
        <v>1062</v>
      </c>
      <c r="C24" s="4172">
        <f>C25</f>
        <v>66669.976999999999</v>
      </c>
      <c r="D24" s="3270"/>
      <c r="E24" s="3270"/>
      <c r="F24" s="3270"/>
      <c r="G24" s="3270"/>
      <c r="H24" s="3270"/>
      <c r="I24" s="3271"/>
      <c r="J24" s="3268">
        <f t="shared" si="0"/>
        <v>0.33875832290808805</v>
      </c>
      <c r="K24" s="3248">
        <f>K25</f>
        <v>22.585009596840802</v>
      </c>
      <c r="M24" s="1659"/>
      <c r="N24" s="4511"/>
      <c r="O24" s="1697"/>
      <c r="P24" s="1696" t="s">
        <v>1041</v>
      </c>
      <c r="Q24" s="4449" t="s">
        <v>199</v>
      </c>
      <c r="R24" s="4450" t="s">
        <v>199</v>
      </c>
      <c r="S24" s="4450" t="s">
        <v>199</v>
      </c>
      <c r="T24" s="4451" t="s">
        <v>199</v>
      </c>
      <c r="U24" s="4451" t="s">
        <v>199</v>
      </c>
      <c r="V24" s="4451" t="s">
        <v>274</v>
      </c>
      <c r="W24" s="4451" t="s">
        <v>199</v>
      </c>
      <c r="X24" s="4451" t="s">
        <v>199</v>
      </c>
      <c r="Y24" s="4451" t="s">
        <v>199</v>
      </c>
      <c r="Z24" s="4451" t="s">
        <v>199</v>
      </c>
      <c r="AA24" s="4451" t="s">
        <v>199</v>
      </c>
      <c r="AB24" s="4452" t="s">
        <v>199</v>
      </c>
    </row>
    <row r="25" spans="2:28" s="84" customFormat="1" ht="18" customHeight="1" x14ac:dyDescent="0.2">
      <c r="B25" s="1647" t="s">
        <v>1063</v>
      </c>
      <c r="C25" s="4172">
        <f>C26</f>
        <v>66669.976999999999</v>
      </c>
      <c r="D25" s="3217"/>
      <c r="E25" s="3217"/>
      <c r="F25" s="3217"/>
      <c r="G25" s="3217"/>
      <c r="H25" s="3217"/>
      <c r="I25" s="3227"/>
      <c r="J25" s="3268">
        <f t="shared" si="0"/>
        <v>0.33875832290808805</v>
      </c>
      <c r="K25" s="3248">
        <f>K26</f>
        <v>22.585009596840802</v>
      </c>
      <c r="M25" s="1659"/>
      <c r="N25" s="4511"/>
      <c r="O25" s="1698" t="s">
        <v>1054</v>
      </c>
      <c r="P25" s="1694" t="s">
        <v>1039</v>
      </c>
      <c r="Q25" s="4453">
        <v>0.7</v>
      </c>
      <c r="R25" s="4454" t="s">
        <v>199</v>
      </c>
      <c r="S25" s="4454">
        <v>3.2137931034482765E-2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66669.976999999999</v>
      </c>
      <c r="D26" s="3290" t="s">
        <v>199</v>
      </c>
      <c r="E26" s="3290">
        <v>100</v>
      </c>
      <c r="F26" s="3290" t="s">
        <v>199</v>
      </c>
      <c r="G26" s="3272">
        <f>Table3.A!N10</f>
        <v>43.593197982053489</v>
      </c>
      <c r="H26" s="3014" t="s">
        <v>205</v>
      </c>
      <c r="I26" s="3104" t="s">
        <v>205</v>
      </c>
      <c r="J26" s="3268">
        <f t="shared" si="0"/>
        <v>0.33875832290808805</v>
      </c>
      <c r="K26" s="3244">
        <v>22.585009596840802</v>
      </c>
      <c r="M26" s="1659"/>
      <c r="N26" s="4511"/>
      <c r="O26" s="1699"/>
      <c r="P26" s="1696" t="s">
        <v>1040</v>
      </c>
      <c r="Q26" s="4448">
        <v>0.73639261003326761</v>
      </c>
      <c r="R26" s="4165" t="s">
        <v>199</v>
      </c>
      <c r="S26" s="4165">
        <v>6.1451216307196077E-2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2283.3910000000001</v>
      </c>
      <c r="D27" s="3217"/>
      <c r="E27" s="3217"/>
      <c r="F27" s="3217"/>
      <c r="G27" s="3217"/>
      <c r="H27" s="3217"/>
      <c r="I27" s="3227"/>
      <c r="J27" s="3268">
        <f t="shared" si="0"/>
        <v>23.156407400120766</v>
      </c>
      <c r="K27" s="3248">
        <f>K28</f>
        <v>52.875132249769159</v>
      </c>
      <c r="M27" s="1659"/>
      <c r="N27" s="4512"/>
      <c r="O27" s="1700"/>
      <c r="P27" s="1696" t="s">
        <v>1041</v>
      </c>
      <c r="Q27" s="4449" t="s">
        <v>199</v>
      </c>
      <c r="R27" s="4450" t="s">
        <v>199</v>
      </c>
      <c r="S27" s="4450" t="s">
        <v>199</v>
      </c>
      <c r="T27" s="4451" t="s">
        <v>199</v>
      </c>
      <c r="U27" s="4451" t="s">
        <v>199</v>
      </c>
      <c r="V27" s="4451" t="s">
        <v>274</v>
      </c>
      <c r="W27" s="4451" t="s">
        <v>199</v>
      </c>
      <c r="X27" s="4451" t="s">
        <v>199</v>
      </c>
      <c r="Y27" s="4451" t="s">
        <v>199</v>
      </c>
      <c r="Z27" s="4451" t="s">
        <v>199</v>
      </c>
      <c r="AA27" s="4451" t="s">
        <v>199</v>
      </c>
      <c r="AB27" s="4452" t="s">
        <v>199</v>
      </c>
    </row>
    <row r="28" spans="2:28" s="84" customFormat="1" ht="18" customHeight="1" x14ac:dyDescent="0.2">
      <c r="B28" s="1647" t="s">
        <v>1065</v>
      </c>
      <c r="C28" s="4172">
        <f>C29</f>
        <v>2283.3910000000001</v>
      </c>
      <c r="D28" s="3217"/>
      <c r="E28" s="3217"/>
      <c r="F28" s="3217"/>
      <c r="G28" s="3217"/>
      <c r="H28" s="3217"/>
      <c r="I28" s="3227"/>
      <c r="J28" s="3268">
        <f t="shared" si="0"/>
        <v>23.156407400120766</v>
      </c>
      <c r="K28" s="3248">
        <f>K29</f>
        <v>52.875132249769159</v>
      </c>
      <c r="M28" s="1598"/>
      <c r="N28" s="4510"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2283.3910000000001</v>
      </c>
      <c r="D29" s="3290">
        <v>0.45841055348405407</v>
      </c>
      <c r="E29" s="3290">
        <v>99.541589446515943</v>
      </c>
      <c r="F29" s="3290" t="s">
        <v>199</v>
      </c>
      <c r="G29" s="3272">
        <f>Table3.A!O10</f>
        <v>57.24512212823727</v>
      </c>
      <c r="H29" s="3014">
        <v>0.39640137827955002</v>
      </c>
      <c r="I29" s="3104">
        <v>0.45</v>
      </c>
      <c r="J29" s="3268">
        <f t="shared" si="0"/>
        <v>23.156407400120766</v>
      </c>
      <c r="K29" s="3244">
        <v>52.875132249769159</v>
      </c>
      <c r="M29" s="1667"/>
      <c r="N29" s="4511"/>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100918.95699999999</v>
      </c>
      <c r="D30" s="3217"/>
      <c r="E30" s="3217"/>
      <c r="F30" s="3217"/>
      <c r="G30" s="3217"/>
      <c r="H30" s="3217"/>
      <c r="I30" s="3227"/>
      <c r="J30" s="3268">
        <f t="shared" si="0"/>
        <v>4.6178118215501614E-2</v>
      </c>
      <c r="K30" s="3248">
        <f>SUM(K32:K39)</f>
        <v>4.6602475265311245</v>
      </c>
      <c r="M30" s="1659"/>
      <c r="N30" s="4511"/>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1"/>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5.1520000000000001</v>
      </c>
      <c r="D32" s="3290" t="s">
        <v>199</v>
      </c>
      <c r="E32" s="3290">
        <v>30.906369136234275</v>
      </c>
      <c r="F32" s="3290">
        <v>69.093630863765725</v>
      </c>
      <c r="G32" s="3274" t="s">
        <v>205</v>
      </c>
      <c r="H32" s="3274" t="s">
        <v>205</v>
      </c>
      <c r="I32" s="3274" t="s">
        <v>205</v>
      </c>
      <c r="J32" s="3268">
        <f t="shared" si="0"/>
        <v>8.9219319239120214</v>
      </c>
      <c r="K32" s="3244">
        <v>4.5965793271994737E-2</v>
      </c>
      <c r="M32" s="1659"/>
      <c r="N32" s="4511"/>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2.7589999999999999</v>
      </c>
      <c r="D33" s="3290" t="s">
        <v>199</v>
      </c>
      <c r="E33" s="3290">
        <v>17.493843315595214</v>
      </c>
      <c r="F33" s="3290">
        <v>82.506156684404786</v>
      </c>
      <c r="G33" s="3274" t="s">
        <v>205</v>
      </c>
      <c r="H33" s="3274" t="s">
        <v>205</v>
      </c>
      <c r="I33" s="3274" t="s">
        <v>205</v>
      </c>
      <c r="J33" s="3254">
        <f t="shared" si="0"/>
        <v>10.069984507856596</v>
      </c>
      <c r="K33" s="3244">
        <v>2.7783087257176344E-2</v>
      </c>
      <c r="M33" s="1659"/>
      <c r="N33" s="4512"/>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30.123000000000001</v>
      </c>
      <c r="D34" s="3290" t="s">
        <v>199</v>
      </c>
      <c r="E34" s="3290">
        <v>98.491322971022257</v>
      </c>
      <c r="F34" s="3290">
        <v>1.5086770289777371</v>
      </c>
      <c r="G34" s="3274" t="s">
        <v>205</v>
      </c>
      <c r="H34" s="3274" t="s">
        <v>205</v>
      </c>
      <c r="I34" s="3274" t="s">
        <v>205</v>
      </c>
      <c r="J34" s="3254">
        <f t="shared" si="0"/>
        <v>1.0429605904073735</v>
      </c>
      <c r="K34" s="3244">
        <v>3.1417101864841313E-2</v>
      </c>
      <c r="M34" s="1598"/>
      <c r="N34" s="4510"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460.32400000000001</v>
      </c>
      <c r="D35" s="3290" t="s">
        <v>199</v>
      </c>
      <c r="E35" s="3290">
        <v>99.831102328981785</v>
      </c>
      <c r="F35" s="3290">
        <v>0.16889767101821687</v>
      </c>
      <c r="G35" s="3274" t="s">
        <v>205</v>
      </c>
      <c r="H35" s="3274" t="s">
        <v>205</v>
      </c>
      <c r="I35" s="3274" t="s">
        <v>205</v>
      </c>
      <c r="J35" s="3254">
        <f t="shared" si="0"/>
        <v>0.35904662420392758</v>
      </c>
      <c r="K35" s="3244">
        <v>0.16527777824004877</v>
      </c>
      <c r="M35" s="1667"/>
      <c r="N35" s="4511"/>
      <c r="O35" s="1695" t="s">
        <v>1042</v>
      </c>
      <c r="P35" s="1696" t="s">
        <v>1040</v>
      </c>
      <c r="Q35" s="4448">
        <v>1.7999999999999996</v>
      </c>
      <c r="R35" s="4165" t="s">
        <v>199</v>
      </c>
      <c r="S35" s="4165" t="s">
        <v>199</v>
      </c>
      <c r="T35" s="4166" t="s">
        <v>274</v>
      </c>
      <c r="U35" s="4166" t="s">
        <v>199</v>
      </c>
      <c r="V35" s="4166">
        <v>100</v>
      </c>
      <c r="W35" s="4166" t="s">
        <v>199</v>
      </c>
      <c r="X35" s="4166" t="s">
        <v>199</v>
      </c>
      <c r="Y35" s="4166">
        <v>18.999999999999996</v>
      </c>
      <c r="Z35" s="4166" t="s">
        <v>199</v>
      </c>
      <c r="AA35" s="4166" t="s">
        <v>199</v>
      </c>
      <c r="AB35" s="4140" t="s">
        <v>199</v>
      </c>
    </row>
    <row r="36" spans="2:28" s="84" customFormat="1" ht="18" customHeight="1" thickBot="1" x14ac:dyDescent="0.25">
      <c r="B36" s="1647" t="s">
        <v>1071</v>
      </c>
      <c r="C36" s="3274">
        <f>Table3.A!C36</f>
        <v>222.53</v>
      </c>
      <c r="D36" s="3290" t="s">
        <v>199</v>
      </c>
      <c r="E36" s="3290">
        <v>97.11537488707107</v>
      </c>
      <c r="F36" s="3290">
        <v>2.884625112928926</v>
      </c>
      <c r="G36" s="3274" t="s">
        <v>205</v>
      </c>
      <c r="H36" s="3274" t="s">
        <v>205</v>
      </c>
      <c r="I36" s="3274" t="s">
        <v>205</v>
      </c>
      <c r="J36" s="3254">
        <f t="shared" si="0"/>
        <v>3.2468513850301717</v>
      </c>
      <c r="K36" s="3244">
        <v>0.72252183871076414</v>
      </c>
      <c r="M36" s="1659"/>
      <c r="N36" s="4511"/>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0.64600000000000002</v>
      </c>
      <c r="D37" s="3290" t="s">
        <v>199</v>
      </c>
      <c r="E37" s="3290">
        <v>93.085004642196907</v>
      </c>
      <c r="F37" s="3290">
        <v>6.9149953578030869</v>
      </c>
      <c r="G37" s="3274" t="s">
        <v>205</v>
      </c>
      <c r="H37" s="3274" t="s">
        <v>205</v>
      </c>
      <c r="I37" s="3274" t="s">
        <v>205</v>
      </c>
      <c r="J37" s="3254">
        <f t="shared" si="0"/>
        <v>1.1981759907957066</v>
      </c>
      <c r="K37" s="3244">
        <v>7.7402169005402646E-4</v>
      </c>
      <c r="M37" s="1659"/>
      <c r="N37" s="4511"/>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100054.595</v>
      </c>
      <c r="D38" s="3290">
        <v>1.1242654946344779</v>
      </c>
      <c r="E38" s="3290">
        <v>98.875734505365529</v>
      </c>
      <c r="F38" s="3290" t="s">
        <v>199</v>
      </c>
      <c r="G38" s="3274" t="s">
        <v>205</v>
      </c>
      <c r="H38" s="3274" t="s">
        <v>205</v>
      </c>
      <c r="I38" s="3274" t="s">
        <v>205</v>
      </c>
      <c r="J38" s="3254">
        <f t="shared" si="0"/>
        <v>3.6134993999812459E-2</v>
      </c>
      <c r="K38" s="3244">
        <v>3.6154721899786653</v>
      </c>
      <c r="M38" s="1659"/>
      <c r="N38" s="4511"/>
      <c r="O38" s="1699"/>
      <c r="P38" s="1696" t="s">
        <v>1040</v>
      </c>
      <c r="Q38" s="4448">
        <v>0.76256707734709517</v>
      </c>
      <c r="R38" s="4165" t="s">
        <v>199</v>
      </c>
      <c r="S38" s="4165" t="s">
        <v>199</v>
      </c>
      <c r="T38" s="4166" t="s">
        <v>274</v>
      </c>
      <c r="U38" s="4166" t="s">
        <v>199</v>
      </c>
      <c r="V38" s="4166">
        <v>2.1223493805288079E-2</v>
      </c>
      <c r="W38" s="4166" t="s">
        <v>199</v>
      </c>
      <c r="X38" s="4166" t="s">
        <v>199</v>
      </c>
      <c r="Y38" s="4166">
        <v>9.9999999999999985E-3</v>
      </c>
      <c r="Z38" s="4166" t="s">
        <v>199</v>
      </c>
      <c r="AA38" s="4166" t="s">
        <v>199</v>
      </c>
      <c r="AB38" s="4140" t="s">
        <v>199</v>
      </c>
    </row>
    <row r="39" spans="2:28" s="84" customFormat="1" ht="18" customHeight="1" thickBot="1" x14ac:dyDescent="0.25">
      <c r="B39" s="1647" t="s">
        <v>1074</v>
      </c>
      <c r="C39" s="4172">
        <f>SUM(C41:C45)</f>
        <v>142.828</v>
      </c>
      <c r="D39" s="3261"/>
      <c r="E39" s="3261"/>
      <c r="F39" s="3261"/>
      <c r="G39" s="3261"/>
      <c r="H39" s="3261"/>
      <c r="I39" s="3262"/>
      <c r="J39" s="3254">
        <f t="shared" si="0"/>
        <v>0.35732290249517074</v>
      </c>
      <c r="K39" s="3248">
        <f>SUM(K41:K45)</f>
        <v>5.1035715517580252E-2</v>
      </c>
      <c r="M39" s="1663"/>
      <c r="N39" s="4512"/>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3" t="s">
        <v>968</v>
      </c>
      <c r="N40" s="4514"/>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5"/>
      <c r="N41" s="4516"/>
      <c r="O41" s="1695" t="s">
        <v>1042</v>
      </c>
      <c r="P41" s="1696" t="s">
        <v>1040</v>
      </c>
      <c r="Q41" s="4448">
        <v>66.107681779299512</v>
      </c>
      <c r="R41" s="4165" t="s">
        <v>199</v>
      </c>
      <c r="S41" s="4165" t="s">
        <v>199</v>
      </c>
      <c r="T41" s="4166" t="s">
        <v>274</v>
      </c>
      <c r="U41" s="4166" t="s">
        <v>274</v>
      </c>
      <c r="V41" s="4166">
        <v>27.018771104295531</v>
      </c>
      <c r="W41" s="4166" t="s">
        <v>274</v>
      </c>
      <c r="X41" s="4166" t="s">
        <v>199</v>
      </c>
      <c r="Y41" s="4166" t="s">
        <v>199</v>
      </c>
      <c r="Z41" s="4166">
        <v>5.4152093457899815</v>
      </c>
      <c r="AA41" s="4166" t="s">
        <v>199</v>
      </c>
      <c r="AB41" s="4140">
        <v>22.358960622409356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5"/>
      <c r="N42" s="4516"/>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9.8109999999999999</v>
      </c>
      <c r="D43" s="3290" t="s">
        <v>199</v>
      </c>
      <c r="E43" s="3290">
        <v>100</v>
      </c>
      <c r="F43" s="3290" t="s">
        <v>199</v>
      </c>
      <c r="G43" s="3274" t="s">
        <v>205</v>
      </c>
      <c r="H43" s="3274" t="s">
        <v>205</v>
      </c>
      <c r="I43" s="3274" t="s">
        <v>205</v>
      </c>
      <c r="J43" s="3254">
        <f t="shared" si="0"/>
        <v>0.35731837387468801</v>
      </c>
      <c r="K43" s="3244">
        <v>3.5056505660845637E-3</v>
      </c>
      <c r="M43" s="4515"/>
      <c r="N43" s="4516"/>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5"/>
      <c r="N44" s="4516"/>
      <c r="O44" s="1699"/>
      <c r="P44" s="1696" t="s">
        <v>1040</v>
      </c>
      <c r="Q44" s="4448">
        <v>0.75450754415015064</v>
      </c>
      <c r="R44" s="4165" t="s">
        <v>199</v>
      </c>
      <c r="S44" s="4165" t="s">
        <v>199</v>
      </c>
      <c r="T44" s="4166" t="s">
        <v>274</v>
      </c>
      <c r="U44" s="4166" t="s">
        <v>274</v>
      </c>
      <c r="V44" s="4166">
        <v>1.9111153733501366E-2</v>
      </c>
      <c r="W44" s="4166" t="s">
        <v>274</v>
      </c>
      <c r="X44" s="4166" t="s">
        <v>199</v>
      </c>
      <c r="Y44" s="4166" t="s">
        <v>199</v>
      </c>
      <c r="Z44" s="4166">
        <v>0.10000000000000002</v>
      </c>
      <c r="AA44" s="4166" t="s">
        <v>199</v>
      </c>
      <c r="AB44" s="4140">
        <v>3.9425109267735584E-2</v>
      </c>
    </row>
    <row r="45" spans="2:28" s="84" customFormat="1" ht="18" customHeight="1" thickBot="1" x14ac:dyDescent="0.25">
      <c r="B45" s="2663" t="s">
        <v>1079</v>
      </c>
      <c r="C45" s="4172">
        <f>C46</f>
        <v>133.017</v>
      </c>
      <c r="D45" s="3261"/>
      <c r="E45" s="3261"/>
      <c r="F45" s="3261"/>
      <c r="G45" s="3261"/>
      <c r="H45" s="3261"/>
      <c r="I45" s="3262"/>
      <c r="J45" s="3254">
        <f t="shared" si="0"/>
        <v>0.35732323651484915</v>
      </c>
      <c r="K45" s="3248">
        <f>K46</f>
        <v>4.7530064951495692E-2</v>
      </c>
      <c r="M45" s="4517"/>
      <c r="N45" s="4518"/>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133.017</v>
      </c>
      <c r="D46" s="3021" t="s">
        <v>199</v>
      </c>
      <c r="E46" s="3021">
        <v>100</v>
      </c>
      <c r="F46" s="3021" t="s">
        <v>199</v>
      </c>
      <c r="G46" s="3021" t="s">
        <v>205</v>
      </c>
      <c r="H46" s="3021" t="s">
        <v>205</v>
      </c>
      <c r="I46" s="3275" t="s">
        <v>205</v>
      </c>
      <c r="J46" s="3276">
        <f t="shared" si="0"/>
        <v>0.35732323651484915</v>
      </c>
      <c r="K46" s="3245">
        <v>4.7530064951495692E-2</v>
      </c>
      <c r="M46" s="4513" t="s">
        <v>1080</v>
      </c>
      <c r="N46" s="4514"/>
      <c r="O46" s="1693" t="s">
        <v>1051</v>
      </c>
      <c r="P46" s="1694" t="s">
        <v>1039</v>
      </c>
      <c r="Q46" s="4444" t="s">
        <v>199</v>
      </c>
      <c r="R46" s="4445" t="s">
        <v>199</v>
      </c>
      <c r="S46" s="4445" t="s">
        <v>199</v>
      </c>
      <c r="T46" s="4446">
        <v>50.698533966058335</v>
      </c>
      <c r="U46" s="4446" t="s">
        <v>199</v>
      </c>
      <c r="V46" s="4446" t="s">
        <v>199</v>
      </c>
      <c r="W46" s="4446" t="s">
        <v>274</v>
      </c>
      <c r="X46" s="4446">
        <v>1.9256725318727403</v>
      </c>
      <c r="Y46" s="4446">
        <v>17.407035442973804</v>
      </c>
      <c r="Z46" s="4446">
        <v>0.55031902752460993</v>
      </c>
      <c r="AA46" s="4446" t="s">
        <v>199</v>
      </c>
      <c r="AB46" s="4447">
        <v>97.741081867193586</v>
      </c>
    </row>
    <row r="47" spans="2:28" s="84" customFormat="1" ht="17.25" customHeight="1" x14ac:dyDescent="0.2">
      <c r="B47" s="504" t="s">
        <v>560</v>
      </c>
      <c r="C47" s="504" t="s">
        <v>560</v>
      </c>
      <c r="D47" s="504"/>
      <c r="E47" s="504"/>
      <c r="F47" s="504"/>
      <c r="G47" s="504"/>
      <c r="H47" s="504"/>
      <c r="I47" s="504"/>
      <c r="J47" s="504"/>
      <c r="K47" s="504"/>
      <c r="M47" s="4515"/>
      <c r="N47" s="4516"/>
      <c r="O47" s="1695" t="s">
        <v>1042</v>
      </c>
      <c r="P47" s="1696" t="s">
        <v>1040</v>
      </c>
      <c r="Q47" s="4448" t="s">
        <v>199</v>
      </c>
      <c r="R47" s="4165" t="s">
        <v>199</v>
      </c>
      <c r="S47" s="4165" t="s">
        <v>199</v>
      </c>
      <c r="T47" s="4166">
        <v>43.213370272633924</v>
      </c>
      <c r="U47" s="4166" t="s">
        <v>199</v>
      </c>
      <c r="V47" s="4166" t="s">
        <v>199</v>
      </c>
      <c r="W47" s="4166" t="s">
        <v>274</v>
      </c>
      <c r="X47" s="4166">
        <v>2.6932527319951016</v>
      </c>
      <c r="Y47" s="4166">
        <v>18.80247545080265</v>
      </c>
      <c r="Z47" s="4166">
        <v>0.22778705794483106</v>
      </c>
      <c r="AA47" s="4166" t="s">
        <v>199</v>
      </c>
      <c r="AB47" s="4140">
        <v>97.306747268004884</v>
      </c>
    </row>
    <row r="48" spans="2:28" s="84" customFormat="1" ht="14.25" thickBot="1" x14ac:dyDescent="0.25">
      <c r="B48" s="311"/>
      <c r="C48" s="1648"/>
      <c r="D48" s="1648"/>
      <c r="E48" s="1648"/>
      <c r="F48" s="1648"/>
      <c r="G48" s="1648"/>
      <c r="H48" s="1648"/>
      <c r="I48" s="1648"/>
      <c r="J48" s="1648"/>
      <c r="K48" s="1648"/>
      <c r="M48" s="4515"/>
      <c r="N48" s="4516"/>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5"/>
      <c r="N49" s="4516"/>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5"/>
      <c r="N50" s="4516"/>
      <c r="O50" s="1699"/>
      <c r="P50" s="1696" t="s">
        <v>1040</v>
      </c>
      <c r="Q50" s="4448" t="s">
        <v>199</v>
      </c>
      <c r="R50" s="4165" t="s">
        <v>199</v>
      </c>
      <c r="S50" s="4165" t="s">
        <v>199</v>
      </c>
      <c r="T50" s="4166">
        <v>0.02</v>
      </c>
      <c r="U50" s="4166" t="s">
        <v>199</v>
      </c>
      <c r="V50" s="4166" t="s">
        <v>199</v>
      </c>
      <c r="W50" s="4166" t="s">
        <v>274</v>
      </c>
      <c r="X50" s="4166">
        <v>1.4839054940947281E-2</v>
      </c>
      <c r="Y50" s="4166">
        <v>0.01</v>
      </c>
      <c r="Z50" s="4166">
        <v>0.1</v>
      </c>
      <c r="AA50" s="4166" t="s">
        <v>199</v>
      </c>
      <c r="AB50" s="4140">
        <v>1.5000000000000001E-2</v>
      </c>
    </row>
    <row r="51" spans="2:28" s="84" customFormat="1" ht="14.25" thickBot="1" x14ac:dyDescent="0.25">
      <c r="B51" s="72"/>
      <c r="C51" s="311"/>
      <c r="D51" s="311"/>
      <c r="E51" s="311"/>
      <c r="F51" s="311"/>
      <c r="G51" s="311"/>
      <c r="H51" s="311"/>
      <c r="I51" s="311"/>
      <c r="J51" s="311"/>
      <c r="K51" s="311"/>
      <c r="M51" s="4517"/>
      <c r="N51" s="4518"/>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3" t="s">
        <v>1081</v>
      </c>
      <c r="N52" s="4514"/>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5"/>
      <c r="N53" s="4516"/>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5"/>
      <c r="N54" s="4516"/>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5"/>
      <c r="N55" s="4516"/>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5"/>
      <c r="N56" s="4516"/>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7"/>
      <c r="N57" s="4518"/>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3" t="s">
        <v>1082</v>
      </c>
      <c r="N58" s="4514"/>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5"/>
      <c r="N59" s="4516"/>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5"/>
      <c r="N60" s="4516"/>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5"/>
      <c r="N61" s="4516"/>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5"/>
      <c r="N62" s="4516"/>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7"/>
      <c r="N63" s="4518"/>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7" t="s">
        <v>1083</v>
      </c>
      <c r="C65" s="4508"/>
      <c r="D65" s="4508"/>
      <c r="E65" s="4508"/>
      <c r="F65" s="4508"/>
      <c r="G65" s="4508"/>
      <c r="H65" s="4508"/>
      <c r="I65" s="4508"/>
      <c r="J65" s="4508"/>
      <c r="K65" s="4509"/>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24770.691999999999</v>
      </c>
      <c r="D10" s="3453"/>
      <c r="E10" s="3454"/>
      <c r="F10" s="3441">
        <f>F15</f>
        <v>25927827.150170445</v>
      </c>
      <c r="G10" s="3441" t="str">
        <f t="shared" ref="G10:R10" si="0">G15</f>
        <v>NO</v>
      </c>
      <c r="H10" s="3441">
        <f t="shared" si="0"/>
        <v>4776181.2221767977</v>
      </c>
      <c r="I10" s="3441">
        <f t="shared" si="0"/>
        <v>27962343.63458319</v>
      </c>
      <c r="J10" s="3441" t="str">
        <f t="shared" si="0"/>
        <v>NO</v>
      </c>
      <c r="K10" s="3441">
        <f t="shared" si="0"/>
        <v>80108339.157650635</v>
      </c>
      <c r="L10" s="3441" t="str">
        <f t="shared" si="0"/>
        <v>NO</v>
      </c>
      <c r="M10" s="3441">
        <f t="shared" si="0"/>
        <v>1024428539.6034087</v>
      </c>
      <c r="N10" s="3441">
        <f t="shared" si="0"/>
        <v>11464144.200173065</v>
      </c>
      <c r="O10" s="3441" t="str">
        <f t="shared" si="0"/>
        <v>NO</v>
      </c>
      <c r="P10" s="3441" t="str">
        <f t="shared" si="0"/>
        <v>NO</v>
      </c>
      <c r="Q10" s="3441" t="str">
        <f t="shared" si="0"/>
        <v>NO</v>
      </c>
      <c r="R10" s="3441">
        <f t="shared" si="0"/>
        <v>1174667374.9681628</v>
      </c>
      <c r="S10" s="2670"/>
      <c r="T10" s="2671"/>
      <c r="U10" s="3419">
        <f>IF(SUM(X10)=0,"NA",X10*1000/C10)</f>
        <v>4.3585033635057543E-2</v>
      </c>
      <c r="V10" s="3411"/>
      <c r="W10" s="3412"/>
      <c r="X10" s="3278">
        <f t="shared" ref="X10" si="1">X15</f>
        <v>1.0796314439836507</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24770.691999999999</v>
      </c>
      <c r="D15" s="3456"/>
      <c r="E15" s="3456"/>
      <c r="F15" s="2668">
        <f>F20</f>
        <v>25927827.150170445</v>
      </c>
      <c r="G15" s="2668" t="str">
        <f t="shared" ref="G15:R15" si="2">G20</f>
        <v>NO</v>
      </c>
      <c r="H15" s="2668">
        <f t="shared" si="2"/>
        <v>4776181.2221767977</v>
      </c>
      <c r="I15" s="2668">
        <f t="shared" si="2"/>
        <v>27962343.63458319</v>
      </c>
      <c r="J15" s="2668" t="str">
        <f t="shared" si="2"/>
        <v>NO</v>
      </c>
      <c r="K15" s="2668">
        <f t="shared" si="2"/>
        <v>80108339.157650635</v>
      </c>
      <c r="L15" s="2668" t="str">
        <f t="shared" si="2"/>
        <v>NO</v>
      </c>
      <c r="M15" s="2668">
        <f t="shared" si="2"/>
        <v>1024428539.6034087</v>
      </c>
      <c r="N15" s="2668">
        <f t="shared" si="2"/>
        <v>11464144.200173065</v>
      </c>
      <c r="O15" s="2668" t="str">
        <f t="shared" si="2"/>
        <v>NO</v>
      </c>
      <c r="P15" s="2668" t="str">
        <f t="shared" si="2"/>
        <v>NO</v>
      </c>
      <c r="Q15" s="2668" t="str">
        <f t="shared" si="2"/>
        <v>NO</v>
      </c>
      <c r="R15" s="2668">
        <f t="shared" si="2"/>
        <v>1174667374.9681628</v>
      </c>
      <c r="S15" s="2676"/>
      <c r="T15" s="2677"/>
      <c r="U15" s="3419">
        <f>IF(SUM(X15)=0,"NA",X15*1000/C15)</f>
        <v>4.3585033635057543E-2</v>
      </c>
      <c r="V15" s="3417"/>
      <c r="W15" s="3418"/>
      <c r="X15" s="3281">
        <f t="shared" ref="X15" si="3">X20</f>
        <v>1.0796314439836507</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24770.691999999999</v>
      </c>
      <c r="D20" s="3455"/>
      <c r="E20" s="3455"/>
      <c r="F20" s="2668">
        <f>IF(SUM(F21:F23)=0,"NO",SUM(F21:F23))</f>
        <v>25927827.150170445</v>
      </c>
      <c r="G20" s="2668" t="str">
        <f t="shared" ref="G20:Q20" si="6">IF(SUM(G21:G23)=0,"NO",SUM(G21:G23))</f>
        <v>NO</v>
      </c>
      <c r="H20" s="2668">
        <f t="shared" si="6"/>
        <v>4776181.2221767977</v>
      </c>
      <c r="I20" s="2668">
        <f t="shared" si="6"/>
        <v>27962343.63458319</v>
      </c>
      <c r="J20" s="2668" t="str">
        <f t="shared" si="6"/>
        <v>NO</v>
      </c>
      <c r="K20" s="2668">
        <f t="shared" si="6"/>
        <v>80108339.157650635</v>
      </c>
      <c r="L20" s="2668" t="str">
        <f t="shared" si="6"/>
        <v>NO</v>
      </c>
      <c r="M20" s="2668">
        <f t="shared" si="6"/>
        <v>1024428539.6034087</v>
      </c>
      <c r="N20" s="2668">
        <f t="shared" si="6"/>
        <v>11464144.200173065</v>
      </c>
      <c r="O20" s="2668" t="str">
        <f t="shared" si="6"/>
        <v>NO</v>
      </c>
      <c r="P20" s="2668" t="str">
        <f t="shared" si="6"/>
        <v>NO</v>
      </c>
      <c r="Q20" s="2668" t="str">
        <f t="shared" si="6"/>
        <v>NO</v>
      </c>
      <c r="R20" s="3445">
        <f>IF(SUM(F20:Q20)=0,"NO",SUM(F20:Q20))</f>
        <v>1174667374.9681628</v>
      </c>
      <c r="S20" s="2676"/>
      <c r="T20" s="2677"/>
      <c r="U20" s="3419">
        <f t="shared" si="4"/>
        <v>4.3585033635057543E-2</v>
      </c>
      <c r="V20" s="3417"/>
      <c r="W20" s="3418"/>
      <c r="X20" s="3281">
        <f t="shared" ref="X20" si="7">IF(SUM(X21:X23)=0,"NO",SUM(X21:X23))</f>
        <v>1.0796314439836507</v>
      </c>
      <c r="Y20" s="3142"/>
      <c r="Z20" s="3420"/>
    </row>
    <row r="21" spans="2:26" ht="18" customHeight="1" x14ac:dyDescent="0.2">
      <c r="B21" s="2666" t="s">
        <v>994</v>
      </c>
      <c r="C21" s="3458">
        <f>Table3.A!C21</f>
        <v>2428.817</v>
      </c>
      <c r="D21" s="3274">
        <v>126.96984436076951</v>
      </c>
      <c r="E21" s="3457">
        <f>'Table3.B(a)'!G21</f>
        <v>452.64903641317767</v>
      </c>
      <c r="F21" s="3442">
        <v>24485877.045332734</v>
      </c>
      <c r="G21" s="3442" t="s">
        <v>199</v>
      </c>
      <c r="H21" s="3442">
        <v>4776181.2221767977</v>
      </c>
      <c r="I21" s="3442">
        <v>11671191.350126728</v>
      </c>
      <c r="J21" s="3442" t="s">
        <v>199</v>
      </c>
      <c r="K21" s="3442" t="s">
        <v>274</v>
      </c>
      <c r="L21" s="3442" t="s">
        <v>199</v>
      </c>
      <c r="M21" s="3442">
        <v>267297231.86429083</v>
      </c>
      <c r="N21" s="3442" t="s">
        <v>199</v>
      </c>
      <c r="O21" s="3442" t="s">
        <v>199</v>
      </c>
      <c r="P21" s="3442" t="s">
        <v>199</v>
      </c>
      <c r="Q21" s="3442" t="s">
        <v>199</v>
      </c>
      <c r="R21" s="3445">
        <f t="shared" ref="R21:R46" si="8">IF(SUM(F21:Q21)=0,"NO",SUM(F21:Q21))</f>
        <v>308230481.4819271</v>
      </c>
      <c r="S21" s="2676"/>
      <c r="T21" s="2677"/>
      <c r="U21" s="3419">
        <f t="shared" si="4"/>
        <v>3.7755918931313366E-2</v>
      </c>
      <c r="V21" s="3417"/>
      <c r="W21" s="3418"/>
      <c r="X21" s="3282">
        <v>9.170221775099574E-2</v>
      </c>
      <c r="Y21" s="3142"/>
      <c r="Z21" s="3420"/>
    </row>
    <row r="22" spans="2:26" ht="18" customHeight="1" x14ac:dyDescent="0.2">
      <c r="B22" s="2666" t="s">
        <v>965</v>
      </c>
      <c r="C22" s="3458">
        <f>Table3.A!C22</f>
        <v>21227.704000000002</v>
      </c>
      <c r="D22" s="3274">
        <v>35.667130635200337</v>
      </c>
      <c r="E22" s="3457">
        <f>'Table3.B(a)'!G22</f>
        <v>361.01279228211729</v>
      </c>
      <c r="F22" s="3446" t="s">
        <v>199</v>
      </c>
      <c r="G22" s="3442" t="s">
        <v>199</v>
      </c>
      <c r="H22" s="3446" t="s">
        <v>199</v>
      </c>
      <c r="I22" s="3446" t="s">
        <v>199</v>
      </c>
      <c r="J22" s="3446" t="s">
        <v>199</v>
      </c>
      <c r="K22" s="3446" t="s">
        <v>199</v>
      </c>
      <c r="L22" s="3446" t="s">
        <v>199</v>
      </c>
      <c r="M22" s="3446">
        <v>757131307.73911786</v>
      </c>
      <c r="N22" s="3446" t="s">
        <v>199</v>
      </c>
      <c r="O22" s="3446" t="s">
        <v>199</v>
      </c>
      <c r="P22" s="3446" t="s">
        <v>199</v>
      </c>
      <c r="Q22" s="3446" t="s">
        <v>199</v>
      </c>
      <c r="R22" s="3445">
        <f t="shared" si="8"/>
        <v>757131307.73911786</v>
      </c>
      <c r="S22" s="2676"/>
      <c r="T22" s="2677"/>
      <c r="U22" s="3419" t="str">
        <f>IF(SUM(X22)=0,"NA",X22*1000/C22)</f>
        <v>NA</v>
      </c>
      <c r="V22" s="3417"/>
      <c r="W22" s="3418"/>
      <c r="X22" s="3282" t="s">
        <v>205</v>
      </c>
      <c r="Y22" s="3142"/>
      <c r="Z22" s="3420"/>
    </row>
    <row r="23" spans="2:26" ht="18" customHeight="1" x14ac:dyDescent="0.2">
      <c r="B23" s="2666" t="s">
        <v>966</v>
      </c>
      <c r="C23" s="3458">
        <f>Table3.A!C23</f>
        <v>1114.171</v>
      </c>
      <c r="D23" s="3274">
        <v>71.899505896732251</v>
      </c>
      <c r="E23" s="3457">
        <f>'Table3.B(a)'!G23</f>
        <v>532.35397279022516</v>
      </c>
      <c r="F23" s="3446">
        <v>1441950.104837711</v>
      </c>
      <c r="G23" s="3442" t="s">
        <v>199</v>
      </c>
      <c r="H23" s="3446" t="s">
        <v>199</v>
      </c>
      <c r="I23" s="3446">
        <v>16291152.284456462</v>
      </c>
      <c r="J23" s="3446" t="s">
        <v>274</v>
      </c>
      <c r="K23" s="3446">
        <v>80108339.157650635</v>
      </c>
      <c r="L23" s="3446" t="s">
        <v>199</v>
      </c>
      <c r="M23" s="3446" t="s">
        <v>199</v>
      </c>
      <c r="N23" s="3446">
        <v>11464144.200173065</v>
      </c>
      <c r="O23" s="3446" t="s">
        <v>199</v>
      </c>
      <c r="P23" s="3446" t="s">
        <v>199</v>
      </c>
      <c r="Q23" s="3446" t="s">
        <v>199</v>
      </c>
      <c r="R23" s="3445">
        <f t="shared" si="8"/>
        <v>109305585.74711788</v>
      </c>
      <c r="S23" s="2676"/>
      <c r="T23" s="2677"/>
      <c r="U23" s="3419">
        <f t="shared" ref="U23:U30" si="9">IF(SUM(X23)=0,"NA",X23*1000/C23)</f>
        <v>0.88669443580263263</v>
      </c>
      <c r="V23" s="3417"/>
      <c r="W23" s="3418"/>
      <c r="X23" s="3282">
        <v>0.98792922623265511</v>
      </c>
      <c r="Y23" s="3142"/>
      <c r="Z23" s="3420"/>
    </row>
    <row r="24" spans="2:26" ht="18" customHeight="1" x14ac:dyDescent="0.2">
      <c r="B24" s="349" t="s">
        <v>1062</v>
      </c>
      <c r="C24" s="3281">
        <f>C25</f>
        <v>66669.976999999999</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451057589.93543518</v>
      </c>
      <c r="N24" s="2668" t="str">
        <f t="shared" si="10"/>
        <v>NO</v>
      </c>
      <c r="O24" s="2668" t="str">
        <f t="shared" si="10"/>
        <v>NO</v>
      </c>
      <c r="P24" s="2668" t="str">
        <f t="shared" si="10"/>
        <v>NO</v>
      </c>
      <c r="Q24" s="2668" t="str">
        <f t="shared" si="10"/>
        <v>NO</v>
      </c>
      <c r="R24" s="3445">
        <f t="shared" si="8"/>
        <v>451057589.93543518</v>
      </c>
      <c r="S24" s="2676"/>
      <c r="T24" s="2677"/>
      <c r="U24" s="3419" t="str">
        <f t="shared" si="9"/>
        <v>NA</v>
      </c>
      <c r="V24" s="3417"/>
      <c r="W24" s="3418"/>
      <c r="X24" s="3281" t="str">
        <f t="shared" ref="X24:X25" si="11">X25</f>
        <v>NA</v>
      </c>
      <c r="Y24" s="3142"/>
      <c r="Z24" s="3420"/>
    </row>
    <row r="25" spans="2:26" ht="18" customHeight="1" x14ac:dyDescent="0.2">
      <c r="B25" s="348" t="s">
        <v>1063</v>
      </c>
      <c r="C25" s="3281">
        <f>C26</f>
        <v>66669.976999999999</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451057589.93543518</v>
      </c>
      <c r="N25" s="2668" t="str">
        <f t="shared" si="10"/>
        <v>NO</v>
      </c>
      <c r="O25" s="2668" t="str">
        <f t="shared" si="10"/>
        <v>NO</v>
      </c>
      <c r="P25" s="2668" t="str">
        <f t="shared" si="10"/>
        <v>NO</v>
      </c>
      <c r="Q25" s="2668" t="str">
        <f t="shared" si="10"/>
        <v>NO</v>
      </c>
      <c r="R25" s="3445">
        <f t="shared" si="8"/>
        <v>451057589.93543518</v>
      </c>
      <c r="S25" s="2676"/>
      <c r="T25" s="2677"/>
      <c r="U25" s="3419" t="str">
        <f t="shared" si="9"/>
        <v>NA</v>
      </c>
      <c r="V25" s="3417"/>
      <c r="W25" s="3418"/>
      <c r="X25" s="3281" t="str">
        <f t="shared" si="11"/>
        <v>NA</v>
      </c>
      <c r="Y25" s="3142"/>
      <c r="Z25" s="3420"/>
    </row>
    <row r="26" spans="2:26" ht="18" customHeight="1" x14ac:dyDescent="0.2">
      <c r="B26" s="2661" t="s">
        <v>967</v>
      </c>
      <c r="C26" s="3458">
        <f>Table3.A!C26</f>
        <v>66669.976999999999</v>
      </c>
      <c r="D26" s="3274">
        <v>6.7655279548743898</v>
      </c>
      <c r="E26" s="3457">
        <f>'Table3.B(a)'!G26</f>
        <v>43.593197982053489</v>
      </c>
      <c r="F26" s="3446" t="s">
        <v>199</v>
      </c>
      <c r="G26" s="3442" t="s">
        <v>199</v>
      </c>
      <c r="H26" s="3446" t="s">
        <v>199</v>
      </c>
      <c r="I26" s="3446" t="s">
        <v>199</v>
      </c>
      <c r="J26" s="3446" t="s">
        <v>199</v>
      </c>
      <c r="K26" s="3446" t="s">
        <v>199</v>
      </c>
      <c r="L26" s="3446" t="s">
        <v>199</v>
      </c>
      <c r="M26" s="3442">
        <v>451057589.93543518</v>
      </c>
      <c r="N26" s="3446" t="s">
        <v>199</v>
      </c>
      <c r="O26" s="3446" t="s">
        <v>199</v>
      </c>
      <c r="P26" s="3446" t="s">
        <v>199</v>
      </c>
      <c r="Q26" s="3446" t="s">
        <v>199</v>
      </c>
      <c r="R26" s="3445">
        <f t="shared" si="8"/>
        <v>451057589.93543518</v>
      </c>
      <c r="S26" s="2676"/>
      <c r="T26" s="2677"/>
      <c r="U26" s="3419" t="str">
        <f t="shared" si="9"/>
        <v>NA</v>
      </c>
      <c r="V26" s="3417"/>
      <c r="W26" s="3418"/>
      <c r="X26" s="3282" t="s">
        <v>205</v>
      </c>
      <c r="Y26" s="3142"/>
      <c r="Z26" s="3420"/>
    </row>
    <row r="27" spans="2:26" ht="18" customHeight="1" x14ac:dyDescent="0.2">
      <c r="B27" s="349" t="s">
        <v>1064</v>
      </c>
      <c r="C27" s="3281">
        <f>C28</f>
        <v>2283.3910000000001</v>
      </c>
      <c r="D27" s="3455"/>
      <c r="E27" s="3455"/>
      <c r="F27" s="2668">
        <f>F28</f>
        <v>19643260.414013568</v>
      </c>
      <c r="G27" s="2668" t="str">
        <f t="shared" ref="G27:G28" si="12">G28</f>
        <v>NO</v>
      </c>
      <c r="H27" s="2668" t="str">
        <f t="shared" ref="H27:H28" si="13">H28</f>
        <v>NO</v>
      </c>
      <c r="I27" s="2668" t="str">
        <f t="shared" ref="I27:I28" si="14">I28</f>
        <v>IE</v>
      </c>
      <c r="J27" s="2668" t="str">
        <f t="shared" ref="J27:J28" si="15">J28</f>
        <v>IE</v>
      </c>
      <c r="K27" s="2668">
        <f t="shared" ref="K27:K28" si="16">K28</f>
        <v>7079214.9931878746</v>
      </c>
      <c r="L27" s="2668" t="str">
        <f t="shared" ref="L27:L28" si="17">L28</f>
        <v>IE</v>
      </c>
      <c r="M27" s="2668" t="str">
        <f t="shared" ref="M27:M28" si="18">M28</f>
        <v>NO</v>
      </c>
      <c r="N27" s="2668" t="str">
        <f t="shared" ref="N27:N28" si="19">N28</f>
        <v>NO</v>
      </c>
      <c r="O27" s="2668">
        <f t="shared" ref="O27:O28" si="20">O28</f>
        <v>1510232.4557200491</v>
      </c>
      <c r="P27" s="2668" t="str">
        <f t="shared" ref="P27:P28" si="21">P28</f>
        <v>NO</v>
      </c>
      <c r="Q27" s="2668">
        <f t="shared" ref="Q27:Q28" si="22">Q28</f>
        <v>6279795.6157771042</v>
      </c>
      <c r="R27" s="3445">
        <f t="shared" si="8"/>
        <v>34512503.478698596</v>
      </c>
      <c r="S27" s="2676"/>
      <c r="T27" s="2677"/>
      <c r="U27" s="3419">
        <f t="shared" si="9"/>
        <v>8.0503785538843825E-2</v>
      </c>
      <c r="V27" s="3417"/>
      <c r="W27" s="3418"/>
      <c r="X27" s="3281">
        <f t="shared" ref="X27:X28" si="23">X28</f>
        <v>0.18382161936532615</v>
      </c>
      <c r="Y27" s="3142"/>
      <c r="Z27" s="3420"/>
    </row>
    <row r="28" spans="2:26" ht="18" customHeight="1" x14ac:dyDescent="0.2">
      <c r="B28" s="348" t="s">
        <v>1065</v>
      </c>
      <c r="C28" s="3281">
        <f>C29</f>
        <v>2283.3910000000001</v>
      </c>
      <c r="D28" s="3455"/>
      <c r="E28" s="3455"/>
      <c r="F28" s="2668">
        <f>F29</f>
        <v>19643260.414013568</v>
      </c>
      <c r="G28" s="2668" t="str">
        <f t="shared" si="12"/>
        <v>NO</v>
      </c>
      <c r="H28" s="2668" t="str">
        <f t="shared" si="13"/>
        <v>NO</v>
      </c>
      <c r="I28" s="2668" t="str">
        <f t="shared" si="14"/>
        <v>IE</v>
      </c>
      <c r="J28" s="2668" t="str">
        <f t="shared" si="15"/>
        <v>IE</v>
      </c>
      <c r="K28" s="2668">
        <f t="shared" si="16"/>
        <v>7079214.9931878746</v>
      </c>
      <c r="L28" s="2668" t="str">
        <f t="shared" si="17"/>
        <v>IE</v>
      </c>
      <c r="M28" s="2668" t="str">
        <f t="shared" si="18"/>
        <v>NO</v>
      </c>
      <c r="N28" s="2668" t="str">
        <f t="shared" si="19"/>
        <v>NO</v>
      </c>
      <c r="O28" s="2668">
        <f t="shared" si="20"/>
        <v>1510232.4557200491</v>
      </c>
      <c r="P28" s="2668" t="str">
        <f t="shared" si="21"/>
        <v>NO</v>
      </c>
      <c r="Q28" s="2668">
        <f t="shared" si="22"/>
        <v>6279795.6157771042</v>
      </c>
      <c r="R28" s="3445">
        <f t="shared" si="8"/>
        <v>34512503.478698596</v>
      </c>
      <c r="S28" s="2676"/>
      <c r="T28" s="2677"/>
      <c r="U28" s="3419">
        <f t="shared" si="9"/>
        <v>8.0503785538843825E-2</v>
      </c>
      <c r="V28" s="3417"/>
      <c r="W28" s="3418"/>
      <c r="X28" s="3281">
        <f t="shared" si="23"/>
        <v>0.18382161936532615</v>
      </c>
      <c r="Y28" s="3142"/>
      <c r="Z28" s="3420"/>
    </row>
    <row r="29" spans="2:26" ht="18" customHeight="1" x14ac:dyDescent="0.2">
      <c r="B29" s="2661" t="s">
        <v>968</v>
      </c>
      <c r="C29" s="3458">
        <f>Table3.A!C29</f>
        <v>2283.3910000000001</v>
      </c>
      <c r="D29" s="3274">
        <v>12.213248863279446</v>
      </c>
      <c r="E29" s="3457">
        <f>'Table3.B(a)'!G29</f>
        <v>57.24512212823727</v>
      </c>
      <c r="F29" s="3442">
        <v>19643260.414013568</v>
      </c>
      <c r="G29" s="3442" t="s">
        <v>199</v>
      </c>
      <c r="H29" s="3442" t="s">
        <v>199</v>
      </c>
      <c r="I29" s="3442" t="s">
        <v>274</v>
      </c>
      <c r="J29" s="3442" t="s">
        <v>274</v>
      </c>
      <c r="K29" s="3442">
        <v>7079214.9931878746</v>
      </c>
      <c r="L29" s="3442" t="s">
        <v>274</v>
      </c>
      <c r="M29" s="3442" t="s">
        <v>199</v>
      </c>
      <c r="N29" s="3442" t="s">
        <v>199</v>
      </c>
      <c r="O29" s="3442">
        <v>1510232.4557200491</v>
      </c>
      <c r="P29" s="3442" t="s">
        <v>199</v>
      </c>
      <c r="Q29" s="3442">
        <v>6279795.6157771042</v>
      </c>
      <c r="R29" s="3445">
        <f t="shared" si="8"/>
        <v>34512503.478698596</v>
      </c>
      <c r="S29" s="2676"/>
      <c r="T29" s="2677"/>
      <c r="U29" s="3419">
        <f t="shared" si="9"/>
        <v>8.0503785538843825E-2</v>
      </c>
      <c r="V29" s="3417"/>
      <c r="W29" s="3418"/>
      <c r="X29" s="3282">
        <v>0.18382161936532615</v>
      </c>
      <c r="Y29" s="3142"/>
      <c r="Z29" s="3420"/>
    </row>
    <row r="30" spans="2:26" ht="18" customHeight="1" x14ac:dyDescent="0.2">
      <c r="B30" s="349" t="s">
        <v>1116</v>
      </c>
      <c r="C30" s="3281">
        <f>IF(SUM(C32:C39)=0,"NO",SUM(C32:C39))</f>
        <v>100918.95699999999</v>
      </c>
      <c r="D30" s="3455"/>
      <c r="E30" s="3455"/>
      <c r="F30" s="2668" t="str">
        <f>IF(SUM(F32:F39)=0,"NO",SUM(F32:F39))</f>
        <v>NO</v>
      </c>
      <c r="G30" s="2668" t="str">
        <f t="shared" ref="G30:Q30" si="24">IF(SUM(G32:G39)=0,"NO",SUM(G32:G39))</f>
        <v>NO</v>
      </c>
      <c r="H30" s="2668" t="str">
        <f t="shared" si="24"/>
        <v>NO</v>
      </c>
      <c r="I30" s="2668">
        <f t="shared" si="24"/>
        <v>23827592.956891771</v>
      </c>
      <c r="J30" s="2668" t="str">
        <f t="shared" si="24"/>
        <v>NO</v>
      </c>
      <c r="K30" s="2668" t="str">
        <f t="shared" si="24"/>
        <v>NO</v>
      </c>
      <c r="L30" s="2668" t="str">
        <f t="shared" si="24"/>
        <v>NO</v>
      </c>
      <c r="M30" s="2668">
        <f t="shared" si="24"/>
        <v>15524776.80040646</v>
      </c>
      <c r="N30" s="2668">
        <f t="shared" si="24"/>
        <v>10359720.488647517</v>
      </c>
      <c r="O30" s="2668">
        <f t="shared" si="24"/>
        <v>126078.1593751546</v>
      </c>
      <c r="P30" s="2668" t="str">
        <f t="shared" si="24"/>
        <v>NO</v>
      </c>
      <c r="Q30" s="2668">
        <f t="shared" si="24"/>
        <v>76360106.94174844</v>
      </c>
      <c r="R30" s="3445">
        <f t="shared" si="8"/>
        <v>126198275.34706935</v>
      </c>
      <c r="S30" s="2676"/>
      <c r="T30" s="2677"/>
      <c r="U30" s="3419">
        <f t="shared" si="9"/>
        <v>4.4703527153250504E-3</v>
      </c>
      <c r="V30" s="3417"/>
      <c r="W30" s="3418"/>
      <c r="X30" s="3281">
        <f t="shared" ref="X30" si="25">IF(SUM(X32:X39)=0,"NO",SUM(X32:X39))</f>
        <v>0.45114333345272201</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5.1520000000000001</v>
      </c>
      <c r="D32" s="3274">
        <v>39.5</v>
      </c>
      <c r="E32" s="3457" t="str">
        <f>'Table3.B(a)'!G32</f>
        <v>NA</v>
      </c>
      <c r="F32" s="3442" t="s">
        <v>199</v>
      </c>
      <c r="G32" s="3442" t="s">
        <v>199</v>
      </c>
      <c r="H32" s="3442" t="s">
        <v>199</v>
      </c>
      <c r="I32" s="3442" t="s">
        <v>199</v>
      </c>
      <c r="J32" s="3442" t="s">
        <v>199</v>
      </c>
      <c r="K32" s="3442" t="s">
        <v>199</v>
      </c>
      <c r="L32" s="3442" t="s">
        <v>199</v>
      </c>
      <c r="M32" s="3442">
        <v>203520.53326113807</v>
      </c>
      <c r="N32" s="3442" t="s">
        <v>199</v>
      </c>
      <c r="O32" s="3442" t="s">
        <v>199</v>
      </c>
      <c r="P32" s="3442" t="s">
        <v>199</v>
      </c>
      <c r="Q32" s="3442" t="s">
        <v>199</v>
      </c>
      <c r="R32" s="3445">
        <f t="shared" si="8"/>
        <v>203520.53326113807</v>
      </c>
      <c r="S32" s="2676"/>
      <c r="T32" s="2677"/>
      <c r="U32" s="3419" t="str">
        <f>IF(SUM(X32)=0,"NA",X32*1000/C32)</f>
        <v>NA</v>
      </c>
      <c r="V32" s="3417"/>
      <c r="W32" s="3418"/>
      <c r="X32" s="3282" t="s">
        <v>205</v>
      </c>
      <c r="Y32" s="3142"/>
      <c r="Z32" s="3420"/>
    </row>
    <row r="33" spans="2:26" ht="18" customHeight="1" x14ac:dyDescent="0.2">
      <c r="B33" s="348" t="s">
        <v>1068</v>
      </c>
      <c r="C33" s="3458">
        <f>Table3.A!C33</f>
        <v>2.7589999999999999</v>
      </c>
      <c r="D33" s="3274">
        <v>39.5</v>
      </c>
      <c r="E33" s="3457" t="str">
        <f>'Table3.B(a)'!G33</f>
        <v>NA</v>
      </c>
      <c r="F33" s="3442" t="s">
        <v>199</v>
      </c>
      <c r="G33" s="3442" t="s">
        <v>199</v>
      </c>
      <c r="H33" s="3442" t="s">
        <v>199</v>
      </c>
      <c r="I33" s="3442" t="s">
        <v>199</v>
      </c>
      <c r="J33" s="3442" t="s">
        <v>199</v>
      </c>
      <c r="K33" s="3442" t="s">
        <v>199</v>
      </c>
      <c r="L33" s="3442" t="s">
        <v>199</v>
      </c>
      <c r="M33" s="3442">
        <v>108972.64962538239</v>
      </c>
      <c r="N33" s="3442" t="s">
        <v>199</v>
      </c>
      <c r="O33" s="3442" t="s">
        <v>199</v>
      </c>
      <c r="P33" s="3442" t="s">
        <v>199</v>
      </c>
      <c r="Q33" s="3442" t="s">
        <v>199</v>
      </c>
      <c r="R33" s="3445">
        <f t="shared" si="8"/>
        <v>108972.64962538239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30.123000000000001</v>
      </c>
      <c r="D34" s="3274">
        <v>13.2</v>
      </c>
      <c r="E34" s="3457" t="str">
        <f>'Table3.B(a)'!G34</f>
        <v>NA</v>
      </c>
      <c r="F34" s="3442" t="s">
        <v>199</v>
      </c>
      <c r="G34" s="3442" t="s">
        <v>199</v>
      </c>
      <c r="H34" s="3442" t="s">
        <v>199</v>
      </c>
      <c r="I34" s="3442" t="s">
        <v>199</v>
      </c>
      <c r="J34" s="3442" t="s">
        <v>199</v>
      </c>
      <c r="K34" s="3442" t="s">
        <v>199</v>
      </c>
      <c r="L34" s="3442" t="s">
        <v>199</v>
      </c>
      <c r="M34" s="3442">
        <v>397617.73268791614</v>
      </c>
      <c r="N34" s="3442" t="s">
        <v>199</v>
      </c>
      <c r="O34" s="3442" t="s">
        <v>199</v>
      </c>
      <c r="P34" s="3442" t="s">
        <v>199</v>
      </c>
      <c r="Q34" s="3442" t="s">
        <v>199</v>
      </c>
      <c r="R34" s="3445">
        <f t="shared" si="8"/>
        <v>397617.73268791614</v>
      </c>
      <c r="S34" s="2676"/>
      <c r="T34" s="2677"/>
      <c r="U34" s="3419" t="str">
        <f t="shared" si="26"/>
        <v>NA</v>
      </c>
      <c r="V34" s="3417"/>
      <c r="W34" s="3418"/>
      <c r="X34" s="3282" t="s">
        <v>205</v>
      </c>
      <c r="Y34" s="3142"/>
      <c r="Z34" s="3420"/>
    </row>
    <row r="35" spans="2:26" ht="18" customHeight="1" x14ac:dyDescent="0.2">
      <c r="B35" s="348" t="s">
        <v>1070</v>
      </c>
      <c r="C35" s="3458">
        <f>Table3.A!C35</f>
        <v>460.32400000000001</v>
      </c>
      <c r="D35" s="3274">
        <v>7</v>
      </c>
      <c r="E35" s="3457" t="str">
        <f>'Table3.B(a)'!G35</f>
        <v>NA</v>
      </c>
      <c r="F35" s="3442" t="s">
        <v>199</v>
      </c>
      <c r="G35" s="3442" t="s">
        <v>199</v>
      </c>
      <c r="H35" s="3442" t="s">
        <v>199</v>
      </c>
      <c r="I35" s="3442" t="s">
        <v>199</v>
      </c>
      <c r="J35" s="3442" t="s">
        <v>199</v>
      </c>
      <c r="K35" s="3442" t="s">
        <v>199</v>
      </c>
      <c r="L35" s="3442" t="s">
        <v>199</v>
      </c>
      <c r="M35" s="3442">
        <v>3222265.8649999998</v>
      </c>
      <c r="N35" s="3442" t="s">
        <v>199</v>
      </c>
      <c r="O35" s="3442" t="s">
        <v>199</v>
      </c>
      <c r="P35" s="3442" t="s">
        <v>199</v>
      </c>
      <c r="Q35" s="3442" t="s">
        <v>199</v>
      </c>
      <c r="R35" s="3445">
        <f t="shared" si="8"/>
        <v>3222265.8649999998</v>
      </c>
      <c r="S35" s="2676"/>
      <c r="T35" s="2677"/>
      <c r="U35" s="3419" t="str">
        <f t="shared" si="26"/>
        <v>NA</v>
      </c>
      <c r="V35" s="3417"/>
      <c r="W35" s="3418"/>
      <c r="X35" s="3282" t="s">
        <v>205</v>
      </c>
      <c r="Y35" s="3142"/>
      <c r="Z35" s="3420"/>
    </row>
    <row r="36" spans="2:26" ht="18" customHeight="1" x14ac:dyDescent="0.2">
      <c r="B36" s="348" t="s">
        <v>1071</v>
      </c>
      <c r="C36" s="3458">
        <f>Table3.A!C36</f>
        <v>222.53</v>
      </c>
      <c r="D36" s="3274">
        <v>39.5</v>
      </c>
      <c r="E36" s="3457" t="str">
        <f>'Table3.B(a)'!G36</f>
        <v>NA</v>
      </c>
      <c r="F36" s="3442" t="s">
        <v>199</v>
      </c>
      <c r="G36" s="3442" t="s">
        <v>199</v>
      </c>
      <c r="H36" s="3442" t="s">
        <v>199</v>
      </c>
      <c r="I36" s="3442" t="s">
        <v>199</v>
      </c>
      <c r="J36" s="3442" t="s">
        <v>199</v>
      </c>
      <c r="K36" s="3442" t="s">
        <v>199</v>
      </c>
      <c r="L36" s="3442" t="s">
        <v>199</v>
      </c>
      <c r="M36" s="3442">
        <v>8789933.999503253</v>
      </c>
      <c r="N36" s="3442" t="s">
        <v>199</v>
      </c>
      <c r="O36" s="3442" t="s">
        <v>199</v>
      </c>
      <c r="P36" s="3442" t="s">
        <v>199</v>
      </c>
      <c r="Q36" s="3442" t="s">
        <v>199</v>
      </c>
      <c r="R36" s="3445">
        <f t="shared" si="8"/>
        <v>8789933.999503253</v>
      </c>
      <c r="S36" s="2676"/>
      <c r="T36" s="2677"/>
      <c r="U36" s="3419" t="str">
        <f t="shared" si="26"/>
        <v>NA</v>
      </c>
      <c r="V36" s="3417"/>
      <c r="W36" s="3418"/>
      <c r="X36" s="3282" t="s">
        <v>205</v>
      </c>
      <c r="Y36" s="3142"/>
      <c r="Z36" s="3420"/>
    </row>
    <row r="37" spans="2:26" ht="18" customHeight="1" x14ac:dyDescent="0.2">
      <c r="B37" s="348" t="s">
        <v>1117</v>
      </c>
      <c r="C37" s="3458">
        <f>Table3.A!C37</f>
        <v>0.64600000000000002</v>
      </c>
      <c r="D37" s="3274">
        <v>13.2</v>
      </c>
      <c r="E37" s="3457" t="str">
        <f>'Table3.B(a)'!G37</f>
        <v>NA</v>
      </c>
      <c r="F37" s="3442" t="s">
        <v>199</v>
      </c>
      <c r="G37" s="3442" t="s">
        <v>199</v>
      </c>
      <c r="H37" s="3442" t="s">
        <v>199</v>
      </c>
      <c r="I37" s="3442" t="s">
        <v>199</v>
      </c>
      <c r="J37" s="3442" t="s">
        <v>199</v>
      </c>
      <c r="K37" s="3442" t="s">
        <v>199</v>
      </c>
      <c r="L37" s="3442" t="s">
        <v>199</v>
      </c>
      <c r="M37" s="3442">
        <v>8532.5615250041683</v>
      </c>
      <c r="N37" s="3442" t="s">
        <v>199</v>
      </c>
      <c r="O37" s="3442" t="s">
        <v>199</v>
      </c>
      <c r="P37" s="3442" t="s">
        <v>199</v>
      </c>
      <c r="Q37" s="3442" t="s">
        <v>199</v>
      </c>
      <c r="R37" s="3445">
        <f t="shared" si="8"/>
        <v>8532.5615250041683</v>
      </c>
      <c r="S37" s="2676"/>
      <c r="T37" s="2677"/>
      <c r="U37" s="3419" t="str">
        <f t="shared" si="26"/>
        <v>NA</v>
      </c>
      <c r="V37" s="3417"/>
      <c r="W37" s="3418"/>
      <c r="X37" s="3282" t="s">
        <v>205</v>
      </c>
      <c r="Y37" s="3142"/>
      <c r="Z37" s="3420"/>
    </row>
    <row r="38" spans="2:26" ht="18" customHeight="1" x14ac:dyDescent="0.2">
      <c r="B38" s="348" t="s">
        <v>1073</v>
      </c>
      <c r="C38" s="3458">
        <f>Table3.A!C38</f>
        <v>100054.595</v>
      </c>
      <c r="D38" s="3274">
        <v>0.66098329909844999</v>
      </c>
      <c r="E38" s="3457" t="str">
        <f>'Table3.B(a)'!G38</f>
        <v>NA</v>
      </c>
      <c r="F38" s="3442" t="s">
        <v>199</v>
      </c>
      <c r="G38" s="3442" t="s">
        <v>199</v>
      </c>
      <c r="H38" s="3442" t="s">
        <v>199</v>
      </c>
      <c r="I38" s="3442">
        <v>23827592.956891771</v>
      </c>
      <c r="J38" s="3442" t="s">
        <v>274</v>
      </c>
      <c r="K38" s="3442" t="s">
        <v>274</v>
      </c>
      <c r="L38" s="3442" t="s">
        <v>274</v>
      </c>
      <c r="M38" s="3442">
        <v>1794136.4706853502</v>
      </c>
      <c r="N38" s="3442">
        <v>10359720.488647517</v>
      </c>
      <c r="O38" s="3442">
        <v>126078.1593751546</v>
      </c>
      <c r="P38" s="3442" t="s">
        <v>199</v>
      </c>
      <c r="Q38" s="3442">
        <v>76360106.94174844</v>
      </c>
      <c r="R38" s="3445">
        <f t="shared" si="8"/>
        <v>112467635.01734823</v>
      </c>
      <c r="S38" s="2676"/>
      <c r="T38" s="2677"/>
      <c r="U38" s="3419">
        <f t="shared" si="26"/>
        <v>4.5089716614486524E-3</v>
      </c>
      <c r="V38" s="3417"/>
      <c r="W38" s="3418"/>
      <c r="X38" s="3282">
        <v>0.45114333345272201</v>
      </c>
      <c r="Y38" s="3142"/>
      <c r="Z38" s="3420"/>
    </row>
    <row r="39" spans="2:26" ht="18" customHeight="1" x14ac:dyDescent="0.2">
      <c r="B39" s="348" t="s">
        <v>1074</v>
      </c>
      <c r="C39" s="3281">
        <f>IF(SUM(C41:C45)=0,"NO",SUM(C41:C45))</f>
        <v>142.828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999796.98811841803</v>
      </c>
      <c r="N39" s="2668" t="str">
        <f t="shared" si="27"/>
        <v>NO</v>
      </c>
      <c r="O39" s="2668" t="str">
        <f t="shared" si="27"/>
        <v>NO</v>
      </c>
      <c r="P39" s="2668" t="str">
        <f t="shared" si="27"/>
        <v>NO</v>
      </c>
      <c r="Q39" s="2668" t="str">
        <f t="shared" si="27"/>
        <v>NO</v>
      </c>
      <c r="R39" s="3445">
        <f t="shared" si="8"/>
        <v>999796.98811841803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9.8109999999999999</v>
      </c>
      <c r="D43" s="3274">
        <v>7</v>
      </c>
      <c r="E43" s="3457" t="str">
        <f>'Table3.B(a)'!G43</f>
        <v>NA</v>
      </c>
      <c r="F43" s="3442" t="s">
        <v>199</v>
      </c>
      <c r="G43" s="3442" t="s">
        <v>199</v>
      </c>
      <c r="H43" s="3442" t="s">
        <v>199</v>
      </c>
      <c r="I43" s="3442" t="s">
        <v>199</v>
      </c>
      <c r="J43" s="3442" t="s">
        <v>199</v>
      </c>
      <c r="K43" s="3442" t="s">
        <v>199</v>
      </c>
      <c r="L43" s="3442" t="s">
        <v>199</v>
      </c>
      <c r="M43" s="3442">
        <v>68676.197478991555</v>
      </c>
      <c r="N43" s="3442" t="s">
        <v>199</v>
      </c>
      <c r="O43" s="3442" t="s">
        <v>199</v>
      </c>
      <c r="P43" s="3442" t="s">
        <v>199</v>
      </c>
      <c r="Q43" s="3442" t="s">
        <v>199</v>
      </c>
      <c r="R43" s="3445">
        <f t="shared" si="8"/>
        <v>68676.197478991555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133.017</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931120.79063942644</v>
      </c>
      <c r="N45" s="2668" t="str">
        <f t="shared" si="28"/>
        <v>NO</v>
      </c>
      <c r="O45" s="2668" t="str">
        <f t="shared" si="28"/>
        <v>NO</v>
      </c>
      <c r="P45" s="2668" t="str">
        <f t="shared" si="28"/>
        <v>NO</v>
      </c>
      <c r="Q45" s="2668" t="str">
        <f t="shared" si="28"/>
        <v>NO</v>
      </c>
      <c r="R45" s="3445">
        <f t="shared" si="8"/>
        <v>931120.79063942644</v>
      </c>
      <c r="S45" s="2676"/>
      <c r="T45" s="2677"/>
      <c r="U45" s="3419" t="str">
        <f t="shared" si="26"/>
        <v>NA</v>
      </c>
      <c r="V45" s="3417"/>
      <c r="W45" s="3418"/>
      <c r="X45" s="3281" t="str">
        <f>X46</f>
        <v>NA</v>
      </c>
      <c r="Y45" s="3142"/>
      <c r="Z45" s="3420"/>
    </row>
    <row r="46" spans="2:26" ht="18" customHeight="1" x14ac:dyDescent="0.2">
      <c r="B46" s="2665" t="s">
        <v>1013</v>
      </c>
      <c r="C46" s="3458">
        <f>Table3.A!C46</f>
        <v>133.017</v>
      </c>
      <c r="D46" s="3274">
        <v>7</v>
      </c>
      <c r="E46" s="3457" t="str">
        <f>'Table3.B(a)'!G46</f>
        <v>NA</v>
      </c>
      <c r="F46" s="3442" t="s">
        <v>199</v>
      </c>
      <c r="G46" s="3442" t="s">
        <v>199</v>
      </c>
      <c r="H46" s="3442" t="s">
        <v>199</v>
      </c>
      <c r="I46" s="3442" t="s">
        <v>199</v>
      </c>
      <c r="J46" s="3442" t="s">
        <v>199</v>
      </c>
      <c r="K46" s="3442" t="s">
        <v>199</v>
      </c>
      <c r="L46" s="3442" t="s">
        <v>199</v>
      </c>
      <c r="M46" s="3442">
        <v>931120.79063942644</v>
      </c>
      <c r="N46" s="3442" t="s">
        <v>199</v>
      </c>
      <c r="O46" s="3442" t="s">
        <v>199</v>
      </c>
      <c r="P46" s="3442" t="s">
        <v>199</v>
      </c>
      <c r="Q46" s="3442" t="s">
        <v>199</v>
      </c>
      <c r="R46" s="3445">
        <f t="shared" si="8"/>
        <v>931120.79063942644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107836233.8932422</v>
      </c>
      <c r="T47" s="3410">
        <v>428574.90886877943</v>
      </c>
      <c r="U47" s="3429"/>
      <c r="V47" s="3430">
        <f>IF(SUM(S47)=0,"NA",Y47*1000000/S47)</f>
        <v>6.050083415408589E-3</v>
      </c>
      <c r="W47" s="3431">
        <f>IF(SUM(T47)=0,"NA",Z47*1000000/T47)</f>
        <v>1.728571428571429E-2</v>
      </c>
      <c r="X47" s="3283"/>
      <c r="Y47" s="3287">
        <v>0.65241821025762614</v>
      </c>
      <c r="Z47" s="3288">
        <v>7.4082234247317604E-3</v>
      </c>
    </row>
    <row r="48" spans="2:26" ht="18" customHeight="1" x14ac:dyDescent="0.2">
      <c r="B48" s="356" t="s">
        <v>1119</v>
      </c>
      <c r="C48" s="357"/>
      <c r="D48" s="357"/>
      <c r="E48" s="357"/>
      <c r="F48" s="3448">
        <f>IF(SUM(F30,F27,F24,F10)=0,"NO",SUM(F30,F27,F24,F10))</f>
        <v>45571087.56418401</v>
      </c>
      <c r="G48" s="3448" t="str">
        <f t="shared" ref="G48:Q48" si="29">IF(SUM(G30,G27,G24,G10)=0,"NO",SUM(G30,G27,G24,G10))</f>
        <v>NO</v>
      </c>
      <c r="H48" s="3448">
        <f t="shared" si="29"/>
        <v>4776181.2221767977</v>
      </c>
      <c r="I48" s="3448">
        <f t="shared" si="29"/>
        <v>51789936.591474965</v>
      </c>
      <c r="J48" s="3448" t="str">
        <f t="shared" si="29"/>
        <v>NO</v>
      </c>
      <c r="K48" s="3448">
        <f t="shared" si="29"/>
        <v>87187554.150838509</v>
      </c>
      <c r="L48" s="3448" t="str">
        <f t="shared" si="29"/>
        <v>NO</v>
      </c>
      <c r="M48" s="3374"/>
      <c r="N48" s="3448">
        <f t="shared" si="29"/>
        <v>21823864.688820582</v>
      </c>
      <c r="O48" s="3448">
        <f t="shared" si="29"/>
        <v>1636310.6150952037</v>
      </c>
      <c r="P48" s="3374"/>
      <c r="Q48" s="3448">
        <f t="shared" si="29"/>
        <v>82639902.557525545</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2.2718466380470297E-2</v>
      </c>
      <c r="J49" s="3449" t="str">
        <f t="shared" si="30"/>
        <v>NA</v>
      </c>
      <c r="K49" s="3449" t="str">
        <f t="shared" si="30"/>
        <v>NA</v>
      </c>
      <c r="L49" s="3449" t="str">
        <f t="shared" si="30"/>
        <v>NA</v>
      </c>
      <c r="M49" s="87"/>
      <c r="N49" s="3449">
        <f t="shared" si="30"/>
        <v>1.5714285714285708E-2</v>
      </c>
      <c r="O49" s="3449" t="str">
        <f t="shared" si="30"/>
        <v>NA</v>
      </c>
      <c r="P49" s="87"/>
      <c r="Q49" s="3449">
        <f t="shared" si="30"/>
        <v>2.3603853871411173E-3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1.1765879333001124</v>
      </c>
      <c r="J50" s="3450" t="s">
        <v>274</v>
      </c>
      <c r="K50" s="3450" t="s">
        <v>274</v>
      </c>
      <c r="L50" s="3450" t="s">
        <v>274</v>
      </c>
      <c r="M50" s="3437"/>
      <c r="N50" s="3451">
        <v>0.34294644511003758</v>
      </c>
      <c r="O50" s="3451" t="s">
        <v>205</v>
      </c>
      <c r="P50" s="3437"/>
      <c r="Q50" s="3451">
        <v>0.19506201839154916</v>
      </c>
      <c r="R50" s="1311"/>
      <c r="S50" s="1312"/>
      <c r="T50" s="1313"/>
      <c r="U50" s="3436">
        <f>X50*1000/SUM(C10,C24,C27,C30)</f>
        <v>8.808928381960391E-3</v>
      </c>
      <c r="V50" s="3437"/>
      <c r="W50" s="3438"/>
      <c r="X50" s="3286">
        <f>SUM(X10,X24,X27,X30)</f>
        <v>1.7145963968016988</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19" t="s">
        <v>1122</v>
      </c>
      <c r="C68" s="4520"/>
      <c r="D68" s="4520"/>
      <c r="E68" s="4520"/>
      <c r="F68" s="4520"/>
      <c r="G68" s="4520"/>
      <c r="H68" s="4520"/>
      <c r="I68" s="4520"/>
      <c r="J68" s="4520"/>
      <c r="K68" s="4520"/>
      <c r="L68" s="4520"/>
      <c r="M68" s="4520"/>
      <c r="N68" s="4520"/>
      <c r="O68" s="4520"/>
      <c r="P68" s="4520"/>
      <c r="Q68" s="4520"/>
      <c r="R68" s="4520"/>
      <c r="S68" s="4520"/>
      <c r="T68" s="4520"/>
      <c r="U68" s="4520"/>
      <c r="V68" s="4520"/>
      <c r="W68" s="4520"/>
      <c r="X68" s="4520"/>
      <c r="Y68" s="4520"/>
      <c r="Z68" s="4521"/>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0.82707023222906406</v>
      </c>
    </row>
    <row r="11" spans="1:9" ht="18" customHeight="1" x14ac:dyDescent="0.2">
      <c r="B11" s="432" t="s">
        <v>1133</v>
      </c>
      <c r="C11" s="4462">
        <v>5.204973141781398E-2</v>
      </c>
      <c r="D11" s="243" t="s">
        <v>199</v>
      </c>
      <c r="E11" s="283" t="s">
        <v>199</v>
      </c>
      <c r="F11" s="2330">
        <f>IF(SUM(C11)=0,"NA",G11/C11)</f>
        <v>15.889999999999999</v>
      </c>
      <c r="G11" s="3072">
        <v>0.82707023222906406</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5.204973141781398E-2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8" sqref="H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26.959836121460931</v>
      </c>
      <c r="H10" s="395" t="s">
        <v>1157</v>
      </c>
      <c r="I10" s="396" t="s">
        <v>1158</v>
      </c>
      <c r="J10" s="397">
        <v>0.21</v>
      </c>
    </row>
    <row r="11" spans="2:10" ht="24" customHeight="1" x14ac:dyDescent="0.2">
      <c r="B11" s="2453" t="s">
        <v>1159</v>
      </c>
      <c r="C11" s="2454" t="s">
        <v>1160</v>
      </c>
      <c r="D11" s="3639">
        <v>1513790.3865459876</v>
      </c>
      <c r="E11" s="3634">
        <f>IF(SUM(D11)=0,"NA",F11*1000/D11/(44/28))</f>
        <v>4.2031661469046841E-3</v>
      </c>
      <c r="F11" s="3390">
        <v>9.9985482240911931</v>
      </c>
      <c r="H11" s="395" t="s">
        <v>1161</v>
      </c>
      <c r="I11" s="396" t="s">
        <v>1162</v>
      </c>
      <c r="J11" s="397">
        <v>0.24</v>
      </c>
    </row>
    <row r="12" spans="2:10" ht="24" customHeight="1" x14ac:dyDescent="0.2">
      <c r="B12" s="2453" t="s">
        <v>1163</v>
      </c>
      <c r="C12" s="2455" t="s">
        <v>1164</v>
      </c>
      <c r="D12" s="3640">
        <f>IF(SUM(D13:D15)=0,"NO",SUM(D13:D15))</f>
        <v>115770.74207280643</v>
      </c>
      <c r="E12" s="3635">
        <f t="shared" ref="E12:E23" si="0">IF(SUM(D12)=0,"NA",F12*1000/D12/(44/28))</f>
        <v>8.4043773406420781E-3</v>
      </c>
      <c r="F12" s="3391">
        <f>IF(SUM(F13:F15)=0,"NO",SUM(F13:F15))</f>
        <v>1.5289701450351632</v>
      </c>
      <c r="H12" s="4233" t="s">
        <v>1165</v>
      </c>
      <c r="I12" s="4234"/>
      <c r="J12" s="4235"/>
    </row>
    <row r="13" spans="2:10" ht="24" customHeight="1" thickBot="1" x14ac:dyDescent="0.25">
      <c r="B13" s="2453" t="s">
        <v>1166</v>
      </c>
      <c r="C13" s="2454" t="s">
        <v>1167</v>
      </c>
      <c r="D13" s="3641">
        <v>101371.23069383165</v>
      </c>
      <c r="E13" s="3634">
        <f t="shared" si="0"/>
        <v>8.319770739713031E-3</v>
      </c>
      <c r="F13" s="3390">
        <v>1.325319912675377</v>
      </c>
      <c r="H13" s="4236"/>
      <c r="I13" s="4237"/>
      <c r="J13" s="4238"/>
    </row>
    <row r="14" spans="2:10" ht="24" customHeight="1" x14ac:dyDescent="0.2">
      <c r="B14" s="2453" t="s">
        <v>1168</v>
      </c>
      <c r="C14" s="2454" t="s">
        <v>1169</v>
      </c>
      <c r="D14" s="3641">
        <v>14399.511378974781</v>
      </c>
      <c r="E14" s="3634">
        <f t="shared" si="0"/>
        <v>8.9999999999999976E-3</v>
      </c>
      <c r="F14" s="3390">
        <v>0.20365023235978613</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1491010.9063392503</v>
      </c>
      <c r="E16" s="3634">
        <f t="shared" si="0"/>
        <v>4.0000000000000001E-3</v>
      </c>
      <c r="F16" s="3390">
        <v>9.3720685541324311</v>
      </c>
    </row>
    <row r="17" spans="2:11" ht="24" customHeight="1" x14ac:dyDescent="0.2">
      <c r="B17" s="2453" t="s">
        <v>1176</v>
      </c>
      <c r="C17" s="2454" t="s">
        <v>1177</v>
      </c>
      <c r="D17" s="3641">
        <v>739873.85217770247</v>
      </c>
      <c r="E17" s="3634">
        <f t="shared" si="0"/>
        <v>5.0300000000000015E-3</v>
      </c>
      <c r="F17" s="3390">
        <v>5.8481743201417551</v>
      </c>
    </row>
    <row r="18" spans="2:11" ht="24" customHeight="1" x14ac:dyDescent="0.2">
      <c r="B18" s="2453" t="s">
        <v>1178</v>
      </c>
      <c r="C18" s="2454" t="s">
        <v>1179</v>
      </c>
      <c r="D18" s="3641">
        <v>19257.741605825016</v>
      </c>
      <c r="E18" s="3636">
        <f t="shared" si="0"/>
        <v>4.1000000000000012E-3</v>
      </c>
      <c r="F18" s="3392">
        <v>0.12407487806038692</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10.508629865775516</v>
      </c>
    </row>
    <row r="22" spans="2:11" ht="24" customHeight="1" x14ac:dyDescent="0.2">
      <c r="B22" s="2457" t="s">
        <v>1184</v>
      </c>
      <c r="C22" s="2454" t="s">
        <v>1185</v>
      </c>
      <c r="D22" s="3641">
        <v>503941.08868659055</v>
      </c>
      <c r="E22" s="3634">
        <f t="shared" si="0"/>
        <v>3.1768140815776696E-3</v>
      </c>
      <c r="F22" s="3390">
        <v>2.5157426592966519</v>
      </c>
    </row>
    <row r="23" spans="2:11" ht="24" customHeight="1" thickBot="1" x14ac:dyDescent="0.25">
      <c r="B23" s="406" t="s">
        <v>1186</v>
      </c>
      <c r="C23" s="407" t="s">
        <v>1187</v>
      </c>
      <c r="D23" s="3643">
        <v>462398.43343266152</v>
      </c>
      <c r="E23" s="3638">
        <f t="shared" si="0"/>
        <v>1.1000000000000003E-2</v>
      </c>
      <c r="F23" s="3394">
        <v>7.9928872064788647</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2" t="s">
        <v>1188</v>
      </c>
      <c r="C44" s="4523"/>
      <c r="D44" s="4523"/>
      <c r="E44" s="4523"/>
      <c r="F44" s="4524"/>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2" t="s">
        <v>1203</v>
      </c>
      <c r="C27" s="4493"/>
      <c r="D27" s="4493"/>
      <c r="E27" s="4493"/>
      <c r="F27" s="4493"/>
      <c r="G27" s="4493"/>
      <c r="H27" s="4493"/>
      <c r="I27" s="4493"/>
      <c r="J27" s="4493"/>
      <c r="K27" s="4494"/>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14754555.073744087</v>
      </c>
      <c r="N9" s="4167">
        <v>10329479.042791385</v>
      </c>
      <c r="O9" s="4167">
        <v>277460.7622290579</v>
      </c>
      <c r="P9" s="4168">
        <v>410244.55382407643</v>
      </c>
      <c r="Q9" s="4168">
        <v>1177926.4298599274</v>
      </c>
      <c r="R9" s="4168">
        <v>43991.135366976421</v>
      </c>
      <c r="S9" s="4168">
        <v>52524.012201081205</v>
      </c>
      <c r="T9" s="4168">
        <v>79557.946934378575</v>
      </c>
      <c r="U9" s="4168">
        <v>2780144.2322724932</v>
      </c>
      <c r="V9" s="4168">
        <v>31049574.858289778</v>
      </c>
      <c r="W9" s="4168">
        <v>2927.9597340127698</v>
      </c>
      <c r="X9" s="4169">
        <v>172418</v>
      </c>
    </row>
    <row r="10" spans="2:24" ht="18" customHeight="1" thickTop="1" x14ac:dyDescent="0.2">
      <c r="B10" s="430" t="s">
        <v>1226</v>
      </c>
      <c r="C10" s="374"/>
      <c r="D10" s="431"/>
      <c r="E10" s="431"/>
      <c r="F10" s="4137">
        <f>IF(SUM(F11:F14)=0,"NO",SUM(F11:F14))</f>
        <v>2100.6607938768111</v>
      </c>
      <c r="G10" s="4138">
        <f>IF(SUM($F10)=0,"NA",I10/$F10*1000)</f>
        <v>1.8697428127558162</v>
      </c>
      <c r="H10" s="4139">
        <f>IF(SUM($F10)=0,"NA",J10/$F10*1000)</f>
        <v>7.6049123370003649E-2</v>
      </c>
      <c r="I10" s="3161">
        <f>IF(SUM(I11:I14)=0,"NO",SUM(I11:I14))</f>
        <v>3.9276954213890947</v>
      </c>
      <c r="J10" s="416">
        <f>IF(SUM(J11:J14)=0,"NO",SUM(J11:J14))</f>
        <v>0.15975341187206743</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1201.757039232245</v>
      </c>
      <c r="G11" s="4141">
        <f>IF(SUM($F11)=0,"NA",I11/$F11*1000)</f>
        <v>1.8666666666666669</v>
      </c>
      <c r="H11" s="4142">
        <f>IF(SUM($F11)=0,"NA",J11/$F11*1000)</f>
        <v>7.1657142857142878E-2</v>
      </c>
      <c r="I11" s="3291">
        <v>2.2432798065668575</v>
      </c>
      <c r="J11" s="3292">
        <v>8.6114475839842025E-2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713.59815477734662</v>
      </c>
      <c r="G12" s="4143">
        <f t="shared" ref="G12:G28" si="0">IF(SUM($F12)=0,"NA",I12/$F12*1000)</f>
        <v>1.8666666666666667</v>
      </c>
      <c r="H12" s="4142">
        <f t="shared" ref="H12:H28" si="1">IF(SUM($F12)=0,"NA",J12/$F12*1000)</f>
        <v>8.3600000000000008E-2</v>
      </c>
      <c r="I12" s="3149">
        <v>1.3320498889177137</v>
      </c>
      <c r="J12" s="3292">
        <v>5.9656805739386184E-2</v>
      </c>
      <c r="L12" s="1323" t="s">
        <v>1231</v>
      </c>
      <c r="M12" s="4165">
        <v>0.12855097895588116</v>
      </c>
      <c r="N12" s="4165">
        <v>0.11095052461466784</v>
      </c>
      <c r="O12" s="4165">
        <v>0.15658787819238226</v>
      </c>
      <c r="P12" s="4166">
        <v>8.6535741444978886E-2</v>
      </c>
      <c r="Q12" s="4166">
        <v>0.1131575424174824</v>
      </c>
      <c r="R12" s="4166">
        <v>0.16645577927585936</v>
      </c>
      <c r="S12" s="4166">
        <v>0.81499999999999995</v>
      </c>
      <c r="T12" s="4166">
        <v>0.17660013681847628</v>
      </c>
      <c r="U12" s="4166">
        <v>0.12704292466702025</v>
      </c>
      <c r="V12" s="4166">
        <v>0.31631552421345993</v>
      </c>
      <c r="W12" s="4166">
        <v>6.0887942604939856E-2</v>
      </c>
      <c r="X12" s="4140">
        <v>0.1287262105403906</v>
      </c>
    </row>
    <row r="13" spans="2:24" ht="18" customHeight="1" thickBot="1" x14ac:dyDescent="0.25">
      <c r="B13" s="432" t="s">
        <v>1232</v>
      </c>
      <c r="C13" s="433" t="s">
        <v>205</v>
      </c>
      <c r="D13" s="433" t="s">
        <v>205</v>
      </c>
      <c r="E13" s="433" t="s">
        <v>205</v>
      </c>
      <c r="F13" s="4140">
        <v>26.167728989229676</v>
      </c>
      <c r="G13" s="4143">
        <f t="shared" si="0"/>
        <v>1.96</v>
      </c>
      <c r="H13" s="4142">
        <f t="shared" si="1"/>
        <v>5.9714285714285713E-2</v>
      </c>
      <c r="I13" s="3149">
        <v>5.1288748818890159E-2</v>
      </c>
      <c r="J13" s="3292">
        <v>1.5625872453568577E-3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159.13787087798946</v>
      </c>
      <c r="G14" s="4145">
        <f t="shared" si="0"/>
        <v>1.8919253815860602</v>
      </c>
      <c r="H14" s="4146">
        <f t="shared" si="1"/>
        <v>7.8042661868992919E-2</v>
      </c>
      <c r="I14" s="3168">
        <f>IF(SUM(I15:I19)=0,"NO",SUM(I15:I19))</f>
        <v>0.30107697708563336</v>
      </c>
      <c r="J14" s="3064">
        <f>IF(SUM(J15:J19)=0,"NO",SUM(J15:J19))</f>
        <v>1.2419543047482386E-2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21.009664669264904</v>
      </c>
      <c r="G15" s="4147">
        <f t="shared" si="0"/>
        <v>1.8666666666666671</v>
      </c>
      <c r="H15" s="4148">
        <f t="shared" si="1"/>
        <v>9.5542857142857165E-2</v>
      </c>
      <c r="I15" s="3293">
        <v>3.9218040715961161E-2</v>
      </c>
      <c r="J15" s="3292">
        <v>2.0073233901149101E-3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83.281269013130839</v>
      </c>
      <c r="G16" s="4149">
        <f t="shared" si="0"/>
        <v>1.8666666666666669</v>
      </c>
      <c r="H16" s="4150">
        <f t="shared" si="1"/>
        <v>7.1657142857142864E-2</v>
      </c>
      <c r="I16" s="3294">
        <v>0.15545836882451092</v>
      </c>
      <c r="J16" s="3292">
        <v>5.9676977909980614E-3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2.5852374011474284</v>
      </c>
      <c r="G17" s="4149">
        <f t="shared" si="0"/>
        <v>1.8666666666666669</v>
      </c>
      <c r="H17" s="4150">
        <f t="shared" si="1"/>
        <v>7.165714285714285E-2</v>
      </c>
      <c r="I17" s="3294">
        <v>4.8257764821418667E-3</v>
      </c>
      <c r="J17" s="3292">
        <v>1.8525072577364998E-4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43.067336929139969</v>
      </c>
      <c r="G18" s="4149">
        <f t="shared" si="0"/>
        <v>1.96</v>
      </c>
      <c r="H18" s="4150">
        <f t="shared" si="1"/>
        <v>8.3599999999999994E-2</v>
      </c>
      <c r="I18" s="3294">
        <v>8.4411980381114332E-2</v>
      </c>
      <c r="J18" s="3292">
        <v>3.6004293672761015E-3</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9.1943628653063243</v>
      </c>
      <c r="G19" s="4149">
        <f t="shared" si="0"/>
        <v>1.8666666666666665</v>
      </c>
      <c r="H19" s="4150">
        <f t="shared" si="1"/>
        <v>7.165714285714285E-2</v>
      </c>
      <c r="I19" s="3294">
        <v>1.7162810681905137E-2</v>
      </c>
      <c r="J19" s="3292">
        <v>6.5884177331966445E-4</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202.06861637631141</v>
      </c>
      <c r="G20" s="4153">
        <f t="shared" si="0"/>
        <v>1.8666666666666667</v>
      </c>
      <c r="H20" s="4154">
        <f t="shared" si="1"/>
        <v>0.10748571428571428</v>
      </c>
      <c r="I20" s="3187">
        <f>I21</f>
        <v>0.37719475056911461</v>
      </c>
      <c r="J20" s="442">
        <f>J21</f>
        <v>2.1719489565933815E-2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202.06861637631141</v>
      </c>
      <c r="G21" s="4156">
        <f t="shared" si="0"/>
        <v>1.8666666666666667</v>
      </c>
      <c r="H21" s="4146">
        <f t="shared" si="1"/>
        <v>0.10748571428571428</v>
      </c>
      <c r="I21" s="3168">
        <f>I22</f>
        <v>0.37719475056911461</v>
      </c>
      <c r="J21" s="3064">
        <f>J22</f>
        <v>2.1719489565933815E-2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202.06861637631141</v>
      </c>
      <c r="G22" s="4158">
        <f t="shared" si="0"/>
        <v>1.8666666666666667</v>
      </c>
      <c r="H22" s="4159">
        <f t="shared" si="1"/>
        <v>0.10748571428571428</v>
      </c>
      <c r="I22" s="3295">
        <v>0.37719475056911461</v>
      </c>
      <c r="J22" s="3296">
        <v>2.1719489565933815E-2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471.43020229943983</v>
      </c>
      <c r="G26" s="4163">
        <f t="shared" si="0"/>
        <v>1.8666666666666665</v>
      </c>
      <c r="H26" s="4164">
        <f t="shared" si="1"/>
        <v>5.9714285714285727E-2</v>
      </c>
      <c r="I26" s="3297">
        <v>0.8800030442922876</v>
      </c>
      <c r="J26" s="3298">
        <v>2.8151117794452268E-2</v>
      </c>
      <c r="L26" s="159"/>
    </row>
    <row r="27" spans="2:24" ht="18" customHeight="1" x14ac:dyDescent="0.2">
      <c r="B27" s="439" t="s">
        <v>1242</v>
      </c>
      <c r="C27" s="440"/>
      <c r="D27" s="441"/>
      <c r="E27" s="441"/>
      <c r="F27" s="4152">
        <f>IF(SUM(F28:F29)=0,"NO",SUM(F28:F29))</f>
        <v>289.87958340839293</v>
      </c>
      <c r="G27" s="4153">
        <f t="shared" si="0"/>
        <v>1.8666902513771633</v>
      </c>
      <c r="H27" s="4154">
        <f t="shared" si="1"/>
        <v>0.10750683944783017</v>
      </c>
      <c r="I27" s="3187">
        <f>IF(SUM(I28:I29)=0,"NO",SUM(I28:I29))</f>
        <v>0.54111539242172035</v>
      </c>
      <c r="J27" s="442">
        <f>IF(SUM(J28:J29)=0,"NO",SUM(J28:J29))</f>
        <v>3.1164037832689995E-2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7.3250636286925311E-2</v>
      </c>
      <c r="G28" s="4149">
        <f t="shared" si="0"/>
        <v>1.96</v>
      </c>
      <c r="H28" s="4150">
        <f t="shared" si="1"/>
        <v>0.1910857142857143</v>
      </c>
      <c r="I28" s="3294">
        <v>1.4357124712237362E-4</v>
      </c>
      <c r="J28" s="3292">
        <v>1.3997150156770186E-5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289.80633277210603</v>
      </c>
      <c r="G29" s="4149">
        <f t="shared" ref="G29" si="2">IF(SUM($F29)=0,"NA",I29/$F29*1000)</f>
        <v>1.8666666666666669</v>
      </c>
      <c r="H29" s="4150">
        <f t="shared" ref="H29" si="3">IF(SUM($F29)=0,"NA",J29/$F29*1000)</f>
        <v>0.10748571428571428</v>
      </c>
      <c r="I29" s="3294">
        <v>0.54097182117459797</v>
      </c>
      <c r="J29" s="3292">
        <v>3.1150040682533225E-2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19" t="s">
        <v>1243</v>
      </c>
      <c r="C41" s="4520"/>
      <c r="D41" s="4520"/>
      <c r="E41" s="4520"/>
      <c r="F41" s="4520"/>
      <c r="G41" s="4520"/>
      <c r="H41" s="4520"/>
      <c r="I41" s="4520"/>
      <c r="J41" s="4521"/>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1318.3866247265748</v>
      </c>
    </row>
    <row r="11" spans="2:5" s="83" customFormat="1" ht="18" customHeight="1" x14ac:dyDescent="0.2">
      <c r="B11" s="1858" t="s">
        <v>1361</v>
      </c>
      <c r="C11" s="4175">
        <v>3194748.5675054425</v>
      </c>
      <c r="D11" s="3534">
        <f>IF(SUM(C11)=0,"NA",E11*1000/(44/12)/C11)</f>
        <v>0.108</v>
      </c>
      <c r="E11" s="3395">
        <v>1265.1204327321552</v>
      </c>
    </row>
    <row r="12" spans="2:5" s="83" customFormat="1" ht="18" customHeight="1" x14ac:dyDescent="0.2">
      <c r="B12" s="1858" t="s">
        <v>1362</v>
      </c>
      <c r="C12" s="4175">
        <v>117628.69045510422</v>
      </c>
      <c r="D12" s="3534">
        <f t="shared" ref="D12:D16" si="0">IF(SUM(C12)=0,"NA",E12*1000/(44/12)/C12)</f>
        <v>0.12350000000000005</v>
      </c>
      <c r="E12" s="3395">
        <v>53.266191994419714</v>
      </c>
    </row>
    <row r="13" spans="2:5" s="83" customFormat="1" ht="18" customHeight="1" x14ac:dyDescent="0.2">
      <c r="B13" s="853" t="s">
        <v>1363</v>
      </c>
      <c r="C13" s="4176">
        <v>2015670.7206830001</v>
      </c>
      <c r="D13" s="4177">
        <f t="shared" si="0"/>
        <v>0.20000000000000004</v>
      </c>
      <c r="E13" s="3396">
        <v>1478.1585285008669</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-78758.785798327925</v>
      </c>
      <c r="D10" s="4269">
        <f t="shared" ref="D10:H10" si="0">IF(SUM(D11,D14,D17,D20,D23,D26,D29:D30)=0,"NO",SUM(D11,D14,D17,D20,D23,D26,D29:D30))</f>
        <v>506.72538151669215</v>
      </c>
      <c r="E10" s="4269">
        <f t="shared" si="0"/>
        <v>12.599288192913253</v>
      </c>
      <c r="F10" s="4269">
        <f t="shared" si="0"/>
        <v>683.24165966991018</v>
      </c>
      <c r="G10" s="4269">
        <f t="shared" si="0"/>
        <v>17638.240060416934</v>
      </c>
      <c r="H10" s="4270">
        <f t="shared" si="0"/>
        <v>391.67352724773224</v>
      </c>
      <c r="I10" s="4271">
        <f>IF(SUM(C10:E10)=0,"NO",SUM(C10)+28*SUM(D10)+265*SUM(E10))</f>
        <v>-61231.663744738529</v>
      </c>
      <c r="J10" s="4259"/>
    </row>
    <row r="11" spans="2:10" ht="18" customHeight="1" x14ac:dyDescent="0.2">
      <c r="B11" s="464" t="s">
        <v>1252</v>
      </c>
      <c r="C11" s="4272">
        <f>IF(SUM(C12:C13)=0,"NO",SUM(C12:C13))</f>
        <v>-80293.884304624618</v>
      </c>
      <c r="D11" s="4272">
        <f t="shared" ref="D11:H11" si="1">IF(SUM(D12:D13)=0,"NO",SUM(D12:D13))</f>
        <v>208.99923353828316</v>
      </c>
      <c r="E11" s="4272">
        <f t="shared" si="1"/>
        <v>4.741209799910572</v>
      </c>
      <c r="F11" s="4272">
        <f t="shared" si="1"/>
        <v>228.71514480290611</v>
      </c>
      <c r="G11" s="4272">
        <f t="shared" si="1"/>
        <v>6060.0519169605395</v>
      </c>
      <c r="H11" s="4273">
        <f t="shared" si="1"/>
        <v>182.40813323811417</v>
      </c>
      <c r="I11" s="4274">
        <f t="shared" ref="I11:I32" si="2">IF(SUM(C11:E11)=0,"NO",SUM(C11)+28*SUM(D11)+265*SUM(E11))</f>
        <v>-73185.485168576386</v>
      </c>
    </row>
    <row r="12" spans="2:10" ht="18" customHeight="1" x14ac:dyDescent="0.2">
      <c r="B12" s="465" t="s">
        <v>1253</v>
      </c>
      <c r="C12" s="4275">
        <f>IF(SUM(Table4.A!U11,'Table4(IV)'!J12)=0,"NO",SUM(Table4.A!U11,'Table4(IV)'!J12))</f>
        <v>-44799.008863683041</v>
      </c>
      <c r="D12" s="4275">
        <f>'Table4(IV)'!K12</f>
        <v>203.0451392673292</v>
      </c>
      <c r="E12" s="4275">
        <f>IF(SUM('Table4(III)'!I12,'Table4(IV)'!L12)=0,"NO",SUM('Table4(III)'!I12,'Table4(IV)'!L12))</f>
        <v>3.7141985336607499</v>
      </c>
      <c r="F12" s="4276">
        <v>225.5071562364873</v>
      </c>
      <c r="G12" s="4276">
        <v>5936.1681040238009</v>
      </c>
      <c r="H12" s="4277">
        <v>167.76708847741747</v>
      </c>
      <c r="I12" s="4278">
        <f t="shared" si="2"/>
        <v>-38129.482352777726</v>
      </c>
    </row>
    <row r="13" spans="2:10" ht="18" customHeight="1" thickBot="1" x14ac:dyDescent="0.25">
      <c r="B13" s="466" t="s">
        <v>1254</v>
      </c>
      <c r="C13" s="4279">
        <f>IF(SUM(Table4.A!U16,'Table4(IV)'!J19)=0,"NO",SUM(Table4.A!U16,'Table4(IV)'!J19))</f>
        <v>-35494.875440941578</v>
      </c>
      <c r="D13" s="4279">
        <f>'Table4(IV)'!K19</f>
        <v>5.9540942709539584</v>
      </c>
      <c r="E13" s="4279">
        <f>IF(SUM('Table4(III)'!I13,'Table4(IV)'!L19)=0,"NO",SUM('Table4(III)'!I13,'Table4(IV)'!L19))</f>
        <v>1.0270112662498221</v>
      </c>
      <c r="F13" s="4280">
        <v>3.207988566418793</v>
      </c>
      <c r="G13" s="4280">
        <v>123.88381293673909</v>
      </c>
      <c r="H13" s="4281">
        <v>14.641044760696698</v>
      </c>
      <c r="I13" s="4282">
        <f t="shared" si="2"/>
        <v>-35056.002815798667</v>
      </c>
    </row>
    <row r="14" spans="2:10" ht="18" customHeight="1" x14ac:dyDescent="0.2">
      <c r="B14" s="464" t="s">
        <v>1255</v>
      </c>
      <c r="C14" s="4272">
        <f>IF(SUM(C15:C16)=0,"NO",SUM(C15:C16))</f>
        <v>-8911.0867459891688</v>
      </c>
      <c r="D14" s="4272">
        <f t="shared" ref="D14" si="3">IF(SUM(D15:D16)=0,"NO",SUM(D15:D16))</f>
        <v>0.55681991020944188</v>
      </c>
      <c r="E14" s="4272">
        <f t="shared" ref="E14" si="4">IF(SUM(E15:E16)=0,"NO",SUM(E15:E16))</f>
        <v>0.10302905575741669</v>
      </c>
      <c r="F14" s="4272">
        <f t="shared" ref="F14" si="5">IF(SUM(F15:F16)=0,"NO",SUM(F15:F16))</f>
        <v>0.41927213477080005</v>
      </c>
      <c r="G14" s="4272">
        <f t="shared" ref="G14" si="6">IF(SUM(G15:G16)=0,"NO",SUM(G15:G16))</f>
        <v>16.421031611269193</v>
      </c>
      <c r="H14" s="4273">
        <f t="shared" ref="H14" si="7">IF(SUM(H15:H16)=0,"NO",SUM(H15:H16))</f>
        <v>1.9849598650984737</v>
      </c>
      <c r="I14" s="4283">
        <f t="shared" si="2"/>
        <v>-8868.1930887275885</v>
      </c>
    </row>
    <row r="15" spans="2:10" ht="18" customHeight="1" x14ac:dyDescent="0.2">
      <c r="B15" s="465" t="s">
        <v>1256</v>
      </c>
      <c r="C15" s="4275">
        <f>IF(SUM(Table4.B!S11,'Table4(IV)'!J26)=0,"NO",SUM(Table4.B!S11,'Table4(IV)'!J26))</f>
        <v>-10341.306503527801</v>
      </c>
      <c r="D15" s="4275" t="str">
        <f>'Table4(IV)'!K26</f>
        <v>IE</v>
      </c>
      <c r="E15" s="4275" t="str">
        <f>'Table4(IV)'!L26</f>
        <v>IE</v>
      </c>
      <c r="F15" s="4276" t="s">
        <v>274</v>
      </c>
      <c r="G15" s="4276" t="s">
        <v>274</v>
      </c>
      <c r="H15" s="4277" t="s">
        <v>274</v>
      </c>
      <c r="I15" s="4278">
        <f t="shared" si="2"/>
        <v>-10341.306503527801</v>
      </c>
    </row>
    <row r="16" spans="2:10" ht="18" customHeight="1" thickBot="1" x14ac:dyDescent="0.25">
      <c r="B16" s="466" t="s">
        <v>1257</v>
      </c>
      <c r="C16" s="4279">
        <f>IF(SUM(Table4.B!S13,'Table4(IV)'!J31)=0,"IE",SUM(Table4.B!S13,'Table4(IV)'!J31))</f>
        <v>1430.2197575386322</v>
      </c>
      <c r="D16" s="4279">
        <f>'Table4(IV)'!K31</f>
        <v>0.55681991020944188</v>
      </c>
      <c r="E16" s="4279">
        <f>IF(SUM('Table4(III)'!I21,'Table4(IV)'!L31)=0,"IE",SUM('Table4(III)'!I21,'Table4(IV)'!L31))</f>
        <v>0.10302905575741669</v>
      </c>
      <c r="F16" s="4280">
        <v>0.41927213477080005</v>
      </c>
      <c r="G16" s="4280">
        <v>16.421031611269193</v>
      </c>
      <c r="H16" s="4281">
        <v>1.9849598650984737</v>
      </c>
      <c r="I16" s="4282">
        <f t="shared" si="2"/>
        <v>1473.113414800212</v>
      </c>
    </row>
    <row r="17" spans="2:9" ht="18" customHeight="1" x14ac:dyDescent="0.2">
      <c r="B17" s="464" t="s">
        <v>1258</v>
      </c>
      <c r="C17" s="4272">
        <f>IF(SUM(C18:C19)=0,"NO",SUM(C18:C19))</f>
        <v>12423.756939155177</v>
      </c>
      <c r="D17" s="4272">
        <f t="shared" ref="D17" si="8">IF(SUM(D18:D19)=0,"NO",SUM(D18:D19))</f>
        <v>229.90962483655585</v>
      </c>
      <c r="E17" s="4272">
        <f t="shared" ref="E17" si="9">IF(SUM(E18:E19)=0,"NO",SUM(E18:E19))</f>
        <v>7.1758066280757387</v>
      </c>
      <c r="F17" s="4272">
        <f t="shared" ref="F17" si="10">IF(SUM(F18:F19)=0,"NO",SUM(F18:F19))</f>
        <v>430.99914624494511</v>
      </c>
      <c r="G17" s="4272">
        <f t="shared" ref="G17" si="11">IF(SUM(G18:G19)=0,"NO",SUM(G18:G19))</f>
        <v>11000.60550796662</v>
      </c>
      <c r="H17" s="4273">
        <f t="shared" ref="H17" si="12">IF(SUM(H18:H19)=0,"NO",SUM(H18:H19))</f>
        <v>204.73287953398608</v>
      </c>
      <c r="I17" s="4283">
        <f t="shared" si="2"/>
        <v>20762.81519101881</v>
      </c>
    </row>
    <row r="18" spans="2:9" ht="18" customHeight="1" x14ac:dyDescent="0.2">
      <c r="B18" s="465" t="s">
        <v>1259</v>
      </c>
      <c r="C18" s="4275">
        <f>IF(SUM(Table4.C!S11,'Table4(IV)'!J37)=0,"IE",SUM(Table4.C!S11,'Table4(IV)'!J37))</f>
        <v>-22039.341183385954</v>
      </c>
      <c r="D18" s="4275">
        <f>'Table4(IV)'!K37</f>
        <v>197.51042729546535</v>
      </c>
      <c r="E18" s="4275">
        <f>IF(SUM('Table4(III)'!I29,'Table4(IV)'!L37)=0,"NO",SUM('Table4(III)'!I29,'Table4(IV)'!L37))</f>
        <v>6.1482660130864959</v>
      </c>
      <c r="F18" s="4276">
        <v>405.80561604597131</v>
      </c>
      <c r="G18" s="4276">
        <v>10036.453533474007</v>
      </c>
      <c r="H18" s="4277">
        <v>92.471343270381581</v>
      </c>
      <c r="I18" s="4278">
        <f t="shared" si="2"/>
        <v>-14879.758725645002</v>
      </c>
    </row>
    <row r="19" spans="2:9" ht="18" customHeight="1" thickBot="1" x14ac:dyDescent="0.25">
      <c r="B19" s="466" t="s">
        <v>1260</v>
      </c>
      <c r="C19" s="4279">
        <f>IF(SUM(Table4.C!S15,'Table4(IV)'!J42)=0,"IE",SUM(Table4.C!S15,'Table4(IV)'!J42))</f>
        <v>34463.098122541131</v>
      </c>
      <c r="D19" s="4279">
        <f>'Table4(IV)'!K42</f>
        <v>32.399197541090516</v>
      </c>
      <c r="E19" s="4279">
        <f>IF(SUM('Table4(III)'!I30,'Table4(IV)'!L42)=0,"NO",SUM('Table4(III)'!I30,'Table4(IV)'!L42))</f>
        <v>1.0275406149892423</v>
      </c>
      <c r="F19" s="4280">
        <v>25.193530198973829</v>
      </c>
      <c r="G19" s="4280">
        <v>964.15197449261359</v>
      </c>
      <c r="H19" s="4281">
        <v>112.26153626360448</v>
      </c>
      <c r="I19" s="4282">
        <f t="shared" si="2"/>
        <v>35642.573916663816</v>
      </c>
    </row>
    <row r="20" spans="2:9" ht="18" customHeight="1" x14ac:dyDescent="0.2">
      <c r="B20" s="464" t="s">
        <v>1261</v>
      </c>
      <c r="C20" s="4272">
        <f>IF(SUM(C21:C22)=0,"NO",SUM(C21:C22))</f>
        <v>-1022.9871660343518</v>
      </c>
      <c r="D20" s="4272">
        <f t="shared" ref="D20" si="13">IF(SUM(D21:D22)=0,"NO",SUM(D21:D22))</f>
        <v>66.642798890522485</v>
      </c>
      <c r="E20" s="4272">
        <f t="shared" ref="E20" si="14">IF(SUM(E21:E22)=0,"NO",SUM(E21:E22))</f>
        <v>0.31554565155694314</v>
      </c>
      <c r="F20" s="4272">
        <f t="shared" ref="F20" si="15">IF(SUM(F21:F22)=0,"NO",SUM(F21:F22))</f>
        <v>22.64358220662244</v>
      </c>
      <c r="G20" s="4272">
        <f t="shared" ref="G20" si="16">IF(SUM(G21:G22)=0,"NO",SUM(G21:G22))</f>
        <v>542.96863789265956</v>
      </c>
      <c r="H20" s="4273">
        <f t="shared" ref="H20" si="17">IF(SUM(H21:H22)=0,"NO",SUM(H21:H22))</f>
        <v>0.34840487598112319</v>
      </c>
      <c r="I20" s="4283">
        <f t="shared" si="2"/>
        <v>926.63080056286765</v>
      </c>
    </row>
    <row r="21" spans="2:9" ht="18" customHeight="1" x14ac:dyDescent="0.2">
      <c r="B21" s="465" t="s">
        <v>1262</v>
      </c>
      <c r="C21" s="4275">
        <f>IF(SUM(Table4.D!S11,'Table4(IV)'!J49)=0,"IE",SUM(Table4.D!S11,'Table4(IV)'!J49))</f>
        <v>-1028.3893119526565</v>
      </c>
      <c r="D21" s="4275">
        <f>IF(SUM('Table4(IV)'!K49,'Table4(II)'!J270)=0,"NO",SUM('Table4(IV)'!K49,'Table4(II)'!J270))</f>
        <v>66.110942955644504</v>
      </c>
      <c r="E21" s="4275">
        <f>IF(SUM('Table4(II)'!I270,'Table4(III)'!I38,'Table4(IV)'!L49)=0,"NO",SUM('Table4(II)'!I270,'Table4(III)'!I38,'Table4(IV)'!L49))</f>
        <v>0.31554565155694314</v>
      </c>
      <c r="F21" s="4276">
        <v>22.64358220662244</v>
      </c>
      <c r="G21" s="4276">
        <v>542.96863789265956</v>
      </c>
      <c r="H21" s="4277">
        <v>0.34840487598112319</v>
      </c>
      <c r="I21" s="4278">
        <f t="shared" si="2"/>
        <v>906.33668846797946</v>
      </c>
    </row>
    <row r="22" spans="2:9" ht="18" customHeight="1" thickBot="1" x14ac:dyDescent="0.25">
      <c r="B22" s="466" t="s">
        <v>1263</v>
      </c>
      <c r="C22" s="4279">
        <f>IF(SUM(Table4.D!S23,'Table4(II)'!H320,'Table4(IV)'!J54)=0,"NO",SUM(Table4.D!S23,'Table4(II)'!H320,'Table4(IV)'!J54))</f>
        <v>5.4021459183046616</v>
      </c>
      <c r="D22" s="4279">
        <f>IF(SUM('Table4(IV)'!K54,'Table4(II)'!J320)=0,"NO",SUM('Table4(IV)'!K54,'Table4(II)'!J320))</f>
        <v>0.53185593487798388</v>
      </c>
      <c r="E22" s="4279" t="str">
        <f>IF(SUM('Table4(II)'!I320,'Table4(III)'!I39,'Table4(IV)'!L54)=0,"NO",SUM('Table4(II)'!I320,'Table4(III)'!I39,'Table4(IV)'!L54))</f>
        <v>NO</v>
      </c>
      <c r="F22" s="4280" t="s">
        <v>274</v>
      </c>
      <c r="G22" s="4280" t="s">
        <v>274</v>
      </c>
      <c r="H22" s="4281" t="s">
        <v>274</v>
      </c>
      <c r="I22" s="4282">
        <f t="shared" si="2"/>
        <v>20.294112094888209</v>
      </c>
    </row>
    <row r="23" spans="2:9" ht="18" customHeight="1" x14ac:dyDescent="0.2">
      <c r="B23" s="464" t="s">
        <v>1264</v>
      </c>
      <c r="C23" s="4272">
        <f>IF(SUM(C24:C25)=0,"NO",SUM(C24:C25))</f>
        <v>3465.1997592324474</v>
      </c>
      <c r="D23" s="4272">
        <f t="shared" ref="D23" si="18">IF(SUM(D24:D25)=0,"NO",SUM(D24:D25))</f>
        <v>0.61690434112117654</v>
      </c>
      <c r="E23" s="4272">
        <f t="shared" ref="E23" si="19">IF(SUM(E24:E25)=0,"NO",SUM(E24:E25))</f>
        <v>3.6101538645439739E-2</v>
      </c>
      <c r="F23" s="4272">
        <f>IF(SUM(F24:F25)=0,"NO",SUM(F24:F25))</f>
        <v>0.46451428066564771</v>
      </c>
      <c r="G23" s="4272">
        <f t="shared" ref="G23" si="20">IF(SUM(G24:G25)=0,"NO",SUM(G24:G25))</f>
        <v>18.1929659858421</v>
      </c>
      <c r="H23" s="4273">
        <f t="shared" ref="H23" si="21">IF(SUM(H24:H25)=0,"NO",SUM(H24:H25))</f>
        <v>2.1991497345523419</v>
      </c>
      <c r="I23" s="4283">
        <f t="shared" si="2"/>
        <v>3492.0399885248821</v>
      </c>
    </row>
    <row r="24" spans="2:9" ht="18" customHeight="1" thickBot="1" x14ac:dyDescent="0.25">
      <c r="B24" s="465" t="s">
        <v>1265</v>
      </c>
      <c r="C24" s="4275">
        <f>IF(SUM(Table4.E!S11,'Table4(IV)'!J60)=0,"IE",SUM(Table4.E!S11,'Table4(IV)'!J60))</f>
        <v>-78.057043761163712</v>
      </c>
      <c r="D24" s="4275" t="str">
        <f>'Table4(IV)'!K60</f>
        <v>IE</v>
      </c>
      <c r="E24" s="4275">
        <f>IF(SUM('Table4(III)'!I47,'Table4(IV)'!L60)=0,"IE",SUM('Table4(III)'!I47,'Table4(IV)'!L60))</f>
        <v>1.677538451275918E-4</v>
      </c>
      <c r="F24" s="4280" t="s">
        <v>274</v>
      </c>
      <c r="G24" s="4280" t="s">
        <v>274</v>
      </c>
      <c r="H24" s="4281" t="s">
        <v>274</v>
      </c>
      <c r="I24" s="4278">
        <f t="shared" si="2"/>
        <v>-78.012588992204897</v>
      </c>
    </row>
    <row r="25" spans="2:9" ht="18" customHeight="1" thickBot="1" x14ac:dyDescent="0.25">
      <c r="B25" s="466" t="s">
        <v>1266</v>
      </c>
      <c r="C25" s="4279">
        <f>IF(SUM(Table4.E!S13,'Table4(IV)'!J65)=0,"IE",SUM(Table4.E!S13,'Table4(IV)'!J65))</f>
        <v>3543.256802993611</v>
      </c>
      <c r="D25" s="4279">
        <f>'Table4(IV)'!K65</f>
        <v>0.61690434112117654</v>
      </c>
      <c r="E25" s="4279">
        <f>IF(SUM('Table4(III)'!I48,'Table4(IV)'!L65)=0,"NO",SUM('Table4(III)'!I48,'Table4(IV)'!L65))</f>
        <v>3.5933784800312146E-2</v>
      </c>
      <c r="F25" s="4280">
        <v>0.46451428066564771</v>
      </c>
      <c r="G25" s="4280">
        <v>18.1929659858421</v>
      </c>
      <c r="H25" s="4281">
        <v>2.1991497345523419</v>
      </c>
      <c r="I25" s="4282">
        <f t="shared" si="2"/>
        <v>3570.0525775170868</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-4419.7842800674098</v>
      </c>
      <c r="D29" s="4288"/>
      <c r="E29" s="4288"/>
      <c r="F29" s="4288"/>
      <c r="G29" s="4288"/>
      <c r="H29" s="4289"/>
      <c r="I29" s="4290">
        <f t="shared" si="2"/>
        <v>-4419.7842800674098</v>
      </c>
    </row>
    <row r="30" spans="2:9" ht="18" customHeight="1" x14ac:dyDescent="0.2">
      <c r="B30" s="1167" t="s">
        <v>1271</v>
      </c>
      <c r="C30" s="4291" t="str">
        <f>IF(SUM(C31:C32)=0,"NO",SUM(C31:C32))</f>
        <v>NO</v>
      </c>
      <c r="D30" s="4291" t="str">
        <f t="shared" ref="D30" si="27">IF(SUM(D31:D32)=0,"NO",SUM(D31:D32))</f>
        <v>NO</v>
      </c>
      <c r="E30" s="4291">
        <f t="shared" ref="E30" si="28">IF(SUM(E31:E32)=0,"NO",SUM(E31:E32))</f>
        <v>0.22759551896714286</v>
      </c>
      <c r="F30" s="4291" t="str">
        <f t="shared" ref="F30" si="29">IF(SUM(F31:F32)=0,"NO",SUM(F31:F32))</f>
        <v>NO</v>
      </c>
      <c r="G30" s="4291" t="str">
        <f t="shared" ref="G30" si="30">IF(SUM(G31:G32)=0,"NO",SUM(G31:G32))</f>
        <v>NO</v>
      </c>
      <c r="H30" s="4292" t="str">
        <f t="shared" ref="H30" si="31">IF(SUM(H31:H32)=0,"NO",SUM(H31:H32))</f>
        <v>NO</v>
      </c>
      <c r="I30" s="4293">
        <f t="shared" si="2"/>
        <v>60.312812526292859</v>
      </c>
    </row>
    <row r="31" spans="2:9" ht="18" customHeight="1" x14ac:dyDescent="0.2">
      <c r="B31" s="2693" t="s">
        <v>1272</v>
      </c>
      <c r="C31" s="4294" t="s">
        <v>199</v>
      </c>
      <c r="D31" s="4294" t="s">
        <v>199</v>
      </c>
      <c r="E31" s="4294">
        <v>0.22759551896714286</v>
      </c>
      <c r="F31" s="4294" t="s">
        <v>199</v>
      </c>
      <c r="G31" s="4294" t="s">
        <v>199</v>
      </c>
      <c r="H31" s="4295" t="s">
        <v>199</v>
      </c>
      <c r="I31" s="4296">
        <f t="shared" si="2"/>
        <v>60.312812526292859</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634250.39444310649</v>
      </c>
      <c r="D35" s="4297">
        <v>2772.3030663130285</v>
      </c>
      <c r="E35" s="4297">
        <v>25.86557680206727</v>
      </c>
      <c r="F35" s="4297">
        <v>1068.4231592360195</v>
      </c>
      <c r="G35" s="4297">
        <v>41845.400676621975</v>
      </c>
      <c r="H35" s="4297">
        <v>5058.2352466246339</v>
      </c>
      <c r="I35" s="4302">
        <f t="shared" ref="I35" si="32">IF(SUM(C35:E35)=0,"NO",SUM(C35)+28*SUM(D35)+265*SUM(E35))</f>
        <v>718729.25815241912</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2" t="s">
        <v>1276</v>
      </c>
      <c r="C60" s="4493"/>
      <c r="D60" s="4493"/>
      <c r="E60" s="4493"/>
      <c r="F60" s="4493"/>
      <c r="G60" s="4493"/>
      <c r="H60" s="4493"/>
      <c r="I60" s="4494"/>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377584.25662637874</v>
      </c>
      <c r="D10" s="4489">
        <f t="shared" ref="D10:I10" si="0">IF(SUM(D11,D37,D47)=0,"NO",SUM(D11,D37,D47))</f>
        <v>1379.7521926591946</v>
      </c>
      <c r="E10" s="4489">
        <f t="shared" si="0"/>
        <v>9.6507658736134214</v>
      </c>
      <c r="F10" s="4489">
        <f t="shared" si="0"/>
        <v>2952.8918476131266</v>
      </c>
      <c r="G10" s="4489">
        <f t="shared" si="0"/>
        <v>2050.8436367846552</v>
      </c>
      <c r="H10" s="4489">
        <f t="shared" si="0"/>
        <v>717.00949091025814</v>
      </c>
      <c r="I10" s="4490">
        <f t="shared" si="0"/>
        <v>603.64279540357904</v>
      </c>
      <c r="J10" s="4427">
        <f t="shared" ref="J10:J40" si="1">IF(SUM(C10:E10)=0,"NO",SUM(C10,IFERROR(28*D10,0),IFERROR(265*E10,0)))</f>
        <v>418774.77097734378</v>
      </c>
    </row>
    <row r="11" spans="2:10" s="83" customFormat="1" ht="18" customHeight="1" thickBot="1" x14ac:dyDescent="0.25">
      <c r="B11" s="18" t="s">
        <v>174</v>
      </c>
      <c r="C11" s="3010">
        <f>IF(SUM(C12,C16,C24,C30,C34)=0,"NO",SUM(C12,C16,C24,C30,C34))</f>
        <v>360287.65911070595</v>
      </c>
      <c r="D11" s="3010">
        <f t="shared" ref="D11:I11" si="2">IF(SUM(D12,D16,D24,D30,D34)=0,"NO",SUM(D12,D16,D24,D30,D34))</f>
        <v>75.55092273703238</v>
      </c>
      <c r="E11" s="3010">
        <f t="shared" si="2"/>
        <v>9.4224966384334419</v>
      </c>
      <c r="F11" s="3010">
        <f t="shared" si="2"/>
        <v>2949.2940082135369</v>
      </c>
      <c r="G11" s="3010">
        <f t="shared" si="2"/>
        <v>2030.1490609545353</v>
      </c>
      <c r="H11" s="3010">
        <f t="shared" si="2"/>
        <v>493.2309929359958</v>
      </c>
      <c r="I11" s="3011">
        <f t="shared" si="2"/>
        <v>603.64279540357904</v>
      </c>
      <c r="J11" s="3012">
        <f t="shared" si="1"/>
        <v>364900.04655652773</v>
      </c>
    </row>
    <row r="12" spans="2:10" s="83" customFormat="1" ht="18" customHeight="1" x14ac:dyDescent="0.2">
      <c r="B12" s="26" t="s">
        <v>175</v>
      </c>
      <c r="C12" s="3010">
        <f>IF(SUM(C13:C15)=0,"NO",SUM(C13:C15))</f>
        <v>206098.02671549973</v>
      </c>
      <c r="D12" s="3010">
        <f t="shared" ref="D12:I12" si="3">IF(SUM(D13:D15)=0,"NO",SUM(D13:D15))</f>
        <v>26.302414494130744</v>
      </c>
      <c r="E12" s="3010">
        <f t="shared" si="3"/>
        <v>3.1494570993099864</v>
      </c>
      <c r="F12" s="3010">
        <f t="shared" si="3"/>
        <v>1497.1420397566471</v>
      </c>
      <c r="G12" s="3010">
        <f t="shared" si="3"/>
        <v>301.69279842391745</v>
      </c>
      <c r="H12" s="3010">
        <f>IF(SUM(H13:H15)=0,"NO",SUM(H13:H15))</f>
        <v>82.53201230859537</v>
      </c>
      <c r="I12" s="3011">
        <f t="shared" si="3"/>
        <v>506.76449528685896</v>
      </c>
      <c r="J12" s="3012">
        <f t="shared" si="1"/>
        <v>207669.10045265255</v>
      </c>
    </row>
    <row r="13" spans="2:10" s="83" customFormat="1" ht="18" customHeight="1" x14ac:dyDescent="0.2">
      <c r="B13" s="20" t="s">
        <v>176</v>
      </c>
      <c r="C13" s="3013">
        <f>'Table1.A(a)s1'!H24</f>
        <v>171128.72208816156</v>
      </c>
      <c r="D13" s="3013">
        <f>'Table1.A(a)s1'!I24</f>
        <v>11.373916671733916</v>
      </c>
      <c r="E13" s="3013">
        <f>'Table1.A(a)s1'!J24</f>
        <v>2.2673999993613996</v>
      </c>
      <c r="F13" s="3014">
        <v>928.2545548398798</v>
      </c>
      <c r="G13" s="3014">
        <v>135.70380326528445</v>
      </c>
      <c r="H13" s="3014">
        <v>12.869653296104062</v>
      </c>
      <c r="I13" s="3015">
        <v>489.56883942352346</v>
      </c>
      <c r="J13" s="3016">
        <f t="shared" si="1"/>
        <v>172048.05275480088</v>
      </c>
    </row>
    <row r="14" spans="2:10" s="83" customFormat="1" ht="18" customHeight="1" x14ac:dyDescent="0.2">
      <c r="B14" s="20" t="s">
        <v>177</v>
      </c>
      <c r="C14" s="3013">
        <f>'Table1.A(a)s1'!H53</f>
        <v>2651.5522846757085</v>
      </c>
      <c r="D14" s="3013">
        <f>'Table1.A(a)s1'!I53</f>
        <v>4.4291574826992017E-2</v>
      </c>
      <c r="E14" s="3013">
        <f>'Table1.A(a)s1'!J53</f>
        <v>6.5716795257291126E-3</v>
      </c>
      <c r="F14" s="3014">
        <v>17.56309160129376</v>
      </c>
      <c r="G14" s="3014">
        <v>2.2492537635811516</v>
      </c>
      <c r="H14" s="3014">
        <v>4.1118475256439538E-2</v>
      </c>
      <c r="I14" s="3015">
        <v>4.7873136391986835</v>
      </c>
      <c r="J14" s="3016">
        <f t="shared" si="1"/>
        <v>2654.5339438451824</v>
      </c>
    </row>
    <row r="15" spans="2:10" s="83" customFormat="1" ht="18" customHeight="1" thickBot="1" x14ac:dyDescent="0.25">
      <c r="B15" s="21" t="s">
        <v>178</v>
      </c>
      <c r="C15" s="3017">
        <f>'Table1.A(a)s1'!H60</f>
        <v>32317.752342662447</v>
      </c>
      <c r="D15" s="3017">
        <f>'Table1.A(a)s1'!I60</f>
        <v>14.884206247569834</v>
      </c>
      <c r="E15" s="3017">
        <f>'Table1.A(a)s1'!J60</f>
        <v>0.87548542042285782</v>
      </c>
      <c r="F15" s="3018">
        <v>551.32439331547346</v>
      </c>
      <c r="G15" s="3018">
        <v>163.73974139505188</v>
      </c>
      <c r="H15" s="3018">
        <v>69.621240537234868</v>
      </c>
      <c r="I15" s="3019">
        <v>12.408342224136844</v>
      </c>
      <c r="J15" s="3020">
        <f t="shared" si="1"/>
        <v>32966.513754006461</v>
      </c>
    </row>
    <row r="16" spans="2:10" s="83" customFormat="1" ht="18" customHeight="1" x14ac:dyDescent="0.2">
      <c r="B16" s="25" t="s">
        <v>179</v>
      </c>
      <c r="C16" s="3010">
        <f>IF(SUM(C17:C23)=0,"NO",SUM(C17:C23))</f>
        <v>41271.375033629491</v>
      </c>
      <c r="D16" s="3010">
        <f t="shared" ref="D16:I16" si="4">IF(SUM(D17:D23)=0,"NO",SUM(D17:D23))</f>
        <v>2.3034611967719378</v>
      </c>
      <c r="E16" s="3010">
        <f t="shared" si="4"/>
        <v>1.4704603755586001</v>
      </c>
      <c r="F16" s="3010">
        <f t="shared" si="4"/>
        <v>824.90157440361156</v>
      </c>
      <c r="G16" s="3010">
        <f t="shared" si="4"/>
        <v>259.95559511537778</v>
      </c>
      <c r="H16" s="3010">
        <f t="shared" si="4"/>
        <v>108.31417138254307</v>
      </c>
      <c r="I16" s="3011">
        <f t="shared" si="4"/>
        <v>60.99644043047865</v>
      </c>
      <c r="J16" s="3012">
        <f t="shared" si="1"/>
        <v>41725.543946662132</v>
      </c>
    </row>
    <row r="17" spans="2:10" s="83" customFormat="1" ht="18" customHeight="1" x14ac:dyDescent="0.2">
      <c r="B17" s="20" t="s">
        <v>180</v>
      </c>
      <c r="C17" s="3013">
        <f>'Table1.A(a)s2'!H17</f>
        <v>1606.5749279621623</v>
      </c>
      <c r="D17" s="3013">
        <f>'Table1.A(a)s2'!I17</f>
        <v>3.479951692044967E-2</v>
      </c>
      <c r="E17" s="3013">
        <f>'Table1.A(a)s2'!J17</f>
        <v>2.0136977226663286E-2</v>
      </c>
      <c r="F17" s="3014">
        <v>17.744321130151832</v>
      </c>
      <c r="G17" s="3014">
        <v>2.8502416662893566</v>
      </c>
      <c r="H17" s="3014">
        <v>0.28718319347603855</v>
      </c>
      <c r="I17" s="3015">
        <v>7.4380802656441078</v>
      </c>
      <c r="J17" s="3016">
        <f t="shared" si="1"/>
        <v>1612.8856134010005</v>
      </c>
    </row>
    <row r="18" spans="2:10" s="83" customFormat="1" ht="18" customHeight="1" x14ac:dyDescent="0.2">
      <c r="B18" s="20" t="s">
        <v>181</v>
      </c>
      <c r="C18" s="3013">
        <f>'Table1.A(a)s2'!H24</f>
        <v>11679.21587987418</v>
      </c>
      <c r="D18" s="3013">
        <f>'Table1.A(a)s2'!I24</f>
        <v>0.18197211027939855</v>
      </c>
      <c r="E18" s="3013">
        <f>'Table1.A(a)s2'!J24</f>
        <v>0.11802206266193863</v>
      </c>
      <c r="F18" s="3014">
        <v>73.651415947135419</v>
      </c>
      <c r="G18" s="3014">
        <v>11.120718193620208</v>
      </c>
      <c r="H18" s="3014">
        <v>0.90529533726420486</v>
      </c>
      <c r="I18" s="3015">
        <v>20.302952171292457</v>
      </c>
      <c r="J18" s="3016">
        <f t="shared" si="1"/>
        <v>11715.586945567416</v>
      </c>
    </row>
    <row r="19" spans="2:10" s="83" customFormat="1" ht="18" customHeight="1" x14ac:dyDescent="0.2">
      <c r="B19" s="20" t="s">
        <v>182</v>
      </c>
      <c r="C19" s="3013">
        <f>'Table1.A(a)s2'!H31</f>
        <v>7359.8860280016916</v>
      </c>
      <c r="D19" s="3013">
        <f>'Table1.A(a)s2'!I31</f>
        <v>0.20413344161439104</v>
      </c>
      <c r="E19" s="3013">
        <f>'Table1.A(a)s2'!J31</f>
        <v>7.6304426836680428E-2</v>
      </c>
      <c r="F19" s="3014">
        <v>49.485233286306482</v>
      </c>
      <c r="G19" s="3014">
        <v>13.712308463545119</v>
      </c>
      <c r="H19" s="3014">
        <v>7.7154910010029107</v>
      </c>
      <c r="I19" s="3015">
        <v>8.9984477443196855</v>
      </c>
      <c r="J19" s="3016">
        <f t="shared" si="1"/>
        <v>7385.822437478615</v>
      </c>
    </row>
    <row r="20" spans="2:10" s="83" customFormat="1" ht="18" customHeight="1" x14ac:dyDescent="0.2">
      <c r="B20" s="20" t="s">
        <v>183</v>
      </c>
      <c r="C20" s="3013">
        <f>'Table1.A(a)s2'!H38</f>
        <v>1019.3691451159342</v>
      </c>
      <c r="D20" s="3013">
        <f>'Table1.A(a)s2'!I38</f>
        <v>0.23475123717719604</v>
      </c>
      <c r="E20" s="3013">
        <f>'Table1.A(a)s2'!J38</f>
        <v>0.15423224782925857</v>
      </c>
      <c r="F20" s="3014">
        <v>8.2954645121330532</v>
      </c>
      <c r="G20" s="3014">
        <v>6.2687456631422931</v>
      </c>
      <c r="H20" s="3014">
        <v>0.49743025644187266</v>
      </c>
      <c r="I20" s="3015">
        <v>1.4145138545664429</v>
      </c>
      <c r="J20" s="3016">
        <f t="shared" si="1"/>
        <v>1066.8137254316493</v>
      </c>
    </row>
    <row r="21" spans="2:10" s="83" customFormat="1" ht="18" customHeight="1" x14ac:dyDescent="0.2">
      <c r="B21" s="20" t="s">
        <v>184</v>
      </c>
      <c r="C21" s="3013">
        <f>'Table1.A(a)s2'!H45</f>
        <v>2506.4856054644688</v>
      </c>
      <c r="D21" s="3013">
        <f>'Table1.A(a)s2'!I45</f>
        <v>0.73223814985146329</v>
      </c>
      <c r="E21" s="3013">
        <f>'Table1.A(a)s2'!J45</f>
        <v>0.46837967322689772</v>
      </c>
      <c r="F21" s="3014">
        <v>21.280040292299436</v>
      </c>
      <c r="G21" s="3014">
        <v>20.96300113662873</v>
      </c>
      <c r="H21" s="3014">
        <v>1.6294668740460851</v>
      </c>
      <c r="I21" s="3015">
        <v>3.0867547427449367</v>
      </c>
      <c r="J21" s="3016">
        <f t="shared" si="1"/>
        <v>2651.108887065438</v>
      </c>
    </row>
    <row r="22" spans="2:10" s="83" customFormat="1" ht="18" customHeight="1" x14ac:dyDescent="0.2">
      <c r="B22" s="20" t="s">
        <v>185</v>
      </c>
      <c r="C22" s="3013">
        <f>'Table1.A(a)s2'!H52</f>
        <v>4633.6098756333067</v>
      </c>
      <c r="D22" s="3013">
        <f>'Table1.A(a)s2'!I52</f>
        <v>0.27155648708333824</v>
      </c>
      <c r="E22" s="3013">
        <f>'Table1.A(a)s2'!J52</f>
        <v>4.628988557316556E-2</v>
      </c>
      <c r="F22" s="3014">
        <v>70.396197687975473</v>
      </c>
      <c r="G22" s="3014">
        <v>21.637588672765084</v>
      </c>
      <c r="H22" s="3014">
        <v>14.128401309291659</v>
      </c>
      <c r="I22" s="3015">
        <v>7.5728110651764764</v>
      </c>
      <c r="J22" s="3016">
        <f t="shared" si="1"/>
        <v>4653.4802769485295</v>
      </c>
    </row>
    <row r="23" spans="2:10" s="83" customFormat="1" ht="18" customHeight="1" thickBot="1" x14ac:dyDescent="0.25">
      <c r="B23" s="3039" t="s">
        <v>186</v>
      </c>
      <c r="C23" s="3013">
        <f>'Table1.A(a)s2'!H59</f>
        <v>12466.233571577741</v>
      </c>
      <c r="D23" s="3013">
        <f>'Table1.A(a)s2'!I59</f>
        <v>0.64401025384570065</v>
      </c>
      <c r="E23" s="3013">
        <f>'Table1.A(a)s2'!J59</f>
        <v>0.58709510220399597</v>
      </c>
      <c r="F23" s="3014">
        <v>584.04890154760983</v>
      </c>
      <c r="G23" s="3014">
        <v>183.40299131938698</v>
      </c>
      <c r="H23" s="3014">
        <v>83.150903411020295</v>
      </c>
      <c r="I23" s="3015">
        <v>12.182880586734548</v>
      </c>
      <c r="J23" s="3016">
        <f t="shared" si="1"/>
        <v>12639.846060769478</v>
      </c>
    </row>
    <row r="24" spans="2:10" s="83" customFormat="1" ht="18" customHeight="1" x14ac:dyDescent="0.2">
      <c r="B24" s="25" t="s">
        <v>187</v>
      </c>
      <c r="C24" s="3010">
        <f>IF(SUM(C25:C29)=0,"NO",SUM(C25:C29))</f>
        <v>91747.348470689438</v>
      </c>
      <c r="D24" s="3010">
        <f t="shared" ref="D24:I24" si="5">IF(SUM(D25:D29)=0,"NO",SUM(D25:D29))</f>
        <v>11.908991517095529</v>
      </c>
      <c r="E24" s="3010">
        <f t="shared" si="5"/>
        <v>4.1519199048639219</v>
      </c>
      <c r="F24" s="3010">
        <f t="shared" si="5"/>
        <v>287.20062943706671</v>
      </c>
      <c r="G24" s="3010">
        <f t="shared" si="5"/>
        <v>864.38734551035293</v>
      </c>
      <c r="H24" s="3010">
        <f t="shared" si="5"/>
        <v>198.75166670782764</v>
      </c>
      <c r="I24" s="3011">
        <f t="shared" si="5"/>
        <v>28.569558881940857</v>
      </c>
      <c r="J24" s="3012">
        <f t="shared" si="1"/>
        <v>93181.059007957039</v>
      </c>
    </row>
    <row r="25" spans="2:10" s="83" customFormat="1" ht="18" customHeight="1" x14ac:dyDescent="0.2">
      <c r="B25" s="20" t="s">
        <v>188</v>
      </c>
      <c r="C25" s="1884">
        <f>'Table1.A(a)s3'!H16</f>
        <v>6630.1937820999965</v>
      </c>
      <c r="D25" s="1884">
        <f>'Table1.A(a)s3'!I16</f>
        <v>2.6468463046296298E-2</v>
      </c>
      <c r="E25" s="1884">
        <f>'Table1.A(a)s3'!J16</f>
        <v>4.8763890954346967E-2</v>
      </c>
      <c r="F25" s="3014">
        <v>22.576362181744638</v>
      </c>
      <c r="G25" s="3014">
        <v>14.478040548847545</v>
      </c>
      <c r="H25" s="3014">
        <v>1.4309822170198434</v>
      </c>
      <c r="I25" s="3015">
        <v>0.78175502369999972</v>
      </c>
      <c r="J25" s="3016">
        <f t="shared" si="1"/>
        <v>6643.8573301681945</v>
      </c>
    </row>
    <row r="26" spans="2:10" s="83" customFormat="1" ht="18" customHeight="1" x14ac:dyDescent="0.2">
      <c r="B26" s="20" t="s">
        <v>189</v>
      </c>
      <c r="C26" s="1884">
        <f>'Table1.A(a)s3'!H20</f>
        <v>78762.871318424935</v>
      </c>
      <c r="D26" s="1884">
        <f>'Table1.A(a)s3'!I20</f>
        <v>7.1635632534231428</v>
      </c>
      <c r="E26" s="1884">
        <f>'Table1.A(a)s3'!J20</f>
        <v>2.555035076130971</v>
      </c>
      <c r="F26" s="3014">
        <v>158.66784613866218</v>
      </c>
      <c r="G26" s="3014">
        <v>596.84015304012621</v>
      </c>
      <c r="H26" s="3014">
        <v>154.38910719583799</v>
      </c>
      <c r="I26" s="3015">
        <v>17.389910704496621</v>
      </c>
      <c r="J26" s="3016">
        <f t="shared" si="1"/>
        <v>79640.535384695482</v>
      </c>
    </row>
    <row r="27" spans="2:10" s="83" customFormat="1" ht="18" customHeight="1" x14ac:dyDescent="0.2">
      <c r="B27" s="20" t="s">
        <v>190</v>
      </c>
      <c r="C27" s="1884">
        <f>'Table1.A(a)s3'!H81</f>
        <v>3502.4768915000004</v>
      </c>
      <c r="D27" s="1884">
        <f>'Table1.A(a)s3'!I81</f>
        <v>0.20042025999999999</v>
      </c>
      <c r="E27" s="1884">
        <f>'Table1.A(a)s3'!J81</f>
        <v>1.5031519499999999</v>
      </c>
      <c r="F27" s="3014">
        <v>76.660749449999997</v>
      </c>
      <c r="G27" s="3014">
        <v>10.121223129999999</v>
      </c>
      <c r="H27" s="3014">
        <v>3.557459615</v>
      </c>
      <c r="I27" s="3015">
        <v>2.8591818437921721</v>
      </c>
      <c r="J27" s="3016">
        <f t="shared" si="1"/>
        <v>3906.4239255300004</v>
      </c>
    </row>
    <row r="28" spans="2:10" s="83" customFormat="1" ht="18" customHeight="1" x14ac:dyDescent="0.2">
      <c r="B28" s="20" t="s">
        <v>191</v>
      </c>
      <c r="C28" s="1884">
        <f>'Table1.A(a)s3'!H88</f>
        <v>1925.7359042543642</v>
      </c>
      <c r="D28" s="1884">
        <f>'Table1.A(a)s3'!I88</f>
        <v>4.3525785916937645</v>
      </c>
      <c r="E28" s="1884">
        <f>'Table1.A(a)s3'!J88</f>
        <v>4.311859780486E-2</v>
      </c>
      <c r="F28" s="3014">
        <v>25.824362461560277</v>
      </c>
      <c r="G28" s="3014">
        <v>238.24011700348089</v>
      </c>
      <c r="H28" s="3014">
        <v>38.726570722043476</v>
      </c>
      <c r="I28" s="3015">
        <v>7.5343154088817519</v>
      </c>
      <c r="J28" s="3016">
        <f t="shared" si="1"/>
        <v>2059.0345332400775</v>
      </c>
    </row>
    <row r="29" spans="2:10" s="83" customFormat="1" ht="18" customHeight="1" thickBot="1" x14ac:dyDescent="0.25">
      <c r="B29" s="22" t="s">
        <v>192</v>
      </c>
      <c r="C29" s="1888">
        <f>'Table1.A(a)s3'!H99</f>
        <v>926.07057441013319</v>
      </c>
      <c r="D29" s="1888">
        <f>'Table1.A(a)s3'!I99</f>
        <v>0.16596094893232644</v>
      </c>
      <c r="E29" s="1888">
        <f>'Table1.A(a)s3'!J99</f>
        <v>1.8503899737446401E-3</v>
      </c>
      <c r="F29" s="3021">
        <v>3.4713092050996344</v>
      </c>
      <c r="G29" s="3021">
        <v>4.7078117878983567</v>
      </c>
      <c r="H29" s="3021">
        <v>0.64754695792631045</v>
      </c>
      <c r="I29" s="3022">
        <v>4.3959010703093389E-3</v>
      </c>
      <c r="J29" s="3023">
        <f t="shared" si="1"/>
        <v>931.20783432328062</v>
      </c>
    </row>
    <row r="30" spans="2:10" ht="18" customHeight="1" x14ac:dyDescent="0.2">
      <c r="B30" s="26" t="s">
        <v>193</v>
      </c>
      <c r="C30" s="3010">
        <f>IF(SUM(C31:C33)=0,"NO",SUM(C31:C33))</f>
        <v>20231.839330714669</v>
      </c>
      <c r="D30" s="3010">
        <f t="shared" ref="D30" si="6">IF(SUM(D31:D33)=0,"NO",SUM(D31:D33))</f>
        <v>34.998389462861184</v>
      </c>
      <c r="E30" s="3010">
        <f t="shared" ref="E30" si="7">IF(SUM(E31:E33)=0,"NO",SUM(E31:E33))</f>
        <v>0.62435107694328629</v>
      </c>
      <c r="F30" s="3010">
        <f t="shared" ref="F30" si="8">IF(SUM(F31:F33)=0,"NO",SUM(F31:F33))</f>
        <v>330.86968292981209</v>
      </c>
      <c r="G30" s="3010">
        <f t="shared" ref="G30" si="9">IF(SUM(G31:G33)=0,"NO",SUM(G31:G33))</f>
        <v>600.94461708138908</v>
      </c>
      <c r="H30" s="3010">
        <f t="shared" ref="H30" si="10">IF(SUM(H31:H33)=0,"NO",SUM(H31:H33))</f>
        <v>103.10372424010686</v>
      </c>
      <c r="I30" s="3011">
        <f t="shared" ref="I30" si="11">IF(SUM(I31:I33)=0,"NO",SUM(I31:I33))</f>
        <v>6.9519987495899782</v>
      </c>
      <c r="J30" s="3024">
        <f t="shared" si="1"/>
        <v>21377.247271064753</v>
      </c>
    </row>
    <row r="31" spans="2:10" ht="18" customHeight="1" x14ac:dyDescent="0.2">
      <c r="B31" s="20" t="s">
        <v>194</v>
      </c>
      <c r="C31" s="3013">
        <f>'Table1.A(a)s4'!H17</f>
        <v>4902.0552312556611</v>
      </c>
      <c r="D31" s="3013">
        <f>'Table1.A(a)s4'!I17</f>
        <v>0.1017729667525928</v>
      </c>
      <c r="E31" s="3013">
        <f>'Table1.A(a)s4'!J17</f>
        <v>8.6968252772283525E-2</v>
      </c>
      <c r="F31" s="3014">
        <v>37.204975149378363</v>
      </c>
      <c r="G31" s="3014">
        <v>12.212205176971398</v>
      </c>
      <c r="H31" s="3014">
        <v>4.7867499070691046</v>
      </c>
      <c r="I31" s="3015">
        <v>2.2981253115161269</v>
      </c>
      <c r="J31" s="3016">
        <f t="shared" si="1"/>
        <v>4927.9514613093888</v>
      </c>
    </row>
    <row r="32" spans="2:10" ht="18" customHeight="1" x14ac:dyDescent="0.2">
      <c r="B32" s="20" t="s">
        <v>195</v>
      </c>
      <c r="C32" s="3013">
        <f>'Table1.A(a)s4'!H38</f>
        <v>9745.8168435421849</v>
      </c>
      <c r="D32" s="3013">
        <f>'Table1.A(a)s4'!I38</f>
        <v>34.36635616302862</v>
      </c>
      <c r="E32" s="3013">
        <f>'Table1.A(a)s4'!J38</f>
        <v>0.25070801389393377</v>
      </c>
      <c r="F32" s="3014">
        <v>13.193623455251076</v>
      </c>
      <c r="G32" s="3014">
        <v>465.67164867102258</v>
      </c>
      <c r="H32" s="3014">
        <v>54.487973130869179</v>
      </c>
      <c r="I32" s="3015">
        <v>0.4964871932865127</v>
      </c>
      <c r="J32" s="3016">
        <f t="shared" si="1"/>
        <v>10774.512439788878</v>
      </c>
    </row>
    <row r="33" spans="2:10" ht="18" customHeight="1" thickBot="1" x14ac:dyDescent="0.25">
      <c r="B33" s="20" t="s">
        <v>196</v>
      </c>
      <c r="C33" s="3013">
        <f>'Table1.A(a)s4'!H59</f>
        <v>5583.9672559168239</v>
      </c>
      <c r="D33" s="3013">
        <f>'Table1.A(a)s4'!I59</f>
        <v>0.53026033307997045</v>
      </c>
      <c r="E33" s="3013">
        <f>'Table1.A(a)s4'!J59</f>
        <v>0.28667481027706893</v>
      </c>
      <c r="F33" s="3014">
        <v>280.47108432518263</v>
      </c>
      <c r="G33" s="3014">
        <v>123.06076323339506</v>
      </c>
      <c r="H33" s="3014">
        <v>43.82900120216857</v>
      </c>
      <c r="I33" s="3015">
        <v>4.1573862447873386</v>
      </c>
      <c r="J33" s="3016">
        <f t="shared" si="1"/>
        <v>5674.7833699664861</v>
      </c>
    </row>
    <row r="34" spans="2:10" ht="18" customHeight="1" x14ac:dyDescent="0.2">
      <c r="B34" s="25" t="s">
        <v>197</v>
      </c>
      <c r="C34" s="3010">
        <f>IF(SUM(C35:C36)=0,"NO",SUM(C35:C36))</f>
        <v>939.0695601726469</v>
      </c>
      <c r="D34" s="3010">
        <f t="shared" ref="D34:E34" si="12">IF(SUM(D35:D36)=0,"NO",SUM(D35:D36))</f>
        <v>3.7666066172992396E-2</v>
      </c>
      <c r="E34" s="3010">
        <f t="shared" si="12"/>
        <v>2.6308181757647427E-2</v>
      </c>
      <c r="F34" s="3010">
        <f t="shared" ref="F34:I34" si="13">IF(SUM(F35:F36)=0,"NO",SUM(F35:F36))</f>
        <v>9.1800816863997188</v>
      </c>
      <c r="G34" s="3010">
        <f t="shared" si="13"/>
        <v>3.1687048234980484</v>
      </c>
      <c r="H34" s="3010">
        <f t="shared" si="13"/>
        <v>0.5294182969227903</v>
      </c>
      <c r="I34" s="3011">
        <f t="shared" si="13"/>
        <v>0.36030205471059462</v>
      </c>
      <c r="J34" s="3012">
        <f t="shared" si="1"/>
        <v>947.09587819126727</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939.0695601726469</v>
      </c>
      <c r="D36" s="3025">
        <f>'Table1.A(a)s4'!I108</f>
        <v>3.7666066172992396E-2</v>
      </c>
      <c r="E36" s="3025">
        <f>'Table1.A(a)s4'!J108</f>
        <v>2.6308181757647427E-2</v>
      </c>
      <c r="F36" s="3021">
        <v>9.1800816863997188</v>
      </c>
      <c r="G36" s="3021">
        <v>3.1687048234980484</v>
      </c>
      <c r="H36" s="3021">
        <v>0.5294182969227903</v>
      </c>
      <c r="I36" s="3022">
        <v>0.36030205471059462</v>
      </c>
      <c r="J36" s="3023">
        <f t="shared" si="1"/>
        <v>947.09587819126727</v>
      </c>
    </row>
    <row r="37" spans="2:10" ht="18" customHeight="1" thickBot="1" x14ac:dyDescent="0.25">
      <c r="B37" s="18" t="s">
        <v>201</v>
      </c>
      <c r="C37" s="3010">
        <f>IF(SUM(C38,C42)=0,"NO",SUM(C38,C42))</f>
        <v>17284.18051567279</v>
      </c>
      <c r="D37" s="3010">
        <f t="shared" ref="D37:I37" si="14">IF(SUM(D38,D42)=0,"NO",SUM(D38,D42))</f>
        <v>1304.2012699221623</v>
      </c>
      <c r="E37" s="3010">
        <f t="shared" si="14"/>
        <v>0.22826923517997966</v>
      </c>
      <c r="F37" s="3010">
        <f t="shared" si="14"/>
        <v>3.5978393995896027</v>
      </c>
      <c r="G37" s="3010">
        <f t="shared" si="14"/>
        <v>20.694575830119696</v>
      </c>
      <c r="H37" s="3010">
        <f t="shared" si="14"/>
        <v>223.77849797426234</v>
      </c>
      <c r="I37" s="3011" t="str">
        <f t="shared" si="14"/>
        <v>NO</v>
      </c>
      <c r="J37" s="3012">
        <f t="shared" si="1"/>
        <v>53862.307420816025</v>
      </c>
    </row>
    <row r="38" spans="2:10" ht="18" customHeight="1" x14ac:dyDescent="0.2">
      <c r="B38" s="26" t="s">
        <v>202</v>
      </c>
      <c r="C38" s="3010">
        <f>IF(SUM(C39:C41)=0,"NO",SUM(C39:C41))</f>
        <v>2380.4751845029359</v>
      </c>
      <c r="D38" s="3010">
        <f t="shared" ref="D38" si="15">IF(SUM(D39:D41)=0,"NO",SUM(D39:D41))</f>
        <v>1010.1822443262215</v>
      </c>
      <c r="E38" s="3010">
        <f t="shared" ref="E38" si="16">IF(SUM(E39:E41)=0,"NO",SUM(E39:E41))</f>
        <v>2.0495385605331928E-3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30666.121153355678</v>
      </c>
    </row>
    <row r="39" spans="2:10" ht="18" customHeight="1" x14ac:dyDescent="0.2">
      <c r="B39" s="20" t="s">
        <v>203</v>
      </c>
      <c r="C39" s="3013">
        <f>'Table1.B.1'!G10</f>
        <v>2380.4751845029359</v>
      </c>
      <c r="D39" s="3013">
        <f>'Table1.B.1'!F10</f>
        <v>1010.1822443262215</v>
      </c>
      <c r="E39" s="3014">
        <v>2.0495385605331928E-3</v>
      </c>
      <c r="F39" s="3014" t="s">
        <v>199</v>
      </c>
      <c r="G39" s="3014" t="s">
        <v>199</v>
      </c>
      <c r="H39" s="3014" t="s">
        <v>199</v>
      </c>
      <c r="I39" s="2940"/>
      <c r="J39" s="3016">
        <f t="shared" si="1"/>
        <v>30666.121153355678</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14903.705331169853</v>
      </c>
      <c r="D42" s="3010">
        <f t="shared" ref="D42:I42" si="21">IF(SUM(D43:D46)=0,"NO",SUM(D43:D46))</f>
        <v>294.01902559594083</v>
      </c>
      <c r="E42" s="3010">
        <f t="shared" si="21"/>
        <v>0.22621969661944646</v>
      </c>
      <c r="F42" s="3010">
        <f t="shared" si="21"/>
        <v>3.5978393995896027</v>
      </c>
      <c r="G42" s="3010">
        <f t="shared" si="21"/>
        <v>20.694575830119696</v>
      </c>
      <c r="H42" s="3010">
        <f t="shared" si="21"/>
        <v>223.77849797426234</v>
      </c>
      <c r="I42" s="3011" t="str">
        <f t="shared" si="21"/>
        <v>NO</v>
      </c>
      <c r="J42" s="3012">
        <f t="shared" ref="J42:J59" si="22">IF(SUM(C42:E42)=0,"NO",SUM(C42,IFERROR(28*D42,0),IFERROR(265*E42,0)))</f>
        <v>23196.186267460351</v>
      </c>
    </row>
    <row r="43" spans="2:10" ht="18" customHeight="1" x14ac:dyDescent="0.2">
      <c r="B43" s="20" t="s">
        <v>208</v>
      </c>
      <c r="C43" s="3013">
        <f>'Table1.B.2'!I10</f>
        <v>106.87899999999999</v>
      </c>
      <c r="D43" s="3013">
        <f>'Table1.B.2'!J10</f>
        <v>2.565715023963719</v>
      </c>
      <c r="E43" s="3013">
        <f>'Table1.B.2'!K10</f>
        <v>3.5520174388981945E-3</v>
      </c>
      <c r="F43" s="3014">
        <v>6.5116457201818412E-2</v>
      </c>
      <c r="G43" s="3014">
        <v>0.37155557677054674</v>
      </c>
      <c r="H43" s="3014">
        <v>94.990323229209551</v>
      </c>
      <c r="I43" s="3015" t="s">
        <v>199</v>
      </c>
      <c r="J43" s="3016">
        <f t="shared" si="22"/>
        <v>179.66030529229215</v>
      </c>
    </row>
    <row r="44" spans="2:10" ht="18" customHeight="1" x14ac:dyDescent="0.2">
      <c r="B44" s="20" t="s">
        <v>209</v>
      </c>
      <c r="C44" s="3013">
        <f>SUM('Table1.B.2'!I21)</f>
        <v>49.579839062516264</v>
      </c>
      <c r="D44" s="3013">
        <f>'Table1.B.2'!J21</f>
        <v>209.1405353839065</v>
      </c>
      <c r="E44" s="3013">
        <f>'Table1.B.2'!K21</f>
        <v>6.3376714285714292E-4</v>
      </c>
      <c r="F44" s="3014">
        <v>1.1736428571428571E-2</v>
      </c>
      <c r="G44" s="3014">
        <v>6.8071285714285723E-2</v>
      </c>
      <c r="H44" s="3014">
        <v>93.879147075639253</v>
      </c>
      <c r="I44" s="3015" t="s">
        <v>199</v>
      </c>
      <c r="J44" s="3016">
        <f t="shared" si="22"/>
        <v>5905.682778104755</v>
      </c>
    </row>
    <row r="45" spans="2:10" ht="18" customHeight="1" x14ac:dyDescent="0.2">
      <c r="B45" s="20" t="s">
        <v>210</v>
      </c>
      <c r="C45" s="3013">
        <f>'Table1.B.2'!I31</f>
        <v>14747.246492107337</v>
      </c>
      <c r="D45" s="3013">
        <f>'Table1.B.2'!J31</f>
        <v>82.312775188070617</v>
      </c>
      <c r="E45" s="3013">
        <f>'Table1.B.2'!K31</f>
        <v>0.22203391203769113</v>
      </c>
      <c r="F45" s="3014">
        <v>3.5209865138163559</v>
      </c>
      <c r="G45" s="3014">
        <v>20.254948967634864</v>
      </c>
      <c r="H45" s="3014">
        <v>34.909027669413561</v>
      </c>
      <c r="I45" s="3015" t="s">
        <v>199</v>
      </c>
      <c r="J45" s="3016">
        <f t="shared" si="22"/>
        <v>17110.843184063302</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f>IF(SUM(C48:C50)=0,"NO",SUM(C48:C50))</f>
        <v>12.417</v>
      </c>
      <c r="D47" s="3028"/>
      <c r="E47" s="3028"/>
      <c r="F47" s="3028"/>
      <c r="G47" s="3028"/>
      <c r="H47" s="3028"/>
      <c r="I47" s="3029"/>
      <c r="J47" s="3012">
        <f t="shared" si="22"/>
        <v>12.417</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f>Table1.C!E15</f>
        <v>12.417</v>
      </c>
      <c r="D49" s="3031"/>
      <c r="E49" s="3031"/>
      <c r="F49" s="3031"/>
      <c r="G49" s="3031"/>
      <c r="H49" s="3031"/>
      <c r="I49" s="3032"/>
      <c r="J49" s="3024">
        <f t="shared" si="22"/>
        <v>12.417</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13888.5497904</v>
      </c>
      <c r="D52" s="3013">
        <f t="shared" ref="D52:I52" si="23">IF(SUM(D53:D54)=0,"NO",SUM(D53:D54))</f>
        <v>0.23124189231627892</v>
      </c>
      <c r="E52" s="3013">
        <f t="shared" si="23"/>
        <v>0.1159477610636668</v>
      </c>
      <c r="F52" s="3013">
        <f t="shared" si="23"/>
        <v>118.04663101567547</v>
      </c>
      <c r="G52" s="3013">
        <f t="shared" si="23"/>
        <v>20.347635114233427</v>
      </c>
      <c r="H52" s="3013">
        <f t="shared" si="23"/>
        <v>10.882190292176098</v>
      </c>
      <c r="I52" s="3034">
        <f t="shared" si="23"/>
        <v>33.195850388410882</v>
      </c>
      <c r="J52" s="3016">
        <f t="shared" si="22"/>
        <v>13925.750720066728</v>
      </c>
    </row>
    <row r="53" spans="2:10" ht="18" customHeight="1" x14ac:dyDescent="0.2">
      <c r="B53" s="164" t="s">
        <v>218</v>
      </c>
      <c r="C53" s="3013">
        <f>Table1.D!G10</f>
        <v>11757.883683840002</v>
      </c>
      <c r="D53" s="3013">
        <f>Table1.D!H10</f>
        <v>2.6988825116279071E-2</v>
      </c>
      <c r="E53" s="3013">
        <f>Table1.D!I10</f>
        <v>5.7589741863666853E-2</v>
      </c>
      <c r="F53" s="3014">
        <v>61.608011815675525</v>
      </c>
      <c r="G53" s="3014">
        <v>18.519928691833428</v>
      </c>
      <c r="H53" s="3014">
        <v>9.1216026873761002</v>
      </c>
      <c r="I53" s="3015">
        <v>1.3852679052800008</v>
      </c>
      <c r="J53" s="3016">
        <f t="shared" si="22"/>
        <v>11773.90065253713</v>
      </c>
    </row>
    <row r="54" spans="2:10" ht="18" customHeight="1" x14ac:dyDescent="0.2">
      <c r="B54" s="164" t="s">
        <v>219</v>
      </c>
      <c r="C54" s="3013">
        <f>Table1.D!G14</f>
        <v>2130.6661065599983</v>
      </c>
      <c r="D54" s="3013">
        <f>Table1.D!H14</f>
        <v>0.20425306719999986</v>
      </c>
      <c r="E54" s="3013">
        <f>Table1.D!I14</f>
        <v>5.8358019199999958E-2</v>
      </c>
      <c r="F54" s="3014">
        <v>56.438619199999955</v>
      </c>
      <c r="G54" s="3014">
        <v>1.8277064223999995</v>
      </c>
      <c r="H54" s="3014">
        <v>1.7605876047999987</v>
      </c>
      <c r="I54" s="3015">
        <v>31.810582483130879</v>
      </c>
      <c r="J54" s="3016">
        <f t="shared" si="22"/>
        <v>2151.8500675295986</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16278.472390810328</v>
      </c>
      <c r="D56" s="3035"/>
      <c r="E56" s="3035"/>
      <c r="F56" s="3035"/>
      <c r="G56" s="3035"/>
      <c r="H56" s="3035"/>
      <c r="I56" s="2976"/>
      <c r="J56" s="3020">
        <f t="shared" si="22"/>
        <v>16278.472390810328</v>
      </c>
    </row>
    <row r="57" spans="2:10" ht="18" customHeight="1" x14ac:dyDescent="0.2">
      <c r="B57" s="97" t="s">
        <v>223</v>
      </c>
      <c r="C57" s="3013">
        <f>IF(SUM(C58:C59)=0,"NO",SUM(C58:C59))</f>
        <v>2164.8240000000001</v>
      </c>
      <c r="D57" s="3036"/>
      <c r="E57" s="3036"/>
      <c r="F57" s="3036"/>
      <c r="G57" s="3036"/>
      <c r="H57" s="3036"/>
      <c r="I57" s="2940"/>
      <c r="J57" s="3016">
        <f t="shared" si="22"/>
        <v>2164.8240000000001</v>
      </c>
    </row>
    <row r="58" spans="2:10" ht="18" customHeight="1" x14ac:dyDescent="0.2">
      <c r="B58" s="2487" t="s">
        <v>224</v>
      </c>
      <c r="C58" s="3026">
        <f>Table1.C!E21</f>
        <v>2164.8240000000001</v>
      </c>
      <c r="D58" s="3036"/>
      <c r="E58" s="3036"/>
      <c r="F58" s="3036"/>
      <c r="G58" s="3036"/>
      <c r="H58" s="3036"/>
      <c r="I58" s="2940"/>
      <c r="J58" s="3016">
        <f t="shared" si="22"/>
        <v>2164.8240000000001</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2" t="s">
        <v>227</v>
      </c>
      <c r="C77" s="4493"/>
      <c r="D77" s="4493"/>
      <c r="E77" s="4493"/>
      <c r="F77" s="4493"/>
      <c r="G77" s="4493"/>
      <c r="H77" s="4493"/>
      <c r="I77" s="4493"/>
      <c r="J77" s="4494"/>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136719.53060305299</v>
      </c>
      <c r="D10" s="3491" t="s">
        <v>199</v>
      </c>
      <c r="E10" s="3491">
        <v>10.090321115</v>
      </c>
      <c r="F10" s="3491">
        <v>338.67577373400002</v>
      </c>
      <c r="G10" s="3491" t="s">
        <v>199</v>
      </c>
      <c r="H10" s="3491" t="s">
        <v>199</v>
      </c>
      <c r="I10" s="3491" t="s">
        <v>199</v>
      </c>
      <c r="J10" s="3491">
        <v>10.032968232</v>
      </c>
      <c r="K10" s="3491" t="s">
        <v>199</v>
      </c>
      <c r="L10" s="3491" t="s">
        <v>199</v>
      </c>
      <c r="M10" s="3492">
        <f>IF(SUM(C10:L10)=0,"NO",SUM(C10:L10))</f>
        <v>137078.329666134</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9.1802628439999996</v>
      </c>
      <c r="D12" s="3491" t="s">
        <v>199</v>
      </c>
      <c r="E12" s="3491">
        <v>39975.920930081003</v>
      </c>
      <c r="F12" s="3491" t="s">
        <v>274</v>
      </c>
      <c r="G12" s="3491" t="s">
        <v>199</v>
      </c>
      <c r="H12" s="3491" t="s">
        <v>274</v>
      </c>
      <c r="I12" s="3491" t="s">
        <v>199</v>
      </c>
      <c r="J12" s="3491" t="s">
        <v>274</v>
      </c>
      <c r="K12" s="3491" t="s">
        <v>199</v>
      </c>
      <c r="L12" s="3491" t="s">
        <v>199</v>
      </c>
      <c r="M12" s="3492">
        <f t="shared" si="0"/>
        <v>39985.101192925002</v>
      </c>
    </row>
    <row r="13" spans="2:13" ht="18" customHeight="1" x14ac:dyDescent="0.2">
      <c r="B13" s="2303" t="s">
        <v>1296</v>
      </c>
      <c r="C13" s="3491">
        <v>515.54765991099998</v>
      </c>
      <c r="D13" s="3491" t="s">
        <v>199</v>
      </c>
      <c r="E13" s="3491" t="s">
        <v>274</v>
      </c>
      <c r="F13" s="3491">
        <v>515813.98418965598</v>
      </c>
      <c r="G13" s="3491" t="s">
        <v>199</v>
      </c>
      <c r="H13" s="3491" t="s">
        <v>274</v>
      </c>
      <c r="I13" s="3491" t="s">
        <v>199</v>
      </c>
      <c r="J13" s="3491" t="s">
        <v>274</v>
      </c>
      <c r="K13" s="3491" t="s">
        <v>199</v>
      </c>
      <c r="L13" s="3491" t="s">
        <v>199</v>
      </c>
      <c r="M13" s="3492">
        <f t="shared" si="0"/>
        <v>516329.53184956696</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3.711358508</v>
      </c>
      <c r="D15" s="3491" t="s">
        <v>199</v>
      </c>
      <c r="E15" s="3491">
        <v>0.63304705100000003</v>
      </c>
      <c r="F15" s="3491">
        <v>2.443871627</v>
      </c>
      <c r="G15" s="3491" t="s">
        <v>199</v>
      </c>
      <c r="H15" s="3491">
        <v>13185.170548042001</v>
      </c>
      <c r="I15" s="3491" t="s">
        <v>199</v>
      </c>
      <c r="J15" s="3491" t="s">
        <v>199</v>
      </c>
      <c r="K15" s="3491" t="s">
        <v>199</v>
      </c>
      <c r="L15" s="3491" t="s">
        <v>199</v>
      </c>
      <c r="M15" s="3492">
        <f t="shared" si="0"/>
        <v>13191.958825228001</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6.8445714969999996</v>
      </c>
      <c r="D17" s="3491" t="s">
        <v>199</v>
      </c>
      <c r="E17" s="3491" t="s">
        <v>199</v>
      </c>
      <c r="F17" s="3491" t="s">
        <v>199</v>
      </c>
      <c r="G17" s="3491" t="s">
        <v>199</v>
      </c>
      <c r="H17" s="3491" t="s">
        <v>199</v>
      </c>
      <c r="I17" s="3491" t="s">
        <v>199</v>
      </c>
      <c r="J17" s="3491">
        <v>1544.605048829</v>
      </c>
      <c r="K17" s="3491" t="s">
        <v>199</v>
      </c>
      <c r="L17" s="3491" t="s">
        <v>199</v>
      </c>
      <c r="M17" s="3492">
        <f t="shared" si="0"/>
        <v>1551.4496203260001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137254.814455813</v>
      </c>
      <c r="D20" s="3493" t="str">
        <f t="shared" ref="D20:L20" si="1">IF(SUM(D10:D19)=0,"NO",SUM(D10:D19))</f>
        <v>NO</v>
      </c>
      <c r="E20" s="3493">
        <f t="shared" si="1"/>
        <v>39986.644298247003</v>
      </c>
      <c r="F20" s="3493">
        <f t="shared" si="1"/>
        <v>516155.10383501695</v>
      </c>
      <c r="G20" s="3493" t="str">
        <f t="shared" si="1"/>
        <v>NO</v>
      </c>
      <c r="H20" s="3493">
        <f t="shared" si="1"/>
        <v>13185.170548042001</v>
      </c>
      <c r="I20" s="3493" t="str">
        <f t="shared" si="1"/>
        <v>NO</v>
      </c>
      <c r="J20" s="3493">
        <f t="shared" si="1"/>
        <v>1554.638017061</v>
      </c>
      <c r="K20" s="3493">
        <f t="shared" si="1"/>
        <v>60692.328845821001</v>
      </c>
      <c r="L20" s="3493" t="str">
        <f t="shared" si="1"/>
        <v>NO</v>
      </c>
      <c r="M20" s="3492">
        <f t="shared" si="0"/>
        <v>768828.700000001</v>
      </c>
    </row>
    <row r="21" spans="2:13" ht="18" customHeight="1" thickBot="1" x14ac:dyDescent="0.25">
      <c r="B21" s="2305" t="s">
        <v>1304</v>
      </c>
      <c r="C21" s="3494">
        <f>IF(SUM(C20)=0,"NO",C20-M10)</f>
        <v>176.48478967900155</v>
      </c>
      <c r="D21" s="3494" t="str">
        <f>IF(SUM(D20)=0,"NO",D20-M11)</f>
        <v>NO</v>
      </c>
      <c r="E21" s="3494">
        <f>IF(SUM(E20)=0,"NO",E20-M12)</f>
        <v>1.543105322001793</v>
      </c>
      <c r="F21" s="3494">
        <f>IF(SUM(F20)=0,"NO",F20-M13)</f>
        <v>-174.42801455000881</v>
      </c>
      <c r="G21" s="3494" t="str">
        <f>IF(SUM(G20)=0,"NO",G20-M14)</f>
        <v>NO</v>
      </c>
      <c r="H21" s="3494">
        <f>IF(SUM(H20)=0,"NO",H20-M15)</f>
        <v>-6.7882771860004141</v>
      </c>
      <c r="I21" s="3494" t="str">
        <f>IF(SUM(I20)=0,"NO",I20-M16)</f>
        <v>NO</v>
      </c>
      <c r="J21" s="3494">
        <f>IF(SUM(J20)=0,"NO",J20-M17)</f>
        <v>3.1883967349999693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137429.07999278806</v>
      </c>
      <c r="E10" s="3498">
        <f t="shared" ref="E10:U10" si="0">IF(SUM(E11,E16)=0,"IE",SUM(E11,E16))</f>
        <v>137254.81445581187</v>
      </c>
      <c r="F10" s="3499">
        <f t="shared" si="0"/>
        <v>174.26553697619877</v>
      </c>
      <c r="G10" s="3500">
        <f t="shared" ref="G10:K11" si="1">IFERROR(IF(SUM($D10)=0,"NA",N10/$D10),"NA")</f>
        <v>0.15772492733937982</v>
      </c>
      <c r="H10" s="3057">
        <f t="shared" si="1"/>
        <v>-1.3754926990770446E-2</v>
      </c>
      <c r="I10" s="3057">
        <f t="shared" si="1"/>
        <v>0.14397000034860938</v>
      </c>
      <c r="J10" s="3057">
        <f t="shared" si="1"/>
        <v>1.9835839961033261E-2</v>
      </c>
      <c r="K10" s="3057">
        <f t="shared" si="1"/>
        <v>9.5606205164074573E-3</v>
      </c>
      <c r="L10" s="3057">
        <f>IFERROR(IF(SUM(E10)=0,"NA",S10/E10),"NA")</f>
        <v>-1.4352053445044251E-2</v>
      </c>
      <c r="M10" s="3106">
        <f>IFERROR(IF(SUM(F10)=0,"NA",T10/F10),"NA")</f>
        <v>0.24461120396349234</v>
      </c>
      <c r="N10" s="3501">
        <f t="shared" si="0"/>
        <v>21675.991656180315</v>
      </c>
      <c r="O10" s="3502">
        <f t="shared" si="0"/>
        <v>-1890.3269617095511</v>
      </c>
      <c r="P10" s="3502">
        <f t="shared" si="0"/>
        <v>19785.664694470765</v>
      </c>
      <c r="Q10" s="3502">
        <f t="shared" si="0"/>
        <v>2726.0212367289819</v>
      </c>
      <c r="R10" s="3502">
        <f t="shared" si="0"/>
        <v>1313.9072817300512</v>
      </c>
      <c r="S10" s="3502">
        <f t="shared" si="0"/>
        <v>-1969.8884326594443</v>
      </c>
      <c r="T10" s="3503">
        <f t="shared" si="0"/>
        <v>42.627302809092477</v>
      </c>
      <c r="U10" s="4260">
        <f t="shared" si="0"/>
        <v>-80293.884304624618</v>
      </c>
      <c r="W10" s="2422"/>
    </row>
    <row r="11" spans="2:23" ht="18" customHeight="1" x14ac:dyDescent="0.2">
      <c r="B11" s="492" t="s">
        <v>1253</v>
      </c>
      <c r="C11" s="2282"/>
      <c r="D11" s="3504">
        <f>IF(SUM(D12:D15)=0,"IE",SUM(D12:D15))</f>
        <v>122573.260417257</v>
      </c>
      <c r="E11" s="3505">
        <f t="shared" ref="E11:U11" si="2">IF(SUM(E12:E15)=0,"IE",SUM(E12:E15))</f>
        <v>122573.260417257</v>
      </c>
      <c r="F11" s="3506" t="str">
        <f t="shared" si="2"/>
        <v>IE</v>
      </c>
      <c r="G11" s="3500">
        <f t="shared" si="1"/>
        <v>9.2371591452305543E-2</v>
      </c>
      <c r="H11" s="3057">
        <f t="shared" si="1"/>
        <v>-1.54220174553129E-2</v>
      </c>
      <c r="I11" s="3057">
        <f t="shared" si="1"/>
        <v>7.6949573996992648E-2</v>
      </c>
      <c r="J11" s="3057">
        <f t="shared" si="1"/>
        <v>1.5183384578746203E-2</v>
      </c>
      <c r="K11" s="3057">
        <f t="shared" si="1"/>
        <v>7.6029908160311016E-3</v>
      </c>
      <c r="L11" s="3057">
        <f t="shared" ref="L11:L28" si="3">IFERROR(IF(SUM(E11)=0,"NA",S11/E11),"NA")</f>
        <v>-5.7508378732782209E-5</v>
      </c>
      <c r="M11" s="3106" t="str">
        <f t="shared" ref="M11:M28" si="4">IFERROR(IF(SUM(F11)=0,"NA",T11/F11),"NA")</f>
        <v>NA</v>
      </c>
      <c r="N11" s="3087">
        <f t="shared" si="2"/>
        <v>11322.287134239918</v>
      </c>
      <c r="O11" s="3087">
        <f t="shared" si="2"/>
        <v>-1890.3269617095511</v>
      </c>
      <c r="P11" s="3087">
        <f t="shared" si="2"/>
        <v>9431.9601725303673</v>
      </c>
      <c r="Q11" s="3087">
        <f t="shared" si="2"/>
        <v>1861.0769519860223</v>
      </c>
      <c r="R11" s="3507">
        <f t="shared" si="2"/>
        <v>931.92337324339348</v>
      </c>
      <c r="S11" s="3507">
        <f t="shared" si="2"/>
        <v>-7.0489894825875581</v>
      </c>
      <c r="T11" s="3507" t="str">
        <f t="shared" si="2"/>
        <v>IE</v>
      </c>
      <c r="U11" s="4261">
        <f t="shared" si="2"/>
        <v>-44799.008863683041</v>
      </c>
      <c r="W11" s="2423"/>
    </row>
    <row r="12" spans="2:23" ht="18" customHeight="1" x14ac:dyDescent="0.2">
      <c r="B12" s="490"/>
      <c r="C12" s="498" t="s">
        <v>1339</v>
      </c>
      <c r="D12" s="3509">
        <f>IF(SUM(E12:F12)=0,E12,SUM(E12:F12))</f>
        <v>17541.97412318358</v>
      </c>
      <c r="E12" s="3510">
        <v>17541.97412318358</v>
      </c>
      <c r="F12" s="3496" t="s">
        <v>274</v>
      </c>
      <c r="G12" s="3500">
        <f>IFERROR(IF(SUM($D12)=0,"NA",N12/$D12),"NA")</f>
        <v>0.4566362339549615</v>
      </c>
      <c r="H12" s="3057" t="str">
        <f>IFERROR(IF(SUM($D12)=0,"NA",O12/$D12),"NA")</f>
        <v>NA</v>
      </c>
      <c r="I12" s="3057">
        <f>IFERROR(IF(SUM($D12)=0,"NA",P12/$D12),"NA")</f>
        <v>0.4566362339549615</v>
      </c>
      <c r="J12" s="3057">
        <f>IFERROR(IF(SUM($D12)=0,"NA",Q12/$D12),"NA")</f>
        <v>5.2360505214632633E-2</v>
      </c>
      <c r="K12" s="3057">
        <f>IFERROR(IF(SUM($D12)=0,"NA",R12/$D12),"NA")</f>
        <v>3.3546830856266766E-2</v>
      </c>
      <c r="L12" s="3057">
        <f t="shared" si="3"/>
        <v>-2.6117943163221233E-2</v>
      </c>
      <c r="M12" s="3106" t="str">
        <f t="shared" si="4"/>
        <v>NA</v>
      </c>
      <c r="N12" s="2917">
        <v>8010.3009997459376</v>
      </c>
      <c r="O12" s="2917" t="s">
        <v>274</v>
      </c>
      <c r="P12" s="3087">
        <f>IF(SUM(N12:O12)=0,N12,SUM(N12:O12))</f>
        <v>8010.3009997459376</v>
      </c>
      <c r="Q12" s="2917">
        <v>918.50662755190456</v>
      </c>
      <c r="R12" s="2918">
        <v>588.477638795448</v>
      </c>
      <c r="S12" s="2918">
        <v>-458.16028312000634</v>
      </c>
      <c r="T12" s="2918" t="s">
        <v>274</v>
      </c>
      <c r="U12" s="4262">
        <f>IF(SUM(P12:T12)=0,P12,SUM(P12:T12)*-44/12)</f>
        <v>-33216.791604235368</v>
      </c>
      <c r="W12" s="2424"/>
    </row>
    <row r="13" spans="2:23" ht="18" customHeight="1" x14ac:dyDescent="0.2">
      <c r="B13" s="490"/>
      <c r="C13" s="498" t="s">
        <v>1340</v>
      </c>
      <c r="D13" s="3509">
        <f t="shared" ref="D13:D15" si="5">IF(SUM(E13:F13)=0,E13,SUM(E13:F13))</f>
        <v>681.45988290814967</v>
      </c>
      <c r="E13" s="3510">
        <v>681.45988290814967</v>
      </c>
      <c r="F13" s="3496" t="s">
        <v>274</v>
      </c>
      <c r="G13" s="3500" t="str">
        <f t="shared" ref="G13:K28" si="6">IFERROR(IF(SUM($D13)=0,"NA",N13/$D13),"NA")</f>
        <v>NA</v>
      </c>
      <c r="H13" s="3057">
        <f t="shared" si="6"/>
        <v>-2.7739372619302642</v>
      </c>
      <c r="I13" s="3057">
        <f t="shared" si="6"/>
        <v>-2.7739372619302642</v>
      </c>
      <c r="J13" s="3057">
        <f t="shared" si="6"/>
        <v>0.12537013949230252</v>
      </c>
      <c r="K13" s="3057">
        <f t="shared" si="6"/>
        <v>-7.9981278628541916E-3</v>
      </c>
      <c r="L13" s="3057">
        <f t="shared" si="3"/>
        <v>0.66197777000795466</v>
      </c>
      <c r="M13" s="3106" t="str">
        <f t="shared" si="4"/>
        <v>NA</v>
      </c>
      <c r="N13" s="2917" t="s">
        <v>274</v>
      </c>
      <c r="O13" s="2917">
        <v>-1890.3269617095511</v>
      </c>
      <c r="P13" s="3087">
        <f t="shared" ref="P13:P15" si="7">IF(SUM(N13:O13)=0,N13,SUM(N13:O13))</f>
        <v>-1890.3269617095511</v>
      </c>
      <c r="Q13" s="2917">
        <v>85.434720578602864</v>
      </c>
      <c r="R13" s="2918">
        <v>-5.4504032769050266</v>
      </c>
      <c r="S13" s="2918">
        <v>451.11129363741878</v>
      </c>
      <c r="T13" s="2918" t="s">
        <v>274</v>
      </c>
      <c r="U13" s="4262">
        <f t="shared" ref="U13:U15" si="8">IF(SUM(P13:T13)=0,P13,SUM(P13:T13)*-44/12)</f>
        <v>4983.8482861582606</v>
      </c>
      <c r="W13" s="2424"/>
    </row>
    <row r="14" spans="2:23" ht="18" customHeight="1" x14ac:dyDescent="0.2">
      <c r="B14" s="490"/>
      <c r="C14" s="498" t="s">
        <v>1341</v>
      </c>
      <c r="D14" s="3509">
        <f t="shared" si="5"/>
        <v>104349.82641116527</v>
      </c>
      <c r="E14" s="3510">
        <v>104349.82641116527</v>
      </c>
      <c r="F14" s="3496" t="s">
        <v>274</v>
      </c>
      <c r="G14" s="3500">
        <f t="shared" si="6"/>
        <v>7.4238628593816186E-3</v>
      </c>
      <c r="H14" s="3057" t="str">
        <f t="shared" si="6"/>
        <v>NA</v>
      </c>
      <c r="I14" s="3057">
        <f t="shared" si="6"/>
        <v>7.4238628593816186E-3</v>
      </c>
      <c r="J14" s="3057">
        <f t="shared" si="6"/>
        <v>8.0215101646058662E-3</v>
      </c>
      <c r="K14" s="3057">
        <f t="shared" si="6"/>
        <v>3.3435238919335584E-3</v>
      </c>
      <c r="L14" s="3057" t="str">
        <f t="shared" si="3"/>
        <v>NA</v>
      </c>
      <c r="M14" s="3106" t="str">
        <f t="shared" si="4"/>
        <v>NA</v>
      </c>
      <c r="N14" s="2917">
        <v>774.6788006767689</v>
      </c>
      <c r="O14" s="2917" t="s">
        <v>274</v>
      </c>
      <c r="P14" s="3087">
        <f t="shared" si="7"/>
        <v>774.6788006767689</v>
      </c>
      <c r="Q14" s="2917">
        <v>837.0431932320198</v>
      </c>
      <c r="R14" s="2918">
        <v>348.89613772485052</v>
      </c>
      <c r="S14" s="2918" t="s">
        <v>205</v>
      </c>
      <c r="T14" s="2918" t="s">
        <v>205</v>
      </c>
      <c r="U14" s="4262">
        <f t="shared" si="8"/>
        <v>-7188.933149323344</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2537.3073338172112</v>
      </c>
      <c r="O15" s="2917" t="s">
        <v>274</v>
      </c>
      <c r="P15" s="3087">
        <f t="shared" si="7"/>
        <v>2537.3073338172112</v>
      </c>
      <c r="Q15" s="2917">
        <v>20.092410623495105</v>
      </c>
      <c r="R15" s="2918" t="s">
        <v>205</v>
      </c>
      <c r="S15" s="2918" t="s">
        <v>205</v>
      </c>
      <c r="T15" s="2918" t="s">
        <v>205</v>
      </c>
      <c r="U15" s="4262">
        <f t="shared" si="8"/>
        <v>-9377.13239628259</v>
      </c>
      <c r="W15" s="2424"/>
    </row>
    <row r="16" spans="2:23" ht="18" customHeight="1" x14ac:dyDescent="0.2">
      <c r="B16" s="475" t="s">
        <v>1343</v>
      </c>
      <c r="C16" s="494"/>
      <c r="D16" s="3509">
        <f>IF(SUM(D17,D19,D23,D25,D27)=0,"IE",SUM(D17,D19,D23,D25,D27))</f>
        <v>14855.819575531066</v>
      </c>
      <c r="E16" s="3512">
        <f t="shared" ref="E16:T16" si="9">IF(SUM(E17,E19,E23,E25,E27)=0,"IE",SUM(E17,E19,E23,E25,E27))</f>
        <v>14681.554038554867</v>
      </c>
      <c r="F16" s="3513">
        <f t="shared" si="9"/>
        <v>174.26553697619877</v>
      </c>
      <c r="G16" s="3500">
        <f t="shared" si="6"/>
        <v>0.69694603312185643</v>
      </c>
      <c r="H16" s="3057" t="str">
        <f t="shared" si="6"/>
        <v>NA</v>
      </c>
      <c r="I16" s="3057">
        <f t="shared" si="6"/>
        <v>0.69694603312185643</v>
      </c>
      <c r="J16" s="3057">
        <f t="shared" si="6"/>
        <v>5.8222589493992262E-2</v>
      </c>
      <c r="K16" s="3057">
        <f t="shared" si="6"/>
        <v>2.5712745536827952E-2</v>
      </c>
      <c r="L16" s="3057">
        <f t="shared" si="3"/>
        <v>-0.1336942559365509</v>
      </c>
      <c r="M16" s="3106">
        <f t="shared" si="4"/>
        <v>0.24461120396349234</v>
      </c>
      <c r="N16" s="3057">
        <f t="shared" si="9"/>
        <v>10353.704521940397</v>
      </c>
      <c r="O16" s="3057" t="str">
        <f t="shared" si="9"/>
        <v>IE</v>
      </c>
      <c r="P16" s="3057">
        <f t="shared" si="9"/>
        <v>10353.704521940397</v>
      </c>
      <c r="Q16" s="3057">
        <f t="shared" si="9"/>
        <v>864.94428474295967</v>
      </c>
      <c r="R16" s="3514">
        <f t="shared" si="9"/>
        <v>381.98390848665775</v>
      </c>
      <c r="S16" s="3514">
        <f t="shared" si="9"/>
        <v>-1962.8394431768568</v>
      </c>
      <c r="T16" s="3514">
        <f t="shared" si="9"/>
        <v>42.627302809092477</v>
      </c>
      <c r="U16" s="4262">
        <f>IF(SUM(U17,U19,U23,U25,U27)=0,"IE",SUM(U17,U19,U23,U25,U27))</f>
        <v>-35494.875440941578</v>
      </c>
      <c r="W16" s="2048"/>
    </row>
    <row r="17" spans="2:23" ht="18" customHeight="1" x14ac:dyDescent="0.2">
      <c r="B17" s="477" t="s">
        <v>1344</v>
      </c>
      <c r="C17" s="494"/>
      <c r="D17" s="3509">
        <f>D18</f>
        <v>106.89910447708418</v>
      </c>
      <c r="E17" s="3512">
        <f t="shared" ref="E17:U17" si="10">E18</f>
        <v>106.89910447708418</v>
      </c>
      <c r="F17" s="3513" t="str">
        <f t="shared" si="10"/>
        <v>NO</v>
      </c>
      <c r="G17" s="3500">
        <f t="shared" si="6"/>
        <v>1.1752768013623294</v>
      </c>
      <c r="H17" s="3057" t="str">
        <f t="shared" si="6"/>
        <v>NA</v>
      </c>
      <c r="I17" s="3057">
        <f t="shared" si="6"/>
        <v>1.1752768013623294</v>
      </c>
      <c r="J17" s="3057">
        <f t="shared" si="6"/>
        <v>0.11318841737586499</v>
      </c>
      <c r="K17" s="3057">
        <f t="shared" si="6"/>
        <v>4.183768019904803E-2</v>
      </c>
      <c r="L17" s="3057">
        <f t="shared" si="3"/>
        <v>-0.24715375720248239</v>
      </c>
      <c r="M17" s="3106" t="str">
        <f t="shared" si="4"/>
        <v>NA</v>
      </c>
      <c r="N17" s="3057">
        <f t="shared" si="10"/>
        <v>125.63603757832496</v>
      </c>
      <c r="O17" s="3057" t="str">
        <f t="shared" si="10"/>
        <v>IE</v>
      </c>
      <c r="P17" s="3057">
        <f t="shared" si="10"/>
        <v>125.63603757832496</v>
      </c>
      <c r="Q17" s="3057">
        <f t="shared" si="10"/>
        <v>12.099740454658402</v>
      </c>
      <c r="R17" s="3514">
        <f t="shared" si="10"/>
        <v>4.4724105466768718</v>
      </c>
      <c r="S17" s="3514">
        <f t="shared" si="10"/>
        <v>-26.420515313092061</v>
      </c>
      <c r="T17" s="3514" t="str">
        <f t="shared" si="10"/>
        <v>NO</v>
      </c>
      <c r="U17" s="4262">
        <f t="shared" si="10"/>
        <v>-424.55480197741667</v>
      </c>
      <c r="W17" s="2048"/>
    </row>
    <row r="18" spans="2:23" ht="18" customHeight="1" x14ac:dyDescent="0.2">
      <c r="B18" s="478"/>
      <c r="C18" s="498" t="s">
        <v>409</v>
      </c>
      <c r="D18" s="3509">
        <f>IF(SUM(E18:F18)=0,E18,SUM(E18:F18))</f>
        <v>106.89910447708418</v>
      </c>
      <c r="E18" s="3510">
        <v>106.89910447708418</v>
      </c>
      <c r="F18" s="3496" t="s">
        <v>199</v>
      </c>
      <c r="G18" s="3500">
        <f t="shared" si="6"/>
        <v>1.1752768013623294</v>
      </c>
      <c r="H18" s="3057" t="str">
        <f t="shared" si="6"/>
        <v>NA</v>
      </c>
      <c r="I18" s="3057">
        <f t="shared" si="6"/>
        <v>1.1752768013623294</v>
      </c>
      <c r="J18" s="3057">
        <f t="shared" si="6"/>
        <v>0.11318841737586499</v>
      </c>
      <c r="K18" s="3057">
        <f t="shared" si="6"/>
        <v>4.183768019904803E-2</v>
      </c>
      <c r="L18" s="3057">
        <f t="shared" si="3"/>
        <v>-0.24715375720248239</v>
      </c>
      <c r="M18" s="3106" t="str">
        <f t="shared" si="4"/>
        <v>NA</v>
      </c>
      <c r="N18" s="2917">
        <v>125.63603757832496</v>
      </c>
      <c r="O18" s="2917" t="s">
        <v>274</v>
      </c>
      <c r="P18" s="3087">
        <f>IF(SUM(N18:O18)=0,N18,SUM(N18:O18))</f>
        <v>125.63603757832496</v>
      </c>
      <c r="Q18" s="2917">
        <v>12.099740454658402</v>
      </c>
      <c r="R18" s="2918">
        <v>4.4724105466768718</v>
      </c>
      <c r="S18" s="2918">
        <v>-26.420515313092061</v>
      </c>
      <c r="T18" s="2918" t="s">
        <v>199</v>
      </c>
      <c r="U18" s="4262">
        <f t="shared" ref="U18" si="11">IF(SUM(P18:T18)=0,P18,SUM(P18:T18)*-44/12)</f>
        <v>-424.55480197741667</v>
      </c>
      <c r="W18" s="2424"/>
    </row>
    <row r="19" spans="2:23" ht="18" customHeight="1" x14ac:dyDescent="0.2">
      <c r="B19" s="477" t="s">
        <v>1345</v>
      </c>
      <c r="C19" s="494"/>
      <c r="D19" s="3504">
        <f>IF(SUM(D20:D22)=0,"IE",SUM(D20:D22))</f>
        <v>14493.947984442548</v>
      </c>
      <c r="E19" s="3512">
        <f t="shared" ref="E19:U19" si="12">IF(SUM(E20:E22)=0,"IE",SUM(E20:E22))</f>
        <v>14493.947984442548</v>
      </c>
      <c r="F19" s="3513" t="str">
        <f t="shared" si="12"/>
        <v>IE</v>
      </c>
      <c r="G19" s="3500">
        <f t="shared" si="6"/>
        <v>0.6182092816800655</v>
      </c>
      <c r="H19" s="3057" t="str">
        <f t="shared" si="6"/>
        <v>NA</v>
      </c>
      <c r="I19" s="3057">
        <f t="shared" si="6"/>
        <v>0.6182092816800655</v>
      </c>
      <c r="J19" s="3057">
        <f t="shared" si="6"/>
        <v>6.2326727620503779E-2</v>
      </c>
      <c r="K19" s="3057">
        <f t="shared" si="6"/>
        <v>2.2253517824067728E-2</v>
      </c>
      <c r="L19" s="3057">
        <f t="shared" si="3"/>
        <v>-0.1307226643021491</v>
      </c>
      <c r="M19" s="3106" t="str">
        <f t="shared" si="4"/>
        <v>NA</v>
      </c>
      <c r="N19" s="3057">
        <f t="shared" si="12"/>
        <v>8960.2931721704608</v>
      </c>
      <c r="O19" s="3057" t="str">
        <f t="shared" si="12"/>
        <v>IE</v>
      </c>
      <c r="P19" s="3057">
        <f t="shared" si="12"/>
        <v>8960.2931721704608</v>
      </c>
      <c r="Q19" s="3057">
        <f t="shared" si="12"/>
        <v>903.36034817210043</v>
      </c>
      <c r="R19" s="3514">
        <f t="shared" si="12"/>
        <v>322.54132981290275</v>
      </c>
      <c r="S19" s="3514">
        <f t="shared" si="12"/>
        <v>-1894.6874967830936</v>
      </c>
      <c r="T19" s="3514" t="str">
        <f t="shared" si="12"/>
        <v>IE</v>
      </c>
      <c r="U19" s="4262">
        <f t="shared" si="12"/>
        <v>-30402.193629032023</v>
      </c>
      <c r="W19" s="2048"/>
    </row>
    <row r="20" spans="2:23" ht="18" customHeight="1" x14ac:dyDescent="0.2">
      <c r="B20" s="486"/>
      <c r="C20" s="498" t="s">
        <v>1346</v>
      </c>
      <c r="D20" s="3509">
        <f>IF(SUM(E20:F20)=0,E20,SUM(E20:F20))</f>
        <v>3752.014617284698</v>
      </c>
      <c r="E20" s="3510">
        <v>3752.014617284698</v>
      </c>
      <c r="F20" s="3496" t="s">
        <v>199</v>
      </c>
      <c r="G20" s="3500">
        <f t="shared" si="6"/>
        <v>1.1293548940252822</v>
      </c>
      <c r="H20" s="3057" t="str">
        <f t="shared" si="6"/>
        <v>NA</v>
      </c>
      <c r="I20" s="3057">
        <f t="shared" si="6"/>
        <v>1.1293548940252822</v>
      </c>
      <c r="J20" s="3057">
        <f t="shared" si="6"/>
        <v>0.10890947766425083</v>
      </c>
      <c r="K20" s="3057">
        <f t="shared" si="6"/>
        <v>3.951991264481261E-2</v>
      </c>
      <c r="L20" s="3057">
        <f t="shared" si="3"/>
        <v>-0.34940647677783143</v>
      </c>
      <c r="M20" s="3106" t="str">
        <f t="shared" si="4"/>
        <v>NA</v>
      </c>
      <c r="N20" s="2917">
        <v>4237.3560704848696</v>
      </c>
      <c r="O20" s="2917" t="s">
        <v>274</v>
      </c>
      <c r="P20" s="3087">
        <f>IF(SUM(N20:O20)=0,N20,SUM(N20:O20))</f>
        <v>4237.3560704848696</v>
      </c>
      <c r="Q20" s="2917">
        <v>408.62995215711044</v>
      </c>
      <c r="R20" s="2918">
        <v>148.27928991715129</v>
      </c>
      <c r="S20" s="2918">
        <v>-1310.9782082443699</v>
      </c>
      <c r="T20" s="2918" t="s">
        <v>199</v>
      </c>
      <c r="U20" s="4262">
        <f t="shared" ref="U20:U22" si="13">IF(SUM(P20:T20)=0,P20,SUM(P20:T20)*-44/12)</f>
        <v>-12772.052715820791</v>
      </c>
      <c r="W20" s="2424"/>
    </row>
    <row r="21" spans="2:23" ht="18" customHeight="1" x14ac:dyDescent="0.2">
      <c r="B21" s="490"/>
      <c r="C21" s="498" t="s">
        <v>1347</v>
      </c>
      <c r="D21" s="3509">
        <f>IF(SUM(E21:F21)=0,E21,SUM(E21:F21))</f>
        <v>10741.93336715785</v>
      </c>
      <c r="E21" s="3510">
        <v>10741.93336715785</v>
      </c>
      <c r="F21" s="3496" t="s">
        <v>199</v>
      </c>
      <c r="G21" s="3500">
        <f t="shared" si="6"/>
        <v>0.43963367564473327</v>
      </c>
      <c r="H21" s="3057" t="str">
        <f t="shared" si="6"/>
        <v>NA</v>
      </c>
      <c r="I21" s="3057">
        <f t="shared" si="6"/>
        <v>0.43963367564473327</v>
      </c>
      <c r="J21" s="3057">
        <f t="shared" si="6"/>
        <v>4.6056276500821988E-2</v>
      </c>
      <c r="K21" s="3057">
        <f t="shared" si="6"/>
        <v>1.622259549929218E-2</v>
      </c>
      <c r="L21" s="3057">
        <f t="shared" si="3"/>
        <v>-5.4339313844874858E-2</v>
      </c>
      <c r="M21" s="3106" t="str">
        <f t="shared" si="4"/>
        <v>NA</v>
      </c>
      <c r="N21" s="2917">
        <v>4722.5156497344115</v>
      </c>
      <c r="O21" s="2917" t="s">
        <v>274</v>
      </c>
      <c r="P21" s="3087">
        <f t="shared" ref="P21:P28" si="14">IF(SUM(N21:O21)=0,N21,SUM(N21:O21))</f>
        <v>4722.5156497344115</v>
      </c>
      <c r="Q21" s="2917">
        <v>494.73345331122766</v>
      </c>
      <c r="R21" s="2918">
        <v>174.26203989575143</v>
      </c>
      <c r="S21" s="2918">
        <v>-583.70928853872374</v>
      </c>
      <c r="T21" s="2918" t="s">
        <v>199</v>
      </c>
      <c r="U21" s="4262">
        <f t="shared" si="13"/>
        <v>-17628.606799476445</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0.42145195117893008</v>
      </c>
      <c r="O22" s="2917" t="s">
        <v>274</v>
      </c>
      <c r="P22" s="3087">
        <f t="shared" si="14"/>
        <v>0.42145195117893008</v>
      </c>
      <c r="Q22" s="2917">
        <v>-3.0572962376922107E-3</v>
      </c>
      <c r="R22" s="2918" t="s">
        <v>205</v>
      </c>
      <c r="S22" s="2918" t="s">
        <v>205</v>
      </c>
      <c r="T22" s="2918" t="s">
        <v>205</v>
      </c>
      <c r="U22" s="4262">
        <f t="shared" si="13"/>
        <v>-1.5341137347845388</v>
      </c>
      <c r="W22" s="2424"/>
    </row>
    <row r="23" spans="2:23" ht="18" customHeight="1" x14ac:dyDescent="0.2">
      <c r="B23" s="477" t="s">
        <v>1348</v>
      </c>
      <c r="C23" s="494"/>
      <c r="D23" s="3509">
        <f>D24</f>
        <v>174.26553697619877</v>
      </c>
      <c r="E23" s="3512" t="str">
        <f t="shared" ref="E23" si="15">E24</f>
        <v>NO</v>
      </c>
      <c r="F23" s="3513">
        <f t="shared" ref="F23" si="16">F24</f>
        <v>174.26553697619877</v>
      </c>
      <c r="G23" s="3500">
        <f t="shared" si="6"/>
        <v>6.622149830407742</v>
      </c>
      <c r="H23" s="3057" t="str">
        <f t="shared" si="6"/>
        <v>NA</v>
      </c>
      <c r="I23" s="3057">
        <f t="shared" si="6"/>
        <v>6.622149830407742</v>
      </c>
      <c r="J23" s="3057">
        <f t="shared" si="6"/>
        <v>-0.35217757691626933</v>
      </c>
      <c r="K23" s="3057">
        <f t="shared" si="6"/>
        <v>0.28875949751378355</v>
      </c>
      <c r="L23" s="3057" t="str">
        <f t="shared" si="3"/>
        <v>NA</v>
      </c>
      <c r="M23" s="3106">
        <f t="shared" si="4"/>
        <v>0.24461120396349234</v>
      </c>
      <c r="N23" s="3057">
        <f t="shared" ref="N23" si="17">N24</f>
        <v>1154.0124961328488</v>
      </c>
      <c r="O23" s="3057" t="str">
        <f t="shared" ref="O23" si="18">O24</f>
        <v>IE</v>
      </c>
      <c r="P23" s="3057">
        <f t="shared" ref="P23" si="19">P24</f>
        <v>1154.0124961328488</v>
      </c>
      <c r="Q23" s="3057">
        <f t="shared" ref="Q23" si="20">Q24</f>
        <v>-61.372414552290223</v>
      </c>
      <c r="R23" s="3514">
        <f t="shared" ref="R23" si="21">R24</f>
        <v>50.32082889121682</v>
      </c>
      <c r="S23" s="3514" t="str">
        <f t="shared" ref="S23" si="22">S24</f>
        <v>NO</v>
      </c>
      <c r="T23" s="3514">
        <f t="shared" ref="T23" si="23">T24</f>
        <v>42.627302809092477</v>
      </c>
      <c r="U23" s="4262">
        <f t="shared" ref="U23" si="24">U24</f>
        <v>-4347.1567820298496</v>
      </c>
      <c r="W23" s="2048"/>
    </row>
    <row r="24" spans="2:23" ht="18" customHeight="1" x14ac:dyDescent="0.2">
      <c r="B24" s="478"/>
      <c r="C24" s="498" t="s">
        <v>409</v>
      </c>
      <c r="D24" s="3509">
        <f>IF(SUM(E24:F24)=0,E24,SUM(E24:F24))</f>
        <v>174.26553697619877</v>
      </c>
      <c r="E24" s="3510" t="s">
        <v>199</v>
      </c>
      <c r="F24" s="3496">
        <v>174.26553697619877</v>
      </c>
      <c r="G24" s="3500">
        <f t="shared" si="6"/>
        <v>6.622149830407742</v>
      </c>
      <c r="H24" s="3057" t="str">
        <f t="shared" si="6"/>
        <v>NA</v>
      </c>
      <c r="I24" s="3057">
        <f t="shared" si="6"/>
        <v>6.622149830407742</v>
      </c>
      <c r="J24" s="3057">
        <f t="shared" si="6"/>
        <v>-0.35217757691626933</v>
      </c>
      <c r="K24" s="3057">
        <f t="shared" si="6"/>
        <v>0.28875949751378355</v>
      </c>
      <c r="L24" s="3057" t="str">
        <f t="shared" si="3"/>
        <v>NA</v>
      </c>
      <c r="M24" s="3106">
        <f t="shared" si="4"/>
        <v>0.24461120396349234</v>
      </c>
      <c r="N24" s="2917">
        <v>1154.0124961328488</v>
      </c>
      <c r="O24" s="2917" t="s">
        <v>274</v>
      </c>
      <c r="P24" s="3087">
        <f t="shared" si="14"/>
        <v>1154.0124961328488</v>
      </c>
      <c r="Q24" s="2917">
        <v>-61.372414552290223</v>
      </c>
      <c r="R24" s="2918">
        <v>50.32082889121682</v>
      </c>
      <c r="S24" s="2918" t="s">
        <v>199</v>
      </c>
      <c r="T24" s="2918">
        <v>42.627302809092477</v>
      </c>
      <c r="U24" s="4262">
        <f t="shared" ref="U24" si="25">IF(SUM(P24:T24)=0,P24,SUM(P24:T24)*-44/12)</f>
        <v>-4347.1567820298496</v>
      </c>
      <c r="W24" s="2424"/>
    </row>
    <row r="25" spans="2:23" ht="18" customHeight="1" x14ac:dyDescent="0.2">
      <c r="B25" s="477" t="s">
        <v>1349</v>
      </c>
      <c r="C25" s="494"/>
      <c r="D25" s="3509">
        <f>D26</f>
        <v>80.706949635234565</v>
      </c>
      <c r="E25" s="3512">
        <f t="shared" ref="E25" si="26">E26</f>
        <v>80.706949635234565</v>
      </c>
      <c r="F25" s="3513" t="str">
        <f t="shared" ref="F25" si="27">F26</f>
        <v>NO</v>
      </c>
      <c r="G25" s="3500">
        <f t="shared" si="6"/>
        <v>1.4095789343164087</v>
      </c>
      <c r="H25" s="3057" t="str">
        <f t="shared" si="6"/>
        <v>NA</v>
      </c>
      <c r="I25" s="3057">
        <f t="shared" si="6"/>
        <v>1.4095789343164087</v>
      </c>
      <c r="J25" s="3057">
        <f t="shared" si="6"/>
        <v>0.13451890720141133</v>
      </c>
      <c r="K25" s="3057">
        <f t="shared" si="6"/>
        <v>5.7607668941455185E-2</v>
      </c>
      <c r="L25" s="3057">
        <f t="shared" si="3"/>
        <v>-0.5170735763064005</v>
      </c>
      <c r="M25" s="3106" t="str">
        <f t="shared" si="4"/>
        <v>NA</v>
      </c>
      <c r="N25" s="3057">
        <f t="shared" ref="N25" si="28">N26</f>
        <v>113.76281605876201</v>
      </c>
      <c r="O25" s="3057" t="str">
        <f t="shared" ref="O25" si="29">O26</f>
        <v>IE</v>
      </c>
      <c r="P25" s="3057">
        <f t="shared" ref="P25" si="30">P26</f>
        <v>113.76281605876201</v>
      </c>
      <c r="Q25" s="3057">
        <f t="shared" ref="Q25" si="31">Q26</f>
        <v>10.856610668491095</v>
      </c>
      <c r="R25" s="3514">
        <f t="shared" ref="R25" si="32">R26</f>
        <v>4.6493392358612899</v>
      </c>
      <c r="S25" s="3514">
        <f t="shared" ref="S25" si="33">S26</f>
        <v>-41.731431080671285</v>
      </c>
      <c r="T25" s="3514" t="str">
        <f t="shared" ref="T25" si="34">T26</f>
        <v>NO</v>
      </c>
      <c r="U25" s="4262">
        <f t="shared" ref="U25" si="35">U26</f>
        <v>-320.97022790229136</v>
      </c>
      <c r="W25" s="2048"/>
    </row>
    <row r="26" spans="2:23" ht="18" customHeight="1" x14ac:dyDescent="0.2">
      <c r="B26" s="478"/>
      <c r="C26" s="498" t="s">
        <v>409</v>
      </c>
      <c r="D26" s="3509">
        <f>IF(SUM(E26:F26)=0,E26,SUM(E26:F26))</f>
        <v>80.706949635234565</v>
      </c>
      <c r="E26" s="3510">
        <v>80.706949635234565</v>
      </c>
      <c r="F26" s="3496" t="s">
        <v>199</v>
      </c>
      <c r="G26" s="3500">
        <f t="shared" si="6"/>
        <v>1.4095789343164087</v>
      </c>
      <c r="H26" s="3057" t="str">
        <f t="shared" si="6"/>
        <v>NA</v>
      </c>
      <c r="I26" s="3057">
        <f t="shared" si="6"/>
        <v>1.4095789343164087</v>
      </c>
      <c r="J26" s="3057">
        <f t="shared" si="6"/>
        <v>0.13451890720141133</v>
      </c>
      <c r="K26" s="3057">
        <f t="shared" si="6"/>
        <v>5.7607668941455185E-2</v>
      </c>
      <c r="L26" s="3057">
        <f t="shared" si="3"/>
        <v>-0.5170735763064005</v>
      </c>
      <c r="M26" s="3106" t="str">
        <f t="shared" si="4"/>
        <v>NA</v>
      </c>
      <c r="N26" s="2917">
        <v>113.76281605876201</v>
      </c>
      <c r="O26" s="2917" t="s">
        <v>274</v>
      </c>
      <c r="P26" s="3087">
        <f t="shared" si="14"/>
        <v>113.76281605876201</v>
      </c>
      <c r="Q26" s="2917">
        <v>10.856610668491095</v>
      </c>
      <c r="R26" s="2918">
        <v>4.6493392358612899</v>
      </c>
      <c r="S26" s="2918">
        <v>-41.731431080671285</v>
      </c>
      <c r="T26" s="2918" t="s">
        <v>199</v>
      </c>
      <c r="U26" s="4262">
        <f t="shared" ref="U26" si="36">IF(SUM(P26:T26)=0,P26,SUM(P26:T26)*-44/12)</f>
        <v>-320.97022790229136</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4" t="s">
        <v>1351</v>
      </c>
      <c r="C49" s="4505"/>
      <c r="D49" s="4505"/>
      <c r="E49" s="4505"/>
      <c r="F49" s="4505"/>
      <c r="G49" s="4505"/>
      <c r="H49" s="4505"/>
      <c r="I49" s="4505"/>
      <c r="J49" s="4505"/>
      <c r="K49" s="4505"/>
      <c r="L49" s="4505"/>
      <c r="M49" s="4505"/>
      <c r="N49" s="4505"/>
      <c r="O49" s="4505"/>
      <c r="P49" s="4505"/>
      <c r="Q49" s="4505"/>
      <c r="R49" s="4505"/>
      <c r="S49" s="4505"/>
      <c r="T49" s="4505"/>
      <c r="U49" s="4506"/>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39986.64429824843</v>
      </c>
      <c r="E10" s="3523">
        <f t="shared" ref="E10:F10" si="0">IF(SUM(E11,E13)=0,"IE",SUM(E11,E13))</f>
        <v>39983.64429824843</v>
      </c>
      <c r="F10" s="3524">
        <f t="shared" si="0"/>
        <v>3</v>
      </c>
      <c r="G10" s="3500">
        <f>IFERROR(IF(SUM($D10)=0,"NA",M10/$D10),"NA")</f>
        <v>4.8024216194084614E-3</v>
      </c>
      <c r="H10" s="3523" t="str">
        <f t="shared" ref="H10:J10" si="1">IFERROR(IF(SUM($D10)=0,"NA",N10/$D10),"NA")</f>
        <v>NA</v>
      </c>
      <c r="I10" s="3523">
        <f t="shared" si="1"/>
        <v>4.8024216194084614E-3</v>
      </c>
      <c r="J10" s="3523">
        <f t="shared" si="1"/>
        <v>-1.1872911122883223E-3</v>
      </c>
      <c r="K10" s="3525">
        <f>IFERROR(IF(SUM(E10)=0,"NA",Q10/E10),"NA")</f>
        <v>5.8102869019660247E-2</v>
      </c>
      <c r="L10" s="3524">
        <f>IFERROR(IF(SUM(F10)=0,"NA",R10/F10),"NA")</f>
        <v>-12.475</v>
      </c>
      <c r="M10" s="3526">
        <f>IF(SUM(M11,M13)=0,"IE",SUM(M11,M13))</f>
        <v>192.03272506550434</v>
      </c>
      <c r="N10" s="3523" t="str">
        <f t="shared" ref="N10:S10" si="2">IF(SUM(N11,N13)=0,"IE",SUM(N11,N13))</f>
        <v>IE</v>
      </c>
      <c r="O10" s="3527">
        <f t="shared" si="2"/>
        <v>192.03272506550434</v>
      </c>
      <c r="P10" s="3523">
        <f t="shared" si="2"/>
        <v>-47.475787385544876</v>
      </c>
      <c r="Q10" s="3525">
        <f t="shared" si="2"/>
        <v>2323.1644475898138</v>
      </c>
      <c r="R10" s="3525">
        <f t="shared" si="2"/>
        <v>-37.424999999999997</v>
      </c>
      <c r="S10" s="3528">
        <f t="shared" si="2"/>
        <v>-8911.0867459891688</v>
      </c>
      <c r="U10" s="2287"/>
    </row>
    <row r="11" spans="2:21" ht="18" customHeight="1" x14ac:dyDescent="0.2">
      <c r="B11" s="489" t="s">
        <v>1256</v>
      </c>
      <c r="C11" s="2282"/>
      <c r="D11" s="3529">
        <f>D12</f>
        <v>37706.079410291</v>
      </c>
      <c r="E11" s="3057">
        <f t="shared" ref="E11" si="3">E12</f>
        <v>37706.079410291</v>
      </c>
      <c r="F11" s="3057" t="str">
        <f t="shared" ref="F11" si="4">F12</f>
        <v>IE</v>
      </c>
      <c r="G11" s="3500">
        <f t="shared" ref="G11:G23" si="5">IFERROR(IF(SUM($D11)=0,"NA",M11/$D11),"NA")</f>
        <v>2.2803788828507296E-3</v>
      </c>
      <c r="H11" s="3057" t="str">
        <f t="shared" ref="H11:H23" si="6">IFERROR(IF(SUM($D11)=0,"NA",N11/$D11),"NA")</f>
        <v>NA</v>
      </c>
      <c r="I11" s="3057">
        <f t="shared" ref="I11:I23" si="7">IFERROR(IF(SUM($D11)=0,"NA",O11/$D11),"NA")</f>
        <v>2.2803788828507296E-3</v>
      </c>
      <c r="J11" s="3057" t="str">
        <f t="shared" ref="J11:J23" si="8">IFERROR(IF(SUM($D11)=0,"NA",P11/$D11),"NA")</f>
        <v>NA</v>
      </c>
      <c r="K11" s="3514">
        <f t="shared" ref="K11:K23" si="9">IFERROR(IF(SUM(E11)=0,"NA",Q11/E11),"NA")</f>
        <v>7.2518071745092172E-2</v>
      </c>
      <c r="L11" s="3106" t="str">
        <f t="shared" ref="L11:L23" si="10">IFERROR(IF(SUM(F11)=0,"NA",R11/F11),"NA")</f>
        <v>NA</v>
      </c>
      <c r="M11" s="3530">
        <f t="shared" ref="M11" si="11">M12</f>
        <v>85.98414724232029</v>
      </c>
      <c r="N11" s="3531" t="str">
        <f t="shared" ref="N11" si="12">N12</f>
        <v>IE</v>
      </c>
      <c r="O11" s="3532">
        <f t="shared" ref="O11" si="13">O12</f>
        <v>85.98414724232029</v>
      </c>
      <c r="P11" s="3531" t="str">
        <f t="shared" ref="P11" si="14">P12</f>
        <v>NA</v>
      </c>
      <c r="Q11" s="3533">
        <f t="shared" ref="Q11" si="15">Q12</f>
        <v>2734.3721719016253</v>
      </c>
      <c r="R11" s="3533" t="str">
        <f t="shared" ref="R11" si="16">R12</f>
        <v>IE</v>
      </c>
      <c r="S11" s="3534">
        <f t="shared" ref="S11" si="17">S12</f>
        <v>-10341.306503527801</v>
      </c>
      <c r="U11" s="2284"/>
    </row>
    <row r="12" spans="2:21" ht="18" customHeight="1" x14ac:dyDescent="0.2">
      <c r="B12" s="491"/>
      <c r="C12" s="498" t="s">
        <v>409</v>
      </c>
      <c r="D12" s="3509">
        <f>IF(SUM(E12:F12)=0,E12,SUM(E12:F12))</f>
        <v>37706.079410291</v>
      </c>
      <c r="E12" s="3510">
        <v>37706.079410291</v>
      </c>
      <c r="F12" s="3496" t="s">
        <v>274</v>
      </c>
      <c r="G12" s="3500">
        <f t="shared" si="5"/>
        <v>2.2803788828507296E-3</v>
      </c>
      <c r="H12" s="3057" t="str">
        <f t="shared" si="6"/>
        <v>NA</v>
      </c>
      <c r="I12" s="3057">
        <f t="shared" si="7"/>
        <v>2.2803788828507296E-3</v>
      </c>
      <c r="J12" s="3057" t="str">
        <f t="shared" si="8"/>
        <v>NA</v>
      </c>
      <c r="K12" s="3514">
        <f t="shared" si="9"/>
        <v>7.2518071745092172E-2</v>
      </c>
      <c r="L12" s="3106" t="str">
        <f t="shared" si="10"/>
        <v>NA</v>
      </c>
      <c r="M12" s="2917">
        <v>85.98414724232029</v>
      </c>
      <c r="N12" s="2917" t="s">
        <v>274</v>
      </c>
      <c r="O12" s="3087">
        <f>IF(SUM(M12:N12)=0,M12,SUM(M12:N12))</f>
        <v>85.98414724232029</v>
      </c>
      <c r="P12" s="2917" t="s">
        <v>205</v>
      </c>
      <c r="Q12" s="2918">
        <v>2734.3721719016253</v>
      </c>
      <c r="R12" s="2918" t="s">
        <v>274</v>
      </c>
      <c r="S12" s="3534">
        <f>IF(SUM(O12:R12)=0,Q12,SUM(O12:R12)*-44/12)</f>
        <v>-10341.306503527801</v>
      </c>
      <c r="U12" s="2424"/>
    </row>
    <row r="13" spans="2:21" ht="18" customHeight="1" x14ac:dyDescent="0.2">
      <c r="B13" s="475" t="s">
        <v>1375</v>
      </c>
      <c r="C13" s="494"/>
      <c r="D13" s="3529">
        <f>IF(SUM(D14,D16,D18,D20,D22)=0,"IE",SUM(D14,D16,D18,D20,D22))</f>
        <v>2280.5648879574278</v>
      </c>
      <c r="E13" s="3531">
        <f t="shared" ref="E13:F13" si="18">IF(SUM(E14,E16,E18,E20,E22)=0,"IE",SUM(E14,E16,E18,E20,E22))</f>
        <v>2277.5648879574278</v>
      </c>
      <c r="F13" s="3535">
        <f t="shared" si="18"/>
        <v>3</v>
      </c>
      <c r="G13" s="3500">
        <f t="shared" si="5"/>
        <v>4.6501013140724849E-2</v>
      </c>
      <c r="H13" s="3057" t="str">
        <f t="shared" si="6"/>
        <v>NA</v>
      </c>
      <c r="I13" s="3057">
        <f t="shared" si="7"/>
        <v>4.6501013140724849E-2</v>
      </c>
      <c r="J13" s="3057">
        <f t="shared" si="8"/>
        <v>-2.0817556052117527E-2</v>
      </c>
      <c r="K13" s="3514">
        <f t="shared" si="9"/>
        <v>-0.18054709505141348</v>
      </c>
      <c r="L13" s="3106">
        <f t="shared" si="10"/>
        <v>-12.475</v>
      </c>
      <c r="M13" s="3530">
        <f>IF(SUM(M14,M16,M18,M20,M22)=0,"IE",SUM(M14,M16,M18,M20,M22))</f>
        <v>106.04857782318405</v>
      </c>
      <c r="N13" s="3531" t="str">
        <f t="shared" ref="N13" si="19">IF(SUM(N14,N16,N18,N20,N22)=0,"IE",SUM(N14,N16,N18,N20,N22))</f>
        <v>IE</v>
      </c>
      <c r="O13" s="3532">
        <f t="shared" ref="O13" si="20">IF(SUM(O14,O16,O18,O20,O22)=0,"IE",SUM(O14,O16,O18,O20,O22))</f>
        <v>106.04857782318405</v>
      </c>
      <c r="P13" s="3532">
        <f t="shared" ref="P13" si="21">IF(SUM(P14,P16,P18,P20,P22)=0,"IE",SUM(P14,P16,P18,P20,P22))</f>
        <v>-47.475787385544876</v>
      </c>
      <c r="Q13" s="3532">
        <f t="shared" ref="Q13" si="22">IF(SUM(Q14,Q16,Q18,Q20,Q22)=0,"IE",SUM(Q14,Q16,Q18,Q20,Q22))</f>
        <v>-411.2077243118116</v>
      </c>
      <c r="R13" s="3532">
        <f t="shared" ref="R13" si="23">IF(SUM(R14,R16,R18,R20,R22)=0,"IE",SUM(R14,R16,R18,R20,R22))</f>
        <v>-37.424999999999997</v>
      </c>
      <c r="S13" s="3534">
        <f t="shared" ref="S13" si="24">IF(SUM(S14,S16,S18,S20,S22)=0,"IE",SUM(S14,S16,S18,S20,S22))</f>
        <v>1430.2197575386322</v>
      </c>
      <c r="U13" s="493"/>
    </row>
    <row r="14" spans="2:21" ht="18" customHeight="1" x14ac:dyDescent="0.2">
      <c r="B14" s="477" t="s">
        <v>1376</v>
      </c>
      <c r="C14" s="494"/>
      <c r="D14" s="3529">
        <f>D15</f>
        <v>2267.9039469296158</v>
      </c>
      <c r="E14" s="3057">
        <f t="shared" ref="E14" si="25">E15</f>
        <v>2267.9039469296158</v>
      </c>
      <c r="F14" s="3057" t="str">
        <f t="shared" ref="F14" si="26">F15</f>
        <v>IE</v>
      </c>
      <c r="G14" s="3500">
        <f t="shared" si="5"/>
        <v>4.6760612576541037E-2</v>
      </c>
      <c r="H14" s="3057" t="str">
        <f t="shared" si="6"/>
        <v>NA</v>
      </c>
      <c r="I14" s="3057">
        <f t="shared" si="7"/>
        <v>4.6760612576541037E-2</v>
      </c>
      <c r="J14" s="3057">
        <f t="shared" si="8"/>
        <v>-2.0933773429787271E-2</v>
      </c>
      <c r="K14" s="3514">
        <f t="shared" si="9"/>
        <v>-0.16887132730916937</v>
      </c>
      <c r="L14" s="3106" t="str">
        <f t="shared" si="10"/>
        <v>NA</v>
      </c>
      <c r="M14" s="3530">
        <f t="shared" ref="M14" si="27">M15</f>
        <v>106.04857782318405</v>
      </c>
      <c r="N14" s="3531" t="str">
        <f t="shared" ref="N14" si="28">N15</f>
        <v>IE</v>
      </c>
      <c r="O14" s="3532">
        <f t="shared" ref="O14" si="29">O15</f>
        <v>106.04857782318405</v>
      </c>
      <c r="P14" s="3531">
        <f t="shared" ref="P14" si="30">P15</f>
        <v>-47.475787385544876</v>
      </c>
      <c r="Q14" s="3533">
        <f t="shared" ref="Q14" si="31">Q15</f>
        <v>-382.98394972770825</v>
      </c>
      <c r="R14" s="3533" t="str">
        <f t="shared" ref="R14" si="32">R15</f>
        <v>IE</v>
      </c>
      <c r="S14" s="3534">
        <f t="shared" ref="S14" si="33">S15</f>
        <v>1189.5075840635866</v>
      </c>
      <c r="U14" s="493"/>
    </row>
    <row r="15" spans="2:21" ht="18" customHeight="1" x14ac:dyDescent="0.2">
      <c r="B15" s="491"/>
      <c r="C15" s="498" t="s">
        <v>409</v>
      </c>
      <c r="D15" s="3509">
        <f>IF(SUM(E15:F15)=0,E15,SUM(E15:F15))</f>
        <v>2267.9039469296158</v>
      </c>
      <c r="E15" s="3510">
        <v>2267.9039469296158</v>
      </c>
      <c r="F15" s="3496" t="s">
        <v>274</v>
      </c>
      <c r="G15" s="3500">
        <f t="shared" si="5"/>
        <v>4.6760612576541037E-2</v>
      </c>
      <c r="H15" s="3057" t="str">
        <f t="shared" si="6"/>
        <v>NA</v>
      </c>
      <c r="I15" s="3057">
        <f t="shared" si="7"/>
        <v>4.6760612576541037E-2</v>
      </c>
      <c r="J15" s="3057">
        <f t="shared" si="8"/>
        <v>-2.0933773429787271E-2</v>
      </c>
      <c r="K15" s="3514">
        <f t="shared" si="9"/>
        <v>-0.16887132730916937</v>
      </c>
      <c r="L15" s="3106" t="str">
        <f t="shared" si="10"/>
        <v>NA</v>
      </c>
      <c r="M15" s="2917">
        <v>106.04857782318405</v>
      </c>
      <c r="N15" s="2917" t="s">
        <v>274</v>
      </c>
      <c r="O15" s="3087">
        <f>IF(SUM(M15:N15)=0,M15,SUM(M15:N15))</f>
        <v>106.04857782318405</v>
      </c>
      <c r="P15" s="2917">
        <v>-47.475787385544876</v>
      </c>
      <c r="Q15" s="2918">
        <v>-382.98394972770825</v>
      </c>
      <c r="R15" s="2918" t="s">
        <v>274</v>
      </c>
      <c r="S15" s="3534">
        <f>IF(SUM(O15:R15)=0,Q15,SUM(O15:R15)*-44/12)</f>
        <v>1189.5075840635866</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4" t="s">
        <v>1381</v>
      </c>
      <c r="C46" s="4505"/>
      <c r="D46" s="4505"/>
      <c r="E46" s="4505"/>
      <c r="F46" s="4505"/>
      <c r="G46" s="4505"/>
      <c r="H46" s="4505"/>
      <c r="I46" s="4505"/>
      <c r="J46" s="4505"/>
      <c r="K46" s="4505"/>
      <c r="L46" s="4505"/>
      <c r="M46" s="4505"/>
      <c r="N46" s="4505"/>
      <c r="O46" s="4505"/>
      <c r="P46" s="4505"/>
      <c r="Q46" s="4505"/>
      <c r="R46" s="4505"/>
      <c r="S46" s="4506"/>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516155.1038350162</v>
      </c>
      <c r="E10" s="3523">
        <f t="shared" ref="E10:F10" si="0">IF(SUM(E11,E15)=0,"IE",SUM(E11,E15))</f>
        <v>516154.1038350162</v>
      </c>
      <c r="F10" s="3524">
        <f t="shared" si="0"/>
        <v>1</v>
      </c>
      <c r="G10" s="3500">
        <f>IFERROR(IF(SUM($D10)=0,"NA",M10/$D10),"NA")</f>
        <v>5.0194375606557413E-3</v>
      </c>
      <c r="H10" s="3523">
        <f t="shared" ref="H10:J10" si="1">IFERROR(IF(SUM($D10)=0,"NA",N10/$D10),"NA")</f>
        <v>-1.2847310889729858E-2</v>
      </c>
      <c r="I10" s="3523">
        <f t="shared" si="1"/>
        <v>-7.827873329074116E-3</v>
      </c>
      <c r="J10" s="3523">
        <f t="shared" si="1"/>
        <v>-1.332916547970228E-3</v>
      </c>
      <c r="K10" s="3525">
        <f>IFERROR(IF(SUM(E10)=0,"NA",Q10/E10),"NA")</f>
        <v>2.6132042603799655E-3</v>
      </c>
      <c r="L10" s="3524">
        <f>IFERROR(IF(SUM(F10)=0,"NA",R10/F10),"NA")</f>
        <v>-8.7249999999999996</v>
      </c>
      <c r="M10" s="3526">
        <f>IF(SUM(M11,M15)=0,"IE",SUM(M11,M15))</f>
        <v>2590.8083153136445</v>
      </c>
      <c r="N10" s="3523">
        <f t="shared" ref="N10:S10" si="2">IF(SUM(N11,N15)=0,"IE",SUM(N11,N15))</f>
        <v>-6631.2050862892493</v>
      </c>
      <c r="O10" s="3527">
        <f t="shared" si="2"/>
        <v>-4040.3967709756043</v>
      </c>
      <c r="P10" s="3523">
        <f t="shared" si="2"/>
        <v>-687.99167922098434</v>
      </c>
      <c r="Q10" s="3525">
        <f t="shared" si="2"/>
        <v>1348.8161031542675</v>
      </c>
      <c r="R10" s="3525">
        <f t="shared" si="2"/>
        <v>-8.7249999999999996</v>
      </c>
      <c r="S10" s="3528">
        <f t="shared" si="2"/>
        <v>12423.756939155177</v>
      </c>
      <c r="U10" s="2287"/>
    </row>
    <row r="11" spans="2:21" ht="18" customHeight="1" x14ac:dyDescent="0.2">
      <c r="B11" s="483" t="s">
        <v>1259</v>
      </c>
      <c r="C11" s="473"/>
      <c r="D11" s="3539">
        <f>IF(SUM(D12:D14)=0,"IE",SUM(D12:D14))</f>
        <v>502513.81844221998</v>
      </c>
      <c r="E11" s="3505">
        <f t="shared" ref="E11:F11" si="3">IF(SUM(E12:E14)=0,"IE",SUM(E12:E14))</f>
        <v>502513.81844221998</v>
      </c>
      <c r="F11" s="3506" t="str">
        <f t="shared" si="3"/>
        <v>IE</v>
      </c>
      <c r="G11" s="3539">
        <f t="shared" ref="G11:G26" si="4">IFERROR(IF(SUM($D11)=0,"NA",M11/$D11),"NA")</f>
        <v>5.1182803647738962E-3</v>
      </c>
      <c r="H11" s="3087" t="str">
        <f t="shared" ref="H11:H26" si="5">IFERROR(IF(SUM($D11)=0,"NA",N11/$D11),"NA")</f>
        <v>NA</v>
      </c>
      <c r="I11" s="3087">
        <f t="shared" ref="I11:I26" si="6">IFERROR(IF(SUM($D11)=0,"NA",O11/$D11),"NA")</f>
        <v>5.1182803647738962E-3</v>
      </c>
      <c r="J11" s="3087">
        <f t="shared" ref="J11:J26" si="7">IFERROR(IF(SUM($D11)=0,"NA",P11/$D11),"NA")</f>
        <v>5.4726764750405237E-4</v>
      </c>
      <c r="K11" s="3507">
        <f t="shared" ref="K11:K26" si="8">IFERROR(IF(SUM(E11)=0,"NA",Q11/E11),"NA")</f>
        <v>6.2957736331323644E-3</v>
      </c>
      <c r="L11" s="3216" t="str">
        <f t="shared" ref="L11:L26" si="9">IFERROR(IF(SUM(F11)=0,"NA",R11/F11),"NA")</f>
        <v>NA</v>
      </c>
      <c r="M11" s="3087">
        <f>IF(SUM(M12:M14)=0,"IE",SUM(M12:M14))</f>
        <v>2572.0066099603691</v>
      </c>
      <c r="N11" s="3087" t="str">
        <f t="shared" ref="N11:O11" si="10">IF(SUM(N12:N14)=0,"IE",SUM(N12:N14))</f>
        <v>IE</v>
      </c>
      <c r="O11" s="3087">
        <f t="shared" si="10"/>
        <v>2572.0066099603691</v>
      </c>
      <c r="P11" s="3087">
        <f t="shared" ref="P11" si="11">IF(SUM(P12:P14)=0,"IE",SUM(P12:P14))</f>
        <v>275.00955525715221</v>
      </c>
      <c r="Q11" s="3507">
        <f t="shared" ref="Q11" si="12">IF(SUM(Q12:Q14)=0,"IE",SUM(Q12:Q14))</f>
        <v>3163.7132484331928</v>
      </c>
      <c r="R11" s="3507" t="str">
        <f t="shared" ref="R11" si="13">IF(SUM(R12:R14)=0,"IE",SUM(R12:R14))</f>
        <v>IE</v>
      </c>
      <c r="S11" s="3508">
        <f t="shared" ref="S11" si="14">IF(SUM(S12:S14)=0,"IE",SUM(S12:S14))</f>
        <v>-22039.341183385954</v>
      </c>
      <c r="U11" s="2423"/>
    </row>
    <row r="12" spans="2:21" ht="18" customHeight="1" x14ac:dyDescent="0.2">
      <c r="B12" s="489"/>
      <c r="C12" s="474" t="s">
        <v>1391</v>
      </c>
      <c r="D12" s="3500">
        <f>IF(SUM(E12:F12)=0,E12,SUM(E12:F12))</f>
        <v>69820.727480068104</v>
      </c>
      <c r="E12" s="3510">
        <v>69820.727480068104</v>
      </c>
      <c r="F12" s="3496" t="s">
        <v>274</v>
      </c>
      <c r="G12" s="3500">
        <f t="shared" si="4"/>
        <v>8.5592101343793456E-3</v>
      </c>
      <c r="H12" s="3057" t="str">
        <f t="shared" si="5"/>
        <v>NA</v>
      </c>
      <c r="I12" s="3057">
        <f t="shared" si="6"/>
        <v>8.5592101343793456E-3</v>
      </c>
      <c r="J12" s="3057">
        <f t="shared" si="7"/>
        <v>1.7118420268758695E-3</v>
      </c>
      <c r="K12" s="3514">
        <f t="shared" si="8"/>
        <v>6.8473681075034779E-3</v>
      </c>
      <c r="L12" s="3106" t="str">
        <f t="shared" si="9"/>
        <v>NA</v>
      </c>
      <c r="M12" s="2917">
        <v>597.61027823713744</v>
      </c>
      <c r="N12" s="2917" t="s">
        <v>274</v>
      </c>
      <c r="O12" s="3087">
        <f>IF(SUM(M12:N12)=0,M12,SUM(M12:N12))</f>
        <v>597.61027823713744</v>
      </c>
      <c r="P12" s="2917">
        <v>119.52205564742751</v>
      </c>
      <c r="Q12" s="2918">
        <v>478.08822258971003</v>
      </c>
      <c r="R12" s="2918" t="s">
        <v>274</v>
      </c>
      <c r="S12" s="3511">
        <f>IF(SUM(O12:R12)=0,Q12,SUM(O12:R12)*-44/12)</f>
        <v>-4382.4753737390083</v>
      </c>
      <c r="U12" s="2424"/>
    </row>
    <row r="13" spans="2:21" ht="18" customHeight="1" x14ac:dyDescent="0.2">
      <c r="B13" s="489"/>
      <c r="C13" s="474" t="s">
        <v>1392</v>
      </c>
      <c r="D13" s="3500">
        <f>IF(SUM(E13:F13)=0,E13,SUM(E13:F13))</f>
        <v>432693.09096215188</v>
      </c>
      <c r="E13" s="3510">
        <v>432693.09096215188</v>
      </c>
      <c r="F13" s="3496" t="s">
        <v>274</v>
      </c>
      <c r="G13" s="3500" t="str">
        <f t="shared" si="4"/>
        <v>NA</v>
      </c>
      <c r="H13" s="3057" t="str">
        <f t="shared" si="5"/>
        <v>NA</v>
      </c>
      <c r="I13" s="3057" t="str">
        <f t="shared" si="6"/>
        <v>NA</v>
      </c>
      <c r="J13" s="3057" t="str">
        <f t="shared" si="7"/>
        <v>NA</v>
      </c>
      <c r="K13" s="3514">
        <f t="shared" si="8"/>
        <v>6.2067666018693086E-3</v>
      </c>
      <c r="L13" s="3106" t="str">
        <f t="shared" si="9"/>
        <v>NA</v>
      </c>
      <c r="M13" s="2917" t="s">
        <v>205</v>
      </c>
      <c r="N13" s="2917" t="s">
        <v>205</v>
      </c>
      <c r="O13" s="3087" t="str">
        <f>IF(SUM(M13:N13)=0,M13,SUM(M13:N13))</f>
        <v>NA</v>
      </c>
      <c r="P13" s="2917" t="s">
        <v>205</v>
      </c>
      <c r="Q13" s="2918">
        <v>2685.6250258434829</v>
      </c>
      <c r="R13" s="2918" t="s">
        <v>274</v>
      </c>
      <c r="S13" s="3511">
        <f>IF(SUM(O13:R13)=0,Q13,SUM(O13:R13)*-44/12)</f>
        <v>-9847.2917614261041</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1974.3963317232319</v>
      </c>
      <c r="N14" s="2917" t="s">
        <v>274</v>
      </c>
      <c r="O14" s="3087">
        <f>IF(SUM(M14:N14)=0,M14,SUM(M14:N14))</f>
        <v>1974.3963317232319</v>
      </c>
      <c r="P14" s="2917">
        <v>155.48749960972472</v>
      </c>
      <c r="Q14" s="2918" t="s">
        <v>205</v>
      </c>
      <c r="R14" s="2918" t="s">
        <v>205</v>
      </c>
      <c r="S14" s="3511">
        <f>IF(SUM(O14:R14)=0,Q14,SUM(O14:R14)*-44/12)</f>
        <v>-7809.5740482208412</v>
      </c>
      <c r="U14" s="2424"/>
    </row>
    <row r="15" spans="2:21" ht="18" customHeight="1" x14ac:dyDescent="0.2">
      <c r="B15" s="475" t="s">
        <v>1394</v>
      </c>
      <c r="C15" s="476"/>
      <c r="D15" s="3529">
        <f>IF(SUM(D16,D19,D21,D23,D25)=0,"IE",SUM(D16,D19,D21,D23,D25))</f>
        <v>13641.285392796213</v>
      </c>
      <c r="E15" s="3531">
        <f t="shared" ref="E15:F15" si="15">IF(SUM(E16,E19,E21,E23,E25)=0,"IE",SUM(E16,E19,E21,E23,E25))</f>
        <v>13640.285392796213</v>
      </c>
      <c r="F15" s="3535">
        <f t="shared" si="15"/>
        <v>1</v>
      </c>
      <c r="G15" s="3500">
        <f t="shared" si="4"/>
        <v>1.3782942598066514E-3</v>
      </c>
      <c r="H15" s="3057">
        <f t="shared" si="5"/>
        <v>-0.48611292083890445</v>
      </c>
      <c r="I15" s="3057">
        <f t="shared" si="6"/>
        <v>-0.48473462657909777</v>
      </c>
      <c r="J15" s="3057">
        <f t="shared" si="7"/>
        <v>-7.0594610899841231E-2</v>
      </c>
      <c r="K15" s="3514">
        <f t="shared" si="8"/>
        <v>-0.13305419153747466</v>
      </c>
      <c r="L15" s="3106">
        <f t="shared" si="9"/>
        <v>-8.7249999999999996</v>
      </c>
      <c r="M15" s="3530">
        <f>IF(SUM(M16,M19,M21,M23,M25)=0,"IE",SUM(M16,M19,M21,M23,M25))</f>
        <v>18.801705353275342</v>
      </c>
      <c r="N15" s="3531">
        <f t="shared" ref="N15:S15" si="16">IF(SUM(N16,N19,N21,N23,N25)=0,"IE",SUM(N16,N19,N21,N23,N25))</f>
        <v>-6631.2050862892493</v>
      </c>
      <c r="O15" s="3532">
        <f t="shared" si="16"/>
        <v>-6612.4033809359735</v>
      </c>
      <c r="P15" s="3532">
        <f t="shared" si="16"/>
        <v>-963.00123447813655</v>
      </c>
      <c r="Q15" s="3532">
        <f t="shared" si="16"/>
        <v>-1814.8971452789253</v>
      </c>
      <c r="R15" s="3532">
        <f t="shared" si="16"/>
        <v>-8.7249999999999996</v>
      </c>
      <c r="S15" s="3534">
        <f t="shared" si="16"/>
        <v>34463.098122541131</v>
      </c>
      <c r="U15" s="2048"/>
    </row>
    <row r="16" spans="2:21" ht="18" customHeight="1" x14ac:dyDescent="0.2">
      <c r="B16" s="490" t="s">
        <v>1395</v>
      </c>
      <c r="C16" s="476"/>
      <c r="D16" s="3539">
        <f>IF(SUM(D17:D18)=0,"IE",SUM(D17:D18))</f>
        <v>13592.407960259667</v>
      </c>
      <c r="E16" s="3505">
        <f t="shared" ref="E16:F16" si="17">IF(SUM(E17:E18)=0,"IE",SUM(E17:E18))</f>
        <v>13592.407960259667</v>
      </c>
      <c r="F16" s="3506" t="str">
        <f t="shared" si="17"/>
        <v>IE</v>
      </c>
      <c r="G16" s="3500">
        <f t="shared" si="4"/>
        <v>1.3832505181014415E-3</v>
      </c>
      <c r="H16" s="3057">
        <f t="shared" si="5"/>
        <v>-0.48786095191352452</v>
      </c>
      <c r="I16" s="3057">
        <f t="shared" si="6"/>
        <v>-0.48647770139542307</v>
      </c>
      <c r="J16" s="3057">
        <f t="shared" si="7"/>
        <v>-7.0848464620373239E-2</v>
      </c>
      <c r="K16" s="3514">
        <f t="shared" si="8"/>
        <v>-0.12481256839987626</v>
      </c>
      <c r="L16" s="3106" t="str">
        <f t="shared" si="9"/>
        <v>NA</v>
      </c>
      <c r="M16" s="3057">
        <f>IF(SUM(M17:M18)=0,"IE",SUM(M17:M18))</f>
        <v>18.801705353275342</v>
      </c>
      <c r="N16" s="3057">
        <f t="shared" ref="N16:O16" si="18">IF(SUM(N17:N18)=0,"IE",SUM(N17:N18))</f>
        <v>-6631.2050862892493</v>
      </c>
      <c r="O16" s="3057">
        <f t="shared" si="18"/>
        <v>-6612.4033809359735</v>
      </c>
      <c r="P16" s="3057">
        <f t="shared" ref="P16" si="19">IF(SUM(P17:P18)=0,"IE",SUM(P17:P18))</f>
        <v>-963.00123447813655</v>
      </c>
      <c r="Q16" s="3514">
        <f t="shared" ref="Q16" si="20">IF(SUM(Q17:Q18)=0,"IE",SUM(Q17:Q18))</f>
        <v>-1696.5033482589322</v>
      </c>
      <c r="R16" s="3514" t="str">
        <f t="shared" ref="R16" si="21">IF(SUM(R17:R18)=0,"IE",SUM(R17:R18))</f>
        <v>IE</v>
      </c>
      <c r="S16" s="3511">
        <f t="shared" ref="S16" si="22">IF(SUM(S17:S18)=0,"IE",SUM(S17:S18))</f>
        <v>33996.995866801153</v>
      </c>
      <c r="U16" s="2048"/>
    </row>
    <row r="17" spans="2:21" ht="18" customHeight="1" x14ac:dyDescent="0.2">
      <c r="B17" s="490"/>
      <c r="C17" s="474" t="s">
        <v>1396</v>
      </c>
      <c r="D17" s="3500">
        <f>IF(SUM(E17:F17)=0,E17,SUM(E17:F17))</f>
        <v>13592.407960259667</v>
      </c>
      <c r="E17" s="3510">
        <v>13592.407960259667</v>
      </c>
      <c r="F17" s="3496" t="s">
        <v>274</v>
      </c>
      <c r="G17" s="3500" t="str">
        <f t="shared" si="4"/>
        <v>NA</v>
      </c>
      <c r="H17" s="3057">
        <f t="shared" si="5"/>
        <v>-0.48786095191352452</v>
      </c>
      <c r="I17" s="3057">
        <f t="shared" si="6"/>
        <v>-0.48786095191352452</v>
      </c>
      <c r="J17" s="3057">
        <f t="shared" si="7"/>
        <v>-7.0871257557788642E-2</v>
      </c>
      <c r="K17" s="3514">
        <f t="shared" si="8"/>
        <v>-0.12481256839987626</v>
      </c>
      <c r="L17" s="3106" t="str">
        <f t="shared" si="9"/>
        <v>NA</v>
      </c>
      <c r="M17" s="2917" t="s">
        <v>274</v>
      </c>
      <c r="N17" s="2917">
        <v>-6631.2050862892493</v>
      </c>
      <c r="O17" s="3087">
        <f>IF(SUM(M17:N17)=0,M17,SUM(M17:N17))</f>
        <v>-6631.2050862892493</v>
      </c>
      <c r="P17" s="2917">
        <v>-963.31104538209945</v>
      </c>
      <c r="Q17" s="2918">
        <v>-1696.5033482589322</v>
      </c>
      <c r="R17" s="2918" t="s">
        <v>274</v>
      </c>
      <c r="S17" s="3511">
        <f>IF(SUM(O17:R17)=0,Q17,SUM(O17:R17)*-44/12)</f>
        <v>34067.071426411028</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18.801705353275342</v>
      </c>
      <c r="N18" s="2917" t="s">
        <v>274</v>
      </c>
      <c r="O18" s="3087">
        <f>IF(SUM(M18:N18)=0,M18,SUM(M18:N18))</f>
        <v>18.801705353275342</v>
      </c>
      <c r="P18" s="2917">
        <v>0.30981090396294814</v>
      </c>
      <c r="Q18" s="2918" t="s">
        <v>205</v>
      </c>
      <c r="R18" s="2918" t="s">
        <v>205</v>
      </c>
      <c r="S18" s="3511">
        <f>IF(SUM(O18:R18)=0,Q18,SUM(O18:R18)*-44/12)</f>
        <v>-70.075559609873736</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7" t="s">
        <v>1401</v>
      </c>
      <c r="C47" s="4508"/>
      <c r="D47" s="4508"/>
      <c r="E47" s="4508"/>
      <c r="F47" s="4508"/>
      <c r="G47" s="4508"/>
      <c r="H47" s="4508"/>
      <c r="I47" s="4508"/>
      <c r="J47" s="4508"/>
      <c r="K47" s="4508"/>
      <c r="L47" s="4508"/>
      <c r="M47" s="4508"/>
      <c r="N47" s="4508"/>
      <c r="O47" s="4508"/>
      <c r="P47" s="4508"/>
      <c r="Q47" s="4508"/>
      <c r="R47" s="4508"/>
      <c r="S47" s="4509"/>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13185.170548042182</v>
      </c>
      <c r="E10" s="3523">
        <f>IF(SUM(E11,E23)=0,"IE",SUM(E11,E23))</f>
        <v>13157.537868747697</v>
      </c>
      <c r="F10" s="3524">
        <f>IF(SUM(F11,F23)=0,"IE",SUM(F11,F23))</f>
        <v>27.632679294485229</v>
      </c>
      <c r="G10" s="4317">
        <f>IFERROR(IF(SUM($D10)=0,"NA",M10/$D10),"NA")</f>
        <v>2.56708931908146E-2</v>
      </c>
      <c r="H10" s="4318">
        <f t="shared" ref="H10:J10" si="0">IFERROR(IF(SUM($D10)=0,"NA",N10/$D10),"NA")</f>
        <v>-2.9878514691197011E-3</v>
      </c>
      <c r="I10" s="4319">
        <f t="shared" si="0"/>
        <v>2.2683041721694903E-2</v>
      </c>
      <c r="J10" s="4318">
        <f t="shared" si="0"/>
        <v>7.7771774561380988E-4</v>
      </c>
      <c r="K10" s="4318">
        <f>IFERROR(IF(SUM(E10)=0,"NA",Q10/E10),"NA")</f>
        <v>-2.3057212708138364E-3</v>
      </c>
      <c r="L10" s="4320" t="str">
        <f>IFERROR(IF(SUM(F10)=0,"NA",R10/F10),"NA")</f>
        <v>NA</v>
      </c>
      <c r="M10" s="4319">
        <f t="shared" ref="M10:S10" si="1">IF(SUM(M11,M23)=0,"IE",SUM(M11,M23))</f>
        <v>338.47510484146528</v>
      </c>
      <c r="N10" s="4318">
        <f t="shared" si="1"/>
        <v>-39.395331192561649</v>
      </c>
      <c r="O10" s="4319">
        <f t="shared" si="1"/>
        <v>299.07977364890365</v>
      </c>
      <c r="P10" s="4318">
        <f t="shared" si="1"/>
        <v>10.254341114156968</v>
      </c>
      <c r="Q10" s="4321">
        <f t="shared" si="1"/>
        <v>-30.337614935510114</v>
      </c>
      <c r="R10" s="4321" t="str">
        <f t="shared" si="1"/>
        <v>IE</v>
      </c>
      <c r="S10" s="3528">
        <f t="shared" si="1"/>
        <v>-1022.9871660343518</v>
      </c>
      <c r="U10" s="4322"/>
    </row>
    <row r="11" spans="1:23" ht="18" customHeight="1" x14ac:dyDescent="0.2">
      <c r="B11" s="491" t="s">
        <v>1262</v>
      </c>
      <c r="C11" s="473"/>
      <c r="D11" s="4323">
        <f>IF(SUM(D12,D14,D17)=0,"IE",SUM(D12,D14,D17))</f>
        <v>13137.986922919003</v>
      </c>
      <c r="E11" s="3542">
        <f t="shared" ref="E11:S11" si="2">IF(SUM(E12,E14,E17)=0,"IE",SUM(E12,E14,E17))</f>
        <v>13110.354243624517</v>
      </c>
      <c r="F11" s="3543">
        <f t="shared" si="2"/>
        <v>27.632679294485229</v>
      </c>
      <c r="G11" s="4324">
        <f t="shared" ref="G11:G56" si="3">IFERROR(IF(SUM($D11)=0,"NA",M11/$D11),"NA")</f>
        <v>2.5763087360895529E-2</v>
      </c>
      <c r="H11" s="4325">
        <f t="shared" ref="H11:H56" si="4">IFERROR(IF(SUM($D11)=0,"NA",N11/$D11),"NA")</f>
        <v>-2.8864405857516352E-3</v>
      </c>
      <c r="I11" s="4326">
        <f t="shared" ref="I11:I56" si="5">IFERROR(IF(SUM($D11)=0,"NA",O11/$D11),"NA")</f>
        <v>2.2876646775143894E-2</v>
      </c>
      <c r="J11" s="4325">
        <f t="shared" ref="J11:J56" si="6">IFERROR(IF(SUM($D11)=0,"NA",P11/$D11),"NA")</f>
        <v>7.8051083277213792E-4</v>
      </c>
      <c r="K11" s="4325">
        <f t="shared" ref="K11:K56" si="7">IFERROR(IF(SUM(E11)=0,"NA",Q11/E11),"NA")</f>
        <v>-2.3140194667328005E-3</v>
      </c>
      <c r="L11" s="4327" t="str">
        <f t="shared" ref="L11:L56" si="8">IFERROR(IF(SUM(F11)=0,"NA",R11/F11),"NA")</f>
        <v>NA</v>
      </c>
      <c r="M11" s="4326">
        <f t="shared" si="2"/>
        <v>338.47510484146528</v>
      </c>
      <c r="N11" s="4325">
        <f t="shared" si="2"/>
        <v>-37.922018669387647</v>
      </c>
      <c r="O11" s="4326">
        <f t="shared" si="2"/>
        <v>300.55308617207766</v>
      </c>
      <c r="P11" s="4325">
        <f t="shared" si="2"/>
        <v>10.254341114156968</v>
      </c>
      <c r="Q11" s="4328">
        <f t="shared" si="2"/>
        <v>-30.337614935510114</v>
      </c>
      <c r="R11" s="4328" t="str">
        <f t="shared" si="2"/>
        <v>IE</v>
      </c>
      <c r="S11" s="3544">
        <f t="shared" si="2"/>
        <v>-1028.3893119526565</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781.90689083423194</v>
      </c>
      <c r="E14" s="3505">
        <f>IF(SUM(E15:E16)=0,"IE",SUM(E15:E16))</f>
        <v>781.90689083423194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554.73670000000016</v>
      </c>
      <c r="E15" s="3510">
        <v>554.73670000000016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12356.08003208477</v>
      </c>
      <c r="E17" s="3505">
        <f>IF(SUM(E18:E21)=0,"IE",SUM(E18:E21))</f>
        <v>12328.447352790285</v>
      </c>
      <c r="F17" s="3506">
        <f>IF(SUM(F18:F21)=0,"IE",SUM(F18:F21))</f>
        <v>27.632679294485229</v>
      </c>
      <c r="G17" s="3545">
        <f t="shared" si="3"/>
        <v>2.739340502510134E-2</v>
      </c>
      <c r="H17" s="3531">
        <f t="shared" si="4"/>
        <v>-3.0690978506869773E-3</v>
      </c>
      <c r="I17" s="3546">
        <f t="shared" si="5"/>
        <v>2.4324307174414365E-2</v>
      </c>
      <c r="J17" s="3531">
        <f t="shared" si="6"/>
        <v>8.2990245187225553E-4</v>
      </c>
      <c r="K17" s="3531">
        <f t="shared" si="7"/>
        <v>-2.4607814810227368E-3</v>
      </c>
      <c r="L17" s="3535" t="str">
        <f t="shared" si="8"/>
        <v>NA</v>
      </c>
      <c r="M17" s="3505">
        <f t="shared" ref="M17:S17" si="16">IF(SUM(M18:M21)=0,"IE",SUM(M18:M21))</f>
        <v>338.47510484146528</v>
      </c>
      <c r="N17" s="4325">
        <f t="shared" si="16"/>
        <v>-37.922018669387647</v>
      </c>
      <c r="O17" s="4326">
        <f t="shared" si="16"/>
        <v>300.55308617207766</v>
      </c>
      <c r="P17" s="4325">
        <f t="shared" si="16"/>
        <v>10.254341114156968</v>
      </c>
      <c r="Q17" s="4328">
        <f t="shared" si="16"/>
        <v>-30.337614935510114</v>
      </c>
      <c r="R17" s="4328" t="str">
        <f t="shared" si="16"/>
        <v>IE</v>
      </c>
      <c r="S17" s="4332">
        <f t="shared" si="16"/>
        <v>-1028.3893119526565</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-2.2085094684217439E-2</v>
      </c>
      <c r="I18" s="3554">
        <f t="shared" si="5"/>
        <v>-2.2085094684217439E-2</v>
      </c>
      <c r="J18" s="3553">
        <f t="shared" si="6"/>
        <v>-4.4170189368434873E-3</v>
      </c>
      <c r="K18" s="3553">
        <f t="shared" si="7"/>
        <v>-1.7668075747373949E-2</v>
      </c>
      <c r="L18" s="3555" t="str">
        <f t="shared" si="8"/>
        <v>NA</v>
      </c>
      <c r="M18" s="3547" t="s">
        <v>274</v>
      </c>
      <c r="N18" s="3548">
        <v>-37.922018669387647</v>
      </c>
      <c r="O18" s="3087">
        <f>IF(SUM(M18:N18)=0,M18,SUM(M18:N18))</f>
        <v>-37.922018669387647</v>
      </c>
      <c r="P18" s="3548">
        <v>-7.5844037338775285</v>
      </c>
      <c r="Q18" s="3549">
        <v>-30.337614935510114</v>
      </c>
      <c r="R18" s="3556" t="s">
        <v>274</v>
      </c>
      <c r="S18" s="3511">
        <f>IF(SUM(O18:R18)=0,Q18,SUM(O18:R18)*-44/12)</f>
        <v>278.09480357550939</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v>338.47510484146528</v>
      </c>
      <c r="N19" s="3548" t="s">
        <v>274</v>
      </c>
      <c r="O19" s="3087">
        <f t="shared" ref="O19:O22" si="18">IF(SUM(M19:N19)=0,M19,SUM(M19:N19))</f>
        <v>338.47510484146528</v>
      </c>
      <c r="P19" s="3548">
        <v>17.838744848034498</v>
      </c>
      <c r="Q19" s="3551" t="s">
        <v>205</v>
      </c>
      <c r="R19" s="3550" t="s">
        <v>205</v>
      </c>
      <c r="S19" s="3511">
        <f t="shared" ref="S19:S22" si="19">IF(SUM(O19:R19)=0,Q19,SUM(O19:R19)*-44/12)</f>
        <v>-1306.4841155281658</v>
      </c>
      <c r="T19" s="2519"/>
      <c r="U19" s="2699"/>
      <c r="V19" s="2519"/>
      <c r="W19" s="2519"/>
    </row>
    <row r="20" spans="1:23" ht="18" customHeight="1" x14ac:dyDescent="0.2">
      <c r="A20" s="2519"/>
      <c r="B20" s="2698"/>
      <c r="C20" s="4316" t="s">
        <v>1414</v>
      </c>
      <c r="D20" s="3500">
        <f t="shared" si="17"/>
        <v>10611.360819469344</v>
      </c>
      <c r="E20" s="4335">
        <v>10611.360819469344</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27.632679294485229</v>
      </c>
      <c r="E21" s="3505" t="str">
        <f t="shared" ref="E21:F21" si="20">E22</f>
        <v>IE</v>
      </c>
      <c r="F21" s="3506">
        <f t="shared" si="20"/>
        <v>27.632679294485229</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27.632679294485229</v>
      </c>
      <c r="E22" s="3510" t="s">
        <v>274</v>
      </c>
      <c r="F22" s="3496">
        <v>27.632679294485229</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47.183625123179397</v>
      </c>
      <c r="E23" s="3531">
        <f t="shared" ref="E23:F23" si="22">IF(SUM(E24,E35,E46)=0,"IE",SUM(E24,E35,E46))</f>
        <v>47.183625123179397</v>
      </c>
      <c r="F23" s="3535" t="str">
        <f t="shared" si="22"/>
        <v>IE</v>
      </c>
      <c r="G23" s="3545" t="str">
        <f t="shared" si="3"/>
        <v>NA</v>
      </c>
      <c r="H23" s="3531">
        <f t="shared" si="4"/>
        <v>-3.1225081144734258E-2</v>
      </c>
      <c r="I23" s="3546">
        <f t="shared" si="5"/>
        <v>-3.1225081144734258E-2</v>
      </c>
      <c r="J23" s="3531" t="str">
        <f t="shared" si="6"/>
        <v>NA</v>
      </c>
      <c r="K23" s="3531" t="str">
        <f t="shared" si="7"/>
        <v>NA</v>
      </c>
      <c r="L23" s="3535" t="str">
        <f t="shared" si="8"/>
        <v>NA</v>
      </c>
      <c r="M23" s="3531" t="str">
        <f t="shared" ref="M23" si="23">IF(SUM(M24,M35,M46)=0,"IE",SUM(M24,M35,M46))</f>
        <v>IE</v>
      </c>
      <c r="N23" s="3531">
        <f t="shared" ref="N23" si="24">IF(SUM(N24,N35,N46)=0,"IE",SUM(N24,N35,N46))</f>
        <v>-1.4733125231739985</v>
      </c>
      <c r="O23" s="3546">
        <f t="shared" ref="O23" si="25">IF(SUM(O24,O35,O46)=0,"IE",SUM(O24,O35,O46))</f>
        <v>-1.4733125231739985</v>
      </c>
      <c r="P23" s="3531" t="str">
        <f>IF(SUM(P24,P35,P46)=0,"NO",SUM(P24,P35,P46))</f>
        <v>NO</v>
      </c>
      <c r="Q23" s="3530" t="str">
        <f>IF(SUM(Q24,Q35,Q46)=0,"NO",SUM(Q24,Q35,Q46))</f>
        <v>NO</v>
      </c>
      <c r="R23" s="3530" t="str">
        <f>IF(SUM(R24,R35,R46)=0,"NO",SUM(R24,R35,R46))</f>
        <v>NO</v>
      </c>
      <c r="S23" s="3534">
        <f t="shared" ref="S23" si="26">IF(SUM(S24,S35,S46)=0,"IE",SUM(S24,S35,S46))</f>
        <v>5.4021459183046616</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47.183625123179397</v>
      </c>
      <c r="E35" s="3531">
        <f>IF(SUM(E36,E38,E40,E42,E44)=0,"IE",SUM(E36,E38,E40,E42,E44))</f>
        <v>47.183625123179397</v>
      </c>
      <c r="F35" s="3535" t="str">
        <f>IF(SUM(F36,F38,F40,F42,F44)=0,"IE",SUM(F36,F38,F40,F42,F44))</f>
        <v>IE</v>
      </c>
      <c r="G35" s="3545" t="str">
        <f t="shared" si="3"/>
        <v>NA</v>
      </c>
      <c r="H35" s="3531">
        <f t="shared" si="4"/>
        <v>-3.1225081144734258E-2</v>
      </c>
      <c r="I35" s="3546">
        <f t="shared" si="5"/>
        <v>-3.1225081144734258E-2</v>
      </c>
      <c r="J35" s="3531" t="str">
        <f t="shared" si="6"/>
        <v>NA</v>
      </c>
      <c r="K35" s="3531" t="str">
        <f t="shared" si="7"/>
        <v>NA</v>
      </c>
      <c r="L35" s="3535" t="str">
        <f t="shared" si="8"/>
        <v>NA</v>
      </c>
      <c r="M35" s="3531" t="str">
        <f t="shared" ref="M35:S35" si="48">IF(SUM(M36,M38,M40,M42,M44)=0,"IE",SUM(M36,M38,M40,M42,M44))</f>
        <v>IE</v>
      </c>
      <c r="N35" s="3531">
        <f t="shared" si="48"/>
        <v>-1.4733125231739985</v>
      </c>
      <c r="O35" s="3546">
        <f t="shared" si="48"/>
        <v>-1.4733125231739985</v>
      </c>
      <c r="P35" s="3531" t="str">
        <f>IF(SUM(P36,P38,P40,P42,P44)=0,"NO",SUM(P36,P38,P40,P42,P44))</f>
        <v>NO</v>
      </c>
      <c r="Q35" s="3530" t="str">
        <f>IF(SUM(Q36,Q38,Q40,Q42,Q44)=0,"NO",SUM(Q36,Q38,Q40,Q42,Q44))</f>
        <v>NO</v>
      </c>
      <c r="R35" s="3530" t="str">
        <f>IF(SUM(R36,R38,R40,R42,R44)=0,"NO",SUM(R36,R38,R40,R42,R44))</f>
        <v>NO</v>
      </c>
      <c r="S35" s="3534">
        <f t="shared" si="48"/>
        <v>5.4021459183046616</v>
      </c>
      <c r="U35" s="493"/>
    </row>
    <row r="36" spans="2:21" ht="18" customHeight="1" x14ac:dyDescent="0.2">
      <c r="B36" s="495" t="s">
        <v>1424</v>
      </c>
      <c r="C36" s="476"/>
      <c r="D36" s="3500">
        <f>D37</f>
        <v>47.183625123179397</v>
      </c>
      <c r="E36" s="3505">
        <f t="shared" ref="E36:F36" si="49">E37</f>
        <v>47.183625123179397</v>
      </c>
      <c r="F36" s="3506" t="str">
        <f t="shared" si="49"/>
        <v>IE</v>
      </c>
      <c r="G36" s="3500" t="str">
        <f t="shared" si="3"/>
        <v>NA</v>
      </c>
      <c r="H36" s="3057">
        <f t="shared" si="4"/>
        <v>-3.1225081144734258E-2</v>
      </c>
      <c r="I36" s="3057">
        <f t="shared" si="5"/>
        <v>-3.1225081144734258E-2</v>
      </c>
      <c r="J36" s="3057" t="str">
        <f t="shared" si="6"/>
        <v>NA</v>
      </c>
      <c r="K36" s="3514" t="str">
        <f t="shared" si="7"/>
        <v>NA</v>
      </c>
      <c r="L36" s="3106" t="str">
        <f t="shared" si="8"/>
        <v>NA</v>
      </c>
      <c r="M36" s="4170" t="str">
        <f t="shared" ref="M36:S36" si="50">M37</f>
        <v>IE</v>
      </c>
      <c r="N36" s="3057">
        <f t="shared" si="50"/>
        <v>-1.4733125231739985</v>
      </c>
      <c r="O36" s="3057">
        <f t="shared" si="50"/>
        <v>-1.4733125231739985</v>
      </c>
      <c r="P36" s="3057" t="str">
        <f t="shared" si="50"/>
        <v>NA</v>
      </c>
      <c r="Q36" s="3514" t="str">
        <f t="shared" si="50"/>
        <v>NA</v>
      </c>
      <c r="R36" s="3514" t="str">
        <f t="shared" si="50"/>
        <v>NA</v>
      </c>
      <c r="S36" s="3511">
        <f t="shared" si="50"/>
        <v>5.4021459183046616</v>
      </c>
      <c r="U36" s="4329"/>
    </row>
    <row r="37" spans="2:21" ht="18" customHeight="1" x14ac:dyDescent="0.2">
      <c r="B37" s="1478"/>
      <c r="C37" s="4330" t="s">
        <v>409</v>
      </c>
      <c r="D37" s="3500">
        <f>IF(SUM(E37:F37)=0,E37,SUM(E37:F37))</f>
        <v>47.183625123179397</v>
      </c>
      <c r="E37" s="3510">
        <v>47.183625123179397</v>
      </c>
      <c r="F37" s="3496" t="s">
        <v>274</v>
      </c>
      <c r="G37" s="3545" t="str">
        <f t="shared" si="3"/>
        <v>NA</v>
      </c>
      <c r="H37" s="3531">
        <f t="shared" si="4"/>
        <v>-3.1225081144734258E-2</v>
      </c>
      <c r="I37" s="3546">
        <f t="shared" si="5"/>
        <v>-3.1225081144734258E-2</v>
      </c>
      <c r="J37" s="3531" t="str">
        <f t="shared" si="6"/>
        <v>NA</v>
      </c>
      <c r="K37" s="3531" t="str">
        <f t="shared" si="7"/>
        <v>NA</v>
      </c>
      <c r="L37" s="3535" t="str">
        <f t="shared" si="8"/>
        <v>NA</v>
      </c>
      <c r="M37" s="3547" t="s">
        <v>274</v>
      </c>
      <c r="N37" s="3548">
        <v>-1.4733125231739985</v>
      </c>
      <c r="O37" s="3087">
        <f t="shared" ref="O37" si="51">IF(SUM(M37:N37)=0,M37,SUM(M37:N37))</f>
        <v>-1.4733125231739985</v>
      </c>
      <c r="P37" s="3548" t="s">
        <v>205</v>
      </c>
      <c r="Q37" s="3549" t="s">
        <v>205</v>
      </c>
      <c r="R37" s="3549" t="s">
        <v>205</v>
      </c>
      <c r="S37" s="3511">
        <f t="shared" ref="S37" si="52">IF(SUM(O37:R37)=0,Q37,SUM(O37:R37)*-44/12)</f>
        <v>5.4021459183046616</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5" t="s">
        <v>1435</v>
      </c>
      <c r="C80" s="4526"/>
      <c r="D80" s="4526"/>
      <c r="E80" s="4526"/>
      <c r="F80" s="4526"/>
      <c r="G80" s="4526"/>
      <c r="H80" s="4526"/>
      <c r="I80" s="4526"/>
      <c r="J80" s="4526"/>
      <c r="K80" s="4526"/>
      <c r="L80" s="4526"/>
      <c r="M80" s="4526"/>
      <c r="N80" s="4526"/>
      <c r="O80" s="4526"/>
      <c r="P80" s="4526"/>
      <c r="Q80" s="4526"/>
      <c r="R80" s="4526"/>
      <c r="S80" s="4527"/>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1655.5580883010816</v>
      </c>
      <c r="E10" s="3523">
        <f t="shared" ref="E10:F10" si="0">IF(SUM(E11,E13)=0,"IE",SUM(E11,E13))</f>
        <v>1554.6380170603306</v>
      </c>
      <c r="F10" s="3524">
        <f t="shared" si="0"/>
        <v>100.92007124075087</v>
      </c>
      <c r="G10" s="3522">
        <f>IFERROR(IF(SUM($D10)=0,"NA",M10/$D10),"NA")</f>
        <v>6.4293378808536394E-3</v>
      </c>
      <c r="H10" s="3523">
        <f t="shared" ref="H10:J10" si="1">IFERROR(IF(SUM($D10)=0,"NA",N10/$D10),"NA")</f>
        <v>-0.48138832800005171</v>
      </c>
      <c r="I10" s="3523">
        <f t="shared" si="1"/>
        <v>-0.47495899011919812</v>
      </c>
      <c r="J10" s="3523">
        <f t="shared" si="1"/>
        <v>-5.3844000845762754E-2</v>
      </c>
      <c r="K10" s="3525">
        <f>IFERROR(IF(SUM(E10)=0,"NA",Q10/E10),"NA")</f>
        <v>-5.9185729514449219E-2</v>
      </c>
      <c r="L10" s="3524">
        <f>IFERROR(IF(SUM(F10)=0,"NA",R10/F10),"NA")</f>
        <v>0.22217556838917316</v>
      </c>
      <c r="M10" s="3526">
        <f>IF(SUM(M11,M13)=0,"IE",SUM(M11,M13))</f>
        <v>10.644142331067778</v>
      </c>
      <c r="N10" s="3523">
        <f t="shared" ref="N10:S10" si="2">IF(SUM(N11,N13)=0,"IE",SUM(N11,N13))</f>
        <v>-796.96634003421968</v>
      </c>
      <c r="O10" s="3527">
        <f t="shared" si="2"/>
        <v>-786.32219770315191</v>
      </c>
      <c r="P10" s="3523">
        <f t="shared" si="2"/>
        <v>-89.141871106692804</v>
      </c>
      <c r="Q10" s="3525">
        <f t="shared" si="2"/>
        <v>-92.012385170612419</v>
      </c>
      <c r="R10" s="3525">
        <f t="shared" si="2"/>
        <v>22.421974189789672</v>
      </c>
      <c r="S10" s="3528">
        <f t="shared" si="2"/>
        <v>3465.1997592324474</v>
      </c>
      <c r="U10" s="2287"/>
    </row>
    <row r="11" spans="2:21" ht="18" customHeight="1" x14ac:dyDescent="0.2">
      <c r="B11" s="483" t="s">
        <v>1265</v>
      </c>
      <c r="C11" s="2282"/>
      <c r="D11" s="3529">
        <f>D12</f>
        <v>1140.8084500770001</v>
      </c>
      <c r="E11" s="3057">
        <f t="shared" ref="E11:F11" si="3">E12</f>
        <v>1140.8084500770001</v>
      </c>
      <c r="F11" s="3057" t="str">
        <f t="shared" si="3"/>
        <v>IE</v>
      </c>
      <c r="G11" s="3500">
        <f t="shared" ref="G11:G24" si="4">IFERROR(IF(SUM($D11)=0,"NA",M11/$D11),"NA")</f>
        <v>9.3303501831086023E-3</v>
      </c>
      <c r="H11" s="3057" t="str">
        <f t="shared" ref="H11:H24" si="5">IFERROR(IF(SUM($D11)=0,"NA",N11/$D11),"NA")</f>
        <v>NA</v>
      </c>
      <c r="I11" s="3057">
        <f t="shared" ref="I11:I24" si="6">IFERROR(IF(SUM($D11)=0,"NA",O11/$D11),"NA")</f>
        <v>9.3303501831086023E-3</v>
      </c>
      <c r="J11" s="3057">
        <f t="shared" ref="J11:J24" si="7">IFERROR(IF(SUM($D11)=0,"NA",P11/$D11),"NA")</f>
        <v>1.8660700366217205E-3</v>
      </c>
      <c r="K11" s="3514">
        <f t="shared" ref="K11:K24" si="8">IFERROR(IF(SUM(E11)=0,"NA",Q11/E11),"NA")</f>
        <v>7.4642801464868819E-3</v>
      </c>
      <c r="L11" s="3106" t="str">
        <f t="shared" ref="L11:L24" si="9">IFERROR(IF(SUM(F11)=0,"NA",R11/F11),"NA")</f>
        <v>NA</v>
      </c>
      <c r="M11" s="3530">
        <f t="shared" ref="M11:S11" si="10">M12</f>
        <v>10.644142331067778</v>
      </c>
      <c r="N11" s="3531" t="str">
        <f t="shared" si="10"/>
        <v>IE</v>
      </c>
      <c r="O11" s="3532">
        <f t="shared" si="10"/>
        <v>10.644142331067778</v>
      </c>
      <c r="P11" s="3531">
        <f t="shared" si="10"/>
        <v>2.1288284662135557</v>
      </c>
      <c r="Q11" s="3533">
        <f t="shared" si="10"/>
        <v>8.5153138648542228</v>
      </c>
      <c r="R11" s="3533" t="str">
        <f t="shared" si="10"/>
        <v>IE</v>
      </c>
      <c r="S11" s="3534">
        <f t="shared" si="10"/>
        <v>-78.057043761163712</v>
      </c>
      <c r="U11" s="2423"/>
    </row>
    <row r="12" spans="2:21" ht="18" customHeight="1" x14ac:dyDescent="0.2">
      <c r="B12" s="491"/>
      <c r="C12" s="4330" t="s">
        <v>409</v>
      </c>
      <c r="D12" s="3500">
        <f>IF(SUM(E12:F12)=0,E12,SUM(E12:F12))</f>
        <v>1140.8084500770001</v>
      </c>
      <c r="E12" s="3510">
        <v>1140.8084500770001</v>
      </c>
      <c r="F12" s="3496" t="s">
        <v>274</v>
      </c>
      <c r="G12" s="3500">
        <f t="shared" si="4"/>
        <v>9.3303501831086023E-3</v>
      </c>
      <c r="H12" s="3057" t="str">
        <f t="shared" si="5"/>
        <v>NA</v>
      </c>
      <c r="I12" s="3057">
        <f t="shared" si="6"/>
        <v>9.3303501831086023E-3</v>
      </c>
      <c r="J12" s="3057">
        <f t="shared" si="7"/>
        <v>1.8660700366217205E-3</v>
      </c>
      <c r="K12" s="3514">
        <f t="shared" si="8"/>
        <v>7.4642801464868819E-3</v>
      </c>
      <c r="L12" s="3106" t="str">
        <f t="shared" si="9"/>
        <v>NA</v>
      </c>
      <c r="M12" s="2917">
        <v>10.644142331067778</v>
      </c>
      <c r="N12" s="2917" t="s">
        <v>274</v>
      </c>
      <c r="O12" s="3087">
        <f>IF(SUM(M12:N12)=0,M12,SUM(M12:N12))</f>
        <v>10.644142331067778</v>
      </c>
      <c r="P12" s="2917">
        <v>2.1288284662135557</v>
      </c>
      <c r="Q12" s="2918">
        <v>8.5153138648542228</v>
      </c>
      <c r="R12" s="2918" t="s">
        <v>274</v>
      </c>
      <c r="S12" s="3511">
        <f>IF(SUM(O12:R12)=0,Q12,SUM(O12:R12)*-44/12)</f>
        <v>-78.057043761163712</v>
      </c>
      <c r="U12" s="2424"/>
    </row>
    <row r="13" spans="2:21" ht="18" customHeight="1" x14ac:dyDescent="0.2">
      <c r="B13" s="483" t="s">
        <v>1266</v>
      </c>
      <c r="C13" s="494"/>
      <c r="D13" s="3529">
        <f>IF(SUM(D14,D17,D19,D21,D23)=0,"IE",SUM(D14,D17,D19,D21,D23))</f>
        <v>514.74963822408154</v>
      </c>
      <c r="E13" s="3531">
        <f t="shared" ref="E13:S13" si="11">IF(SUM(E14,E17,E19,E21,E23)=0,"IE",SUM(E14,E17,E19,E21,E23))</f>
        <v>413.82956698333061</v>
      </c>
      <c r="F13" s="3535">
        <f t="shared" si="11"/>
        <v>100.92007124075087</v>
      </c>
      <c r="G13" s="3500" t="str">
        <f t="shared" si="4"/>
        <v>NA</v>
      </c>
      <c r="H13" s="3057">
        <f t="shared" si="5"/>
        <v>-1.5482601265807654</v>
      </c>
      <c r="I13" s="3057">
        <f t="shared" si="6"/>
        <v>-1.5482601265807654</v>
      </c>
      <c r="J13" s="3057">
        <f t="shared" si="7"/>
        <v>-0.17731085715338429</v>
      </c>
      <c r="K13" s="3514">
        <f t="shared" si="8"/>
        <v>-0.24292053312738762</v>
      </c>
      <c r="L13" s="3106">
        <f t="shared" si="9"/>
        <v>0.22217556838917316</v>
      </c>
      <c r="M13" s="3057" t="str">
        <f t="shared" si="11"/>
        <v>IE</v>
      </c>
      <c r="N13" s="3057">
        <f t="shared" si="11"/>
        <v>-796.96634003421968</v>
      </c>
      <c r="O13" s="3057">
        <f t="shared" si="11"/>
        <v>-796.96634003421968</v>
      </c>
      <c r="P13" s="3057">
        <f t="shared" si="11"/>
        <v>-91.270699572906366</v>
      </c>
      <c r="Q13" s="3514">
        <f t="shared" si="11"/>
        <v>-100.52769903546664</v>
      </c>
      <c r="R13" s="3514">
        <f t="shared" si="11"/>
        <v>22.421974189789672</v>
      </c>
      <c r="S13" s="3511">
        <f t="shared" si="11"/>
        <v>3543.256802993611</v>
      </c>
      <c r="U13" s="2048"/>
    </row>
    <row r="14" spans="2:21" ht="18" customHeight="1" x14ac:dyDescent="0.2">
      <c r="B14" s="485" t="s">
        <v>1440</v>
      </c>
      <c r="C14" s="494"/>
      <c r="D14" s="3539">
        <f>IF(SUM(D15:D16)=0,"IE",SUM(D15:D16))</f>
        <v>514.74963822408154</v>
      </c>
      <c r="E14" s="3505">
        <f t="shared" ref="E14:F14" si="12">IF(SUM(E15:E16)=0,"IE",SUM(E15:E16))</f>
        <v>413.82956698333061</v>
      </c>
      <c r="F14" s="3506">
        <f t="shared" si="12"/>
        <v>100.92007124075087</v>
      </c>
      <c r="G14" s="3500" t="str">
        <f t="shared" si="4"/>
        <v>NA</v>
      </c>
      <c r="H14" s="3057">
        <f t="shared" si="5"/>
        <v>-1.5482601265807654</v>
      </c>
      <c r="I14" s="3057">
        <f t="shared" si="6"/>
        <v>-1.5482601265807654</v>
      </c>
      <c r="J14" s="3057">
        <f t="shared" si="7"/>
        <v>-0.17731085715338429</v>
      </c>
      <c r="K14" s="3514">
        <f t="shared" si="8"/>
        <v>-0.24292053312738762</v>
      </c>
      <c r="L14" s="3106">
        <f t="shared" si="9"/>
        <v>0.22217556838917316</v>
      </c>
      <c r="M14" s="3057" t="str">
        <f>IF(SUM(M15:M16)=0,"IE",SUM(M15:M16))</f>
        <v>IE</v>
      </c>
      <c r="N14" s="3057">
        <f t="shared" ref="N14:S14" si="13">IF(SUM(N15:N16)=0,"IE",SUM(N15:N16))</f>
        <v>-796.96634003421968</v>
      </c>
      <c r="O14" s="3057">
        <f t="shared" si="13"/>
        <v>-796.96634003421968</v>
      </c>
      <c r="P14" s="3057">
        <f t="shared" si="13"/>
        <v>-91.270699572906366</v>
      </c>
      <c r="Q14" s="3514">
        <f t="shared" si="13"/>
        <v>-100.52769903546664</v>
      </c>
      <c r="R14" s="3514">
        <f t="shared" si="13"/>
        <v>22.421974189789672</v>
      </c>
      <c r="S14" s="3511">
        <f t="shared" si="13"/>
        <v>3543.256802993611</v>
      </c>
      <c r="U14" s="2048"/>
    </row>
    <row r="15" spans="2:21" ht="18" customHeight="1" x14ac:dyDescent="0.2">
      <c r="B15" s="486"/>
      <c r="C15" s="498" t="s">
        <v>1441</v>
      </c>
      <c r="D15" s="3500">
        <f>IF(SUM(E15:F15)=0,E15,SUM(E15:F15))</f>
        <v>100.92007124075087</v>
      </c>
      <c r="E15" s="3510" t="s">
        <v>199</v>
      </c>
      <c r="F15" s="3496">
        <v>100.92007124075087</v>
      </c>
      <c r="G15" s="3500" t="str">
        <f t="shared" si="4"/>
        <v>NA</v>
      </c>
      <c r="H15" s="3057">
        <f t="shared" si="5"/>
        <v>-6.9601469314781665</v>
      </c>
      <c r="I15" s="3057">
        <f t="shared" si="6"/>
        <v>-6.9601469314781665</v>
      </c>
      <c r="J15" s="3057">
        <f t="shared" si="7"/>
        <v>-0.46491192995159708</v>
      </c>
      <c r="K15" s="3514" t="str">
        <f t="shared" si="8"/>
        <v>NA</v>
      </c>
      <c r="L15" s="3106">
        <f t="shared" si="9"/>
        <v>0.22217556838917316</v>
      </c>
      <c r="M15" s="2917" t="s">
        <v>274</v>
      </c>
      <c r="N15" s="2917">
        <v>-702.41852417087011</v>
      </c>
      <c r="O15" s="3087">
        <f>IF(SUM(M15:N15)=0,M15,SUM(M15:N15))</f>
        <v>-702.41852417087011</v>
      </c>
      <c r="P15" s="2917">
        <v>-46.918945091390157</v>
      </c>
      <c r="Q15" s="2918" t="s">
        <v>199</v>
      </c>
      <c r="R15" s="2918">
        <v>22.421974189789672</v>
      </c>
      <c r="S15" s="3511">
        <f>IF(SUM(O15:R15)=0,Q15,SUM(O15:R15)*-44/12)</f>
        <v>2665.3568152657253</v>
      </c>
      <c r="U15" s="2048"/>
    </row>
    <row r="16" spans="2:21" ht="18" customHeight="1" x14ac:dyDescent="0.2">
      <c r="B16" s="484"/>
      <c r="C16" s="498" t="s">
        <v>1442</v>
      </c>
      <c r="D16" s="3500">
        <f>IF(SUM(E16:F16)=0,E16,SUM(E16:F16))</f>
        <v>413.82956698333061</v>
      </c>
      <c r="E16" s="3510">
        <v>413.82956698333061</v>
      </c>
      <c r="F16" s="3496" t="s">
        <v>274</v>
      </c>
      <c r="G16" s="3500" t="str">
        <f t="shared" si="4"/>
        <v>NA</v>
      </c>
      <c r="H16" s="3057">
        <f t="shared" si="5"/>
        <v>-0.22847042214158192</v>
      </c>
      <c r="I16" s="3057">
        <f t="shared" si="6"/>
        <v>-0.22847042214158192</v>
      </c>
      <c r="J16" s="3057">
        <f t="shared" si="7"/>
        <v>-0.10717396247161512</v>
      </c>
      <c r="K16" s="3514">
        <f t="shared" si="8"/>
        <v>-0.24292053312738762</v>
      </c>
      <c r="L16" s="3106" t="str">
        <f t="shared" si="9"/>
        <v>NA</v>
      </c>
      <c r="M16" s="2917" t="s">
        <v>274</v>
      </c>
      <c r="N16" s="2917">
        <v>-94.547815863349598</v>
      </c>
      <c r="O16" s="3087">
        <f>IF(SUM(M16:N16)=0,M16,SUM(M16:N16))</f>
        <v>-94.547815863349598</v>
      </c>
      <c r="P16" s="2917">
        <v>-44.35175448151621</v>
      </c>
      <c r="Q16" s="2918">
        <v>-100.52769903546664</v>
      </c>
      <c r="R16" s="2918" t="s">
        <v>274</v>
      </c>
      <c r="S16" s="3511">
        <f>IF(SUM(O16:R16)=0,Q16,SUM(O16:R16)*-44/12)</f>
        <v>877.89998772788567</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8"/>
      <c r="W29" s="4528"/>
      <c r="X29" s="4528"/>
      <c r="Y29" s="4528"/>
      <c r="Z29" s="4528"/>
      <c r="AA29" s="4528"/>
      <c r="AB29" s="4528"/>
      <c r="AC29" s="4528"/>
      <c r="AD29" s="4528"/>
      <c r="AE29" s="4528"/>
      <c r="AF29" s="4528"/>
      <c r="AG29" s="4528"/>
      <c r="AH29" s="4528"/>
      <c r="AI29" s="4528"/>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7" t="s">
        <v>1501</v>
      </c>
      <c r="C53" s="4508"/>
      <c r="D53" s="4508"/>
      <c r="E53" s="4508"/>
      <c r="F53" s="4508"/>
      <c r="G53" s="4508"/>
      <c r="H53" s="4508"/>
      <c r="I53" s="4508"/>
      <c r="J53" s="4508"/>
      <c r="K53" s="4508"/>
      <c r="L53" s="4509"/>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29"/>
      <c r="C55" s="4529"/>
      <c r="D55" s="4529"/>
      <c r="E55" s="4529"/>
      <c r="F55" s="4529"/>
      <c r="G55" s="4529"/>
      <c r="H55" s="4529"/>
      <c r="I55" s="4529"/>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0" t="s">
        <v>1505</v>
      </c>
      <c r="C8" s="2474" t="s">
        <v>1312</v>
      </c>
      <c r="D8" s="2838" t="s">
        <v>1506</v>
      </c>
      <c r="E8" s="910" t="s">
        <v>1507</v>
      </c>
      <c r="F8" s="909" t="s">
        <v>1508</v>
      </c>
      <c r="G8" s="511" t="s">
        <v>1509</v>
      </c>
      <c r="H8" s="512" t="s">
        <v>1510</v>
      </c>
      <c r="I8" s="512" t="s">
        <v>1511</v>
      </c>
      <c r="J8" s="513" t="s">
        <v>1512</v>
      </c>
    </row>
    <row r="9" spans="2:10" ht="15" thickBot="1" x14ac:dyDescent="0.3">
      <c r="B9" s="4531"/>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52.359438268401369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52.359438268401369</v>
      </c>
    </row>
    <row r="270" spans="2:10" ht="18" customHeight="1" x14ac:dyDescent="0.2">
      <c r="B270" s="2842" t="s">
        <v>1550</v>
      </c>
      <c r="C270" s="2843"/>
      <c r="D270" s="2823"/>
      <c r="E270" s="2824"/>
      <c r="F270" s="2825"/>
      <c r="G270" s="2826"/>
      <c r="H270" s="2834" t="s">
        <v>221</v>
      </c>
      <c r="I270" s="2830" t="s">
        <v>221</v>
      </c>
      <c r="J270" s="3659">
        <f>J277</f>
        <v>51.827582333523388</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501.50479136633567</v>
      </c>
      <c r="E277" s="2770" t="s">
        <v>205</v>
      </c>
      <c r="F277" s="2768" t="s">
        <v>205</v>
      </c>
      <c r="G277" s="3653">
        <f>IF(SUM(D277)=0,"NA",J277*1000/D277)</f>
        <v>103.3441419219956</v>
      </c>
      <c r="H277" s="2793" t="str">
        <f t="shared" ref="H277:J277" si="1">H302</f>
        <v>NE</v>
      </c>
      <c r="I277" s="2792" t="str">
        <f t="shared" si="1"/>
        <v>NE</v>
      </c>
      <c r="J277" s="3652">
        <f t="shared" si="1"/>
        <v>51.827582333523388</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335.00718534270459</v>
      </c>
      <c r="E281" s="2770" t="str">
        <f t="shared" si="2"/>
        <v>NA</v>
      </c>
      <c r="F281" s="2768" t="str">
        <f t="shared" si="2"/>
        <v>NA</v>
      </c>
      <c r="G281" s="3653">
        <f t="shared" si="2"/>
        <v>115.60068537040146</v>
      </c>
      <c r="H281" s="2795" t="str">
        <f t="shared" ref="H281" si="3">H306</f>
        <v>NA</v>
      </c>
      <c r="I281" s="2773" t="str">
        <f t="shared" ref="I281:J281" si="4">I306</f>
        <v>NA</v>
      </c>
      <c r="J281" s="3662">
        <f t="shared" si="4"/>
        <v>38.727060229625764</v>
      </c>
    </row>
    <row r="282" spans="2:10" ht="18" customHeight="1" outlineLevel="1" x14ac:dyDescent="0.2">
      <c r="B282" s="2862" t="str">
        <f>B307</f>
        <v>Other Constructed Water Bodies</v>
      </c>
      <c r="C282" s="2850" t="str">
        <f t="shared" si="2"/>
        <v>Other Constructed Water Bodies</v>
      </c>
      <c r="D282" s="3647">
        <f t="shared" si="2"/>
        <v>166.49760602363105</v>
      </c>
      <c r="E282" s="2770" t="str">
        <f t="shared" si="2"/>
        <v>NA</v>
      </c>
      <c r="F282" s="2768" t="str">
        <f t="shared" si="2"/>
        <v>NA</v>
      </c>
      <c r="G282" s="3653">
        <f t="shared" si="2"/>
        <v>78.682945759822303</v>
      </c>
      <c r="H282" s="2860" t="str">
        <f t="shared" ref="H282" si="5">H307</f>
        <v>NA</v>
      </c>
      <c r="I282" s="2861" t="str">
        <f t="shared" ref="I282:J282" si="6">I307</f>
        <v>NA</v>
      </c>
      <c r="J282" s="3662">
        <f t="shared" si="6"/>
        <v>13.100522103897625</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51.827582333523388</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501.50479136633567</v>
      </c>
      <c r="E302" s="2770" t="s">
        <v>205</v>
      </c>
      <c r="F302" s="2768" t="s">
        <v>205</v>
      </c>
      <c r="G302" s="3653">
        <f>IF(SUM(D302)=0,"NA",J302*1000/D302)</f>
        <v>103.3441419219956</v>
      </c>
      <c r="H302" s="2793" t="s">
        <v>221</v>
      </c>
      <c r="I302" s="2792" t="s">
        <v>221</v>
      </c>
      <c r="J302" s="3652">
        <f t="shared" ref="J302" si="7">IF(SUM(J306:J307)=0,"NO",SUM(J306:J307))</f>
        <v>51.827582333523388</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335.00718534270459</v>
      </c>
      <c r="E306" s="2770" t="s">
        <v>205</v>
      </c>
      <c r="F306" s="2768" t="s">
        <v>205</v>
      </c>
      <c r="G306" s="3653">
        <f>IF(SUM(D306)=0,"NA",J306*1000/D306)</f>
        <v>115.60068537040146</v>
      </c>
      <c r="H306" s="2795" t="s">
        <v>205</v>
      </c>
      <c r="I306" s="2773" t="s">
        <v>205</v>
      </c>
      <c r="J306" s="3662">
        <v>38.727060229625764</v>
      </c>
    </row>
    <row r="307" spans="2:10" ht="18" customHeight="1" outlineLevel="2" x14ac:dyDescent="0.2">
      <c r="B307" s="2862" t="s">
        <v>1554</v>
      </c>
      <c r="C307" s="2850" t="s">
        <v>1554</v>
      </c>
      <c r="D307" s="3650">
        <v>166.49760602363105</v>
      </c>
      <c r="E307" s="2770" t="s">
        <v>205</v>
      </c>
      <c r="F307" s="2768" t="s">
        <v>205</v>
      </c>
      <c r="G307" s="3653">
        <f>IF(SUM(D307)=0,"NA",J307*1000/D307)</f>
        <v>78.682945759822303</v>
      </c>
      <c r="H307" s="2795" t="s">
        <v>205</v>
      </c>
      <c r="I307" s="2773" t="s">
        <v>205</v>
      </c>
      <c r="J307" s="3662">
        <v>13.100522103897625</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0.53185593487798388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2.4648926827060933</v>
      </c>
      <c r="E327" s="2791" t="str">
        <f t="shared" ref="E327:J327" si="8">E331</f>
        <v>NA</v>
      </c>
      <c r="F327" s="2792" t="str">
        <f t="shared" si="8"/>
        <v>NA</v>
      </c>
      <c r="G327" s="3655">
        <f t="shared" si="8"/>
        <v>215.77245070729953</v>
      </c>
      <c r="H327" s="2793" t="str">
        <f t="shared" si="8"/>
        <v>IE</v>
      </c>
      <c r="I327" s="2792" t="str">
        <f t="shared" si="8"/>
        <v>NA</v>
      </c>
      <c r="J327" s="3652">
        <f t="shared" si="8"/>
        <v>0.53185593487798388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2.4648926827060933</v>
      </c>
      <c r="E331" s="2770" t="str">
        <f t="shared" si="9"/>
        <v>NA</v>
      </c>
      <c r="F331" s="2768" t="str">
        <f t="shared" si="9"/>
        <v>NA</v>
      </c>
      <c r="G331" s="3653">
        <f t="shared" si="9"/>
        <v>215.77245070729953</v>
      </c>
      <c r="H331" s="2780" t="str">
        <f t="shared" si="9"/>
        <v>IE</v>
      </c>
      <c r="I331" s="2773" t="str">
        <f t="shared" si="9"/>
        <v>NA</v>
      </c>
      <c r="J331" s="3662">
        <f t="shared" si="9"/>
        <v>0.53185593487798388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0.53185593487798388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2.4648926827060933</v>
      </c>
      <c r="E411" s="2791" t="str">
        <f t="shared" ref="E411:J411" si="10">E415</f>
        <v>NA</v>
      </c>
      <c r="F411" s="2792" t="str">
        <f t="shared" si="10"/>
        <v>NA</v>
      </c>
      <c r="G411" s="3655">
        <f t="shared" si="10"/>
        <v>215.77245070729953</v>
      </c>
      <c r="H411" s="2793" t="str">
        <f t="shared" si="10"/>
        <v>IE</v>
      </c>
      <c r="I411" s="2792" t="str">
        <f t="shared" si="10"/>
        <v>NA</v>
      </c>
      <c r="J411" s="3652">
        <f t="shared" si="10"/>
        <v>0.53185593487798388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2.4648926827060933</v>
      </c>
      <c r="E415" s="2770" t="str">
        <f>E427</f>
        <v>NA</v>
      </c>
      <c r="F415" s="2768" t="str">
        <f>F427</f>
        <v>NA</v>
      </c>
      <c r="G415" s="3653">
        <f t="shared" ref="G415:J415" si="11">G427</f>
        <v>215.77245070729953</v>
      </c>
      <c r="H415" s="2795" t="str">
        <f t="shared" si="11"/>
        <v>IE</v>
      </c>
      <c r="I415" s="2773" t="str">
        <f t="shared" si="11"/>
        <v>NA</v>
      </c>
      <c r="J415" s="3662">
        <f t="shared" si="11"/>
        <v>0.53185593487798388</v>
      </c>
    </row>
    <row r="416" spans="2:10" ht="18" customHeight="1" outlineLevel="2" x14ac:dyDescent="0.2">
      <c r="B416" s="2857" t="s">
        <v>1564</v>
      </c>
      <c r="C416" s="2843"/>
      <c r="D416" s="3649"/>
      <c r="E416" s="2824"/>
      <c r="F416" s="2825"/>
      <c r="G416" s="3656"/>
      <c r="H416" s="2834" t="s">
        <v>221</v>
      </c>
      <c r="I416" s="2830" t="s">
        <v>221</v>
      </c>
      <c r="J416" s="3659">
        <f>J423</f>
        <v>0.53185593487798388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2.4648926827060933</v>
      </c>
      <c r="E423" s="2791" t="str">
        <f t="shared" ref="E423:J423" si="12">E427</f>
        <v>NA</v>
      </c>
      <c r="F423" s="2792" t="str">
        <f t="shared" si="12"/>
        <v>NA</v>
      </c>
      <c r="G423" s="3655">
        <f t="shared" si="12"/>
        <v>215.77245070729953</v>
      </c>
      <c r="H423" s="2793" t="str">
        <f t="shared" si="12"/>
        <v>IE</v>
      </c>
      <c r="I423" s="2792" t="str">
        <f t="shared" si="12"/>
        <v>NA</v>
      </c>
      <c r="J423" s="3652">
        <f t="shared" si="12"/>
        <v>0.53185593487798388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2.4648926827060933</v>
      </c>
      <c r="E427" s="2770" t="s">
        <v>205</v>
      </c>
      <c r="F427" s="2768" t="s">
        <v>205</v>
      </c>
      <c r="G427" s="3653">
        <f>IF(SUM(D427)=0,"NA",J427*1000/D427)</f>
        <v>215.77245070729953</v>
      </c>
      <c r="H427" s="4306" t="s">
        <v>274</v>
      </c>
      <c r="I427" s="2773" t="s">
        <v>205</v>
      </c>
      <c r="J427" s="3662">
        <v>0.53185593487798388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1" t="s">
        <v>1592</v>
      </c>
      <c r="C736" s="4502"/>
      <c r="D736" s="4502"/>
      <c r="E736" s="4502"/>
      <c r="F736" s="4502"/>
      <c r="G736" s="4502"/>
      <c r="H736" s="4502"/>
      <c r="I736" s="4502"/>
      <c r="J736" s="4503"/>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657183.58282228152</v>
      </c>
      <c r="D10" s="3577">
        <f>IF(SUM(D11,D20,D28,D37,D46,D55)=0,"NO",SUM(D11,D20,D28,D37,D46,D55))</f>
        <v>40571.567623474089</v>
      </c>
      <c r="E10" s="3592">
        <f t="shared" ref="E10:E12" si="0">IF(SUM(C10)=0,"NA",G10/C10*1000/(44/28))</f>
        <v>1.3661976698003248E-3</v>
      </c>
      <c r="F10" s="3593">
        <f t="shared" ref="F10:F11" si="1">IF(SUM(D10)=0,"NA",H10/D10*1000/(44/28))</f>
        <v>7.5000000000000006E-3</v>
      </c>
      <c r="G10" s="4464">
        <f>IF(SUM(G11,G20,G28,G37,G46,G55)=0,"NO",SUM(G11,G20,G28,G37,G46,G55))</f>
        <v>1.4108956391873038</v>
      </c>
      <c r="H10" s="4465">
        <f>IF(SUM(H11,H20,H28,H37,H46,H55)=0,"NO",SUM(H11,H20,H28,H37,H46,H55))</f>
        <v>0.4781649041338018</v>
      </c>
      <c r="I10" s="4466">
        <f t="shared" ref="I10:I11" si="2">IF(SUM(G10:H10)=0,"NO",SUM(G10:H10))</f>
        <v>1.8890605433211056</v>
      </c>
    </row>
    <row r="11" spans="2:10" ht="18" customHeight="1" x14ac:dyDescent="0.2">
      <c r="B11" s="2863" t="s">
        <v>1605</v>
      </c>
      <c r="C11" s="3578">
        <f>IF(SUM(C12:C13)=0,"NO",SUM(C12:C13))</f>
        <v>137254.81445581187</v>
      </c>
      <c r="D11" s="3579">
        <f>IF(SUM(D12:D13)=0,"NO",SUM(D12:D13))</f>
        <v>30421.026847174595</v>
      </c>
      <c r="E11" s="3594">
        <f t="shared" si="0"/>
        <v>3.7458572021617669E-3</v>
      </c>
      <c r="F11" s="3595">
        <f t="shared" si="1"/>
        <v>7.4999999999999997E-3</v>
      </c>
      <c r="G11" s="4467">
        <f>IF(SUM(G12:G13)=0,"NO",SUM(G12:G13))</f>
        <v>0.80792946969535406</v>
      </c>
      <c r="H11" s="4468">
        <f>IF(SUM(H12:H13)=0,"NO",SUM(H12:H13))</f>
        <v>0.35853353069884342</v>
      </c>
      <c r="I11" s="4469">
        <f t="shared" si="2"/>
        <v>1.1664630003941974</v>
      </c>
    </row>
    <row r="12" spans="2:10" ht="18" customHeight="1" x14ac:dyDescent="0.2">
      <c r="B12" s="917" t="s">
        <v>1606</v>
      </c>
      <c r="C12" s="3580">
        <f>Table4.A!E11</f>
        <v>122573.260417257</v>
      </c>
      <c r="D12" s="3581">
        <f>H12/F12*1000/(44/28)</f>
        <v>6286.5003438963822</v>
      </c>
      <c r="E12" s="3596">
        <f t="shared" si="0"/>
        <v>7.3961127790792859E-4</v>
      </c>
      <c r="F12" s="3597">
        <v>7.4999999999999997E-3</v>
      </c>
      <c r="G12" s="4470">
        <v>0.14246031764571951</v>
      </c>
      <c r="H12" s="4471">
        <v>7.4090896910207343E-2</v>
      </c>
      <c r="I12" s="4472">
        <f>IF(SUM(G12:H12)=0,"NO",SUM(G12:H12))</f>
        <v>0.21655121455592685</v>
      </c>
    </row>
    <row r="13" spans="2:10" ht="18" customHeight="1" x14ac:dyDescent="0.2">
      <c r="B13" s="917" t="s">
        <v>1607</v>
      </c>
      <c r="C13" s="3582">
        <f>IF(SUM(C15:C19)=0,"NO",SUM(C15:C19))</f>
        <v>14681.554038554867</v>
      </c>
      <c r="D13" s="3583">
        <f>IF(SUM(D15:D19)=0,"NO",SUM(D15:D19))</f>
        <v>24134.526503278212</v>
      </c>
      <c r="E13" s="3599">
        <f>IF(SUM(C13)=0,"NA",G13/C13*1000/(44/28))</f>
        <v>2.8844383120072967E-2</v>
      </c>
      <c r="F13" s="3598">
        <f>IF(SUM(D13)=0,"NA",H13/D13*1000/(44/28))</f>
        <v>7.4999999999999997E-3</v>
      </c>
      <c r="G13" s="4473">
        <f>IF(SUM(G15:G19)=0,"NO",SUM(G15:G19))</f>
        <v>0.66546915204963453</v>
      </c>
      <c r="H13" s="4474">
        <f>IF(SUM(H15:H19)=0,"NO",SUM(H15:H19))</f>
        <v>0.28444263378863605</v>
      </c>
      <c r="I13" s="4472">
        <f>IF(SUM(G13:H13)=0,"NO",SUM(G13:H13))</f>
        <v>0.94991178583827063</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106.89910447708418</v>
      </c>
      <c r="D15" s="3581">
        <f>H15/F15*1000/(44/28)</f>
        <v>153.64586712005956</v>
      </c>
      <c r="E15" s="3599">
        <f>IF(SUM(C15)=0,"NA",G15/C15*1000/(44/28))</f>
        <v>2.9613488988955564E-2</v>
      </c>
      <c r="F15" s="3597">
        <v>7.4999999999999997E-3</v>
      </c>
      <c r="G15" s="4477">
        <v>4.974601426710681E-3</v>
      </c>
      <c r="H15" s="4478">
        <v>1.8108262910578447E-3</v>
      </c>
      <c r="I15" s="4472">
        <f>IF(SUM(G15:H15)=0,"NO",SUM(G15:H15))</f>
        <v>6.7854277177685253E-3</v>
      </c>
    </row>
    <row r="16" spans="2:10" ht="18" customHeight="1" x14ac:dyDescent="0.2">
      <c r="B16" s="518" t="s">
        <v>1609</v>
      </c>
      <c r="C16" s="3584">
        <f>Table4.A!E19</f>
        <v>14493.947984442548</v>
      </c>
      <c r="D16" s="3581">
        <f>H16/F16*1000/(44/28)</f>
        <v>23761.423395028796</v>
      </c>
      <c r="E16" s="3599">
        <f t="shared" ref="E16:E21" si="3">IF(SUM(C16)=0,"NA",G16/C16*1000/(44/28))</f>
        <v>2.8663107730010299E-2</v>
      </c>
      <c r="F16" s="3597">
        <v>7.4999999999999997E-3</v>
      </c>
      <c r="G16" s="4477">
        <v>0.65283678823195235</v>
      </c>
      <c r="H16" s="4478">
        <v>0.28004534715569651</v>
      </c>
      <c r="I16" s="4472">
        <f t="shared" ref="I16:I21" si="4">IF(SUM(G16:H16)=0,"NO",SUM(G16:H16))</f>
        <v>0.93288213538764886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80.706949635234565</v>
      </c>
      <c r="D18" s="3581">
        <f>H18/F18*1000/(44/28)</f>
        <v>219.45724112935505</v>
      </c>
      <c r="E18" s="3599">
        <f t="shared" si="3"/>
        <v>6.038044485080931E-2</v>
      </c>
      <c r="F18" s="3597">
        <v>7.4999999999999997E-3</v>
      </c>
      <c r="G18" s="4477">
        <v>7.6577623909715106E-3</v>
      </c>
      <c r="H18" s="4478">
        <v>2.5864603418816845E-3</v>
      </c>
      <c r="I18" s="4472">
        <f t="shared" si="4"/>
        <v>1.0244222732853196E-2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2267.9039469296158</v>
      </c>
      <c r="D20" s="3589">
        <f>D21</f>
        <v>1910.9488288680825</v>
      </c>
      <c r="E20" s="3602">
        <f t="shared" si="3"/>
        <v>1.9701654852736422E-2</v>
      </c>
      <c r="F20" s="3603">
        <f t="shared" si="5"/>
        <v>7.4999999999999997E-3</v>
      </c>
      <c r="G20" s="4482">
        <f>G21</f>
        <v>7.0213724116746493E-2</v>
      </c>
      <c r="H20" s="4483">
        <f>H21</f>
        <v>2.2521896911659543E-2</v>
      </c>
      <c r="I20" s="4484">
        <f t="shared" si="4"/>
        <v>9.2735621028406032E-2</v>
      </c>
    </row>
    <row r="21" spans="2:9" ht="18" customHeight="1" x14ac:dyDescent="0.2">
      <c r="B21" s="917" t="s">
        <v>1614</v>
      </c>
      <c r="C21" s="3582">
        <f>IF(SUM(C23:C27)=0,"NO",SUM(C23:C27))</f>
        <v>2267.9039469296158</v>
      </c>
      <c r="D21" s="3583">
        <f>IF(SUM(D23:D27)=0,"NO",SUM(D23:D27))</f>
        <v>1910.9488288680825</v>
      </c>
      <c r="E21" s="3599">
        <f t="shared" si="3"/>
        <v>1.9701654852736422E-2</v>
      </c>
      <c r="F21" s="3598">
        <f t="shared" si="5"/>
        <v>7.4999999999999997E-3</v>
      </c>
      <c r="G21" s="4473">
        <f>IF(SUM(G23:G27)=0,"NO",SUM(G23:G27))</f>
        <v>7.0213724116746493E-2</v>
      </c>
      <c r="H21" s="4474">
        <f>IF(SUM(H23:H27)=0,"NO",SUM(H23:H27))</f>
        <v>2.2521896911659543E-2</v>
      </c>
      <c r="I21" s="4472">
        <f t="shared" si="4"/>
        <v>9.2735621028406032E-2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2267.9039469296158</v>
      </c>
      <c r="D23" s="3581">
        <f>H23/F23*1000/(44/28)</f>
        <v>1910.9488288680825</v>
      </c>
      <c r="E23" s="3599">
        <f>IF(SUM(C23)=0,"NA",G23/C23*1000/(44/28))</f>
        <v>1.9701654852736422E-2</v>
      </c>
      <c r="F23" s="3597">
        <v>7.4999999999999997E-3</v>
      </c>
      <c r="G23" s="4477">
        <v>7.0213724116746493E-2</v>
      </c>
      <c r="H23" s="4478">
        <v>2.2521896911659543E-2</v>
      </c>
      <c r="I23" s="4472">
        <f>IF(SUM(G23:H23)=0,"NO",SUM(G23:H23))</f>
        <v>9.2735621028406032E-2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516106.22640247963</v>
      </c>
      <c r="D28" s="3579">
        <f>IF(SUM(D29:D30)=0,"NO",SUM(D29:D30))</f>
        <v>7745.5164155510938</v>
      </c>
      <c r="E28" s="3594">
        <f t="shared" si="6"/>
        <v>6.3361633883478297E-4</v>
      </c>
      <c r="F28" s="3595">
        <f t="shared" si="7"/>
        <v>7.4999999999999997E-3</v>
      </c>
      <c r="G28" s="4467">
        <f>IF(SUM(G29:G30)=0,"NO",SUM(G29:G30))</f>
        <v>0.51387810197896022</v>
      </c>
      <c r="H28" s="4468">
        <f>IF(SUM(H29:H30)=0,"NO",SUM(H29:H30))</f>
        <v>9.1286443468995032E-2</v>
      </c>
      <c r="I28" s="4484">
        <f t="shared" si="8"/>
        <v>0.60516454544795528</v>
      </c>
    </row>
    <row r="29" spans="2:9" ht="18" customHeight="1" x14ac:dyDescent="0.2">
      <c r="B29" s="917" t="s">
        <v>1621</v>
      </c>
      <c r="C29" s="3580">
        <f>Table4.C!E11</f>
        <v>502513.81844221998</v>
      </c>
      <c r="D29" s="3581">
        <f>H29/F29*1000/(44/28)</f>
        <v>2642.7443938728688</v>
      </c>
      <c r="E29" s="3596">
        <f t="shared" si="6"/>
        <v>1.8907786129760749E-4</v>
      </c>
      <c r="F29" s="3597">
        <v>7.4999999999999997E-3</v>
      </c>
      <c r="G29" s="4470">
        <v>0.1493080883855773</v>
      </c>
      <c r="H29" s="4471">
        <v>3.1146630356358812E-2</v>
      </c>
      <c r="I29" s="4472">
        <f t="shared" si="8"/>
        <v>0.18045471874193611</v>
      </c>
    </row>
    <row r="30" spans="2:9" ht="18" customHeight="1" x14ac:dyDescent="0.2">
      <c r="B30" s="917" t="s">
        <v>1622</v>
      </c>
      <c r="C30" s="3582">
        <f>IF(SUM(C32:C36)=0,"NO",SUM(C32:C36))</f>
        <v>13592.407960259667</v>
      </c>
      <c r="D30" s="3583">
        <f>IF(SUM(D32:D36)=0,"NO",SUM(D32:D36))</f>
        <v>5102.7720216782254</v>
      </c>
      <c r="E30" s="3599">
        <f>IF(SUM(C30)=0,"NA",G30/C30*1000/(44/28))</f>
        <v>1.7068285489791425E-2</v>
      </c>
      <c r="F30" s="3598">
        <f>IF(SUM(D30)=0,"NA",H30/D30*1000/(44/28))</f>
        <v>7.4999999999999997E-3</v>
      </c>
      <c r="G30" s="4473">
        <f>IF(SUM(G32:G36)=0,"NO",SUM(G32:G36))</f>
        <v>0.36457001359338298</v>
      </c>
      <c r="H30" s="4474">
        <f>IF(SUM(H32:H36)=0,"NO",SUM(H32:H36))</f>
        <v>6.013981311263622E-2</v>
      </c>
      <c r="I30" s="4472">
        <f t="shared" si="8"/>
        <v>0.4247098267060192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13592.407960259667</v>
      </c>
      <c r="D32" s="3581">
        <f>H32/F32*1000/(44/28)</f>
        <v>5102.7720216782254</v>
      </c>
      <c r="E32" s="3599">
        <f>IF(SUM(C32)=0,"NA",G32/C32*1000/(44/28))</f>
        <v>1.7068285489791425E-2</v>
      </c>
      <c r="F32" s="3597">
        <v>7.4999999999999997E-3</v>
      </c>
      <c r="G32" s="4477">
        <v>0.36457001359338298</v>
      </c>
      <c r="H32" s="4478">
        <v>6.013981311263622E-2</v>
      </c>
      <c r="I32" s="4472">
        <f t="shared" si="8"/>
        <v>0.4247098267060192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1554.6380170603306</v>
      </c>
      <c r="D46" s="3579">
        <f>IF(SUM(D47:D48)=0,"NO",SUM(D47:D48))</f>
        <v>494.07553188032188</v>
      </c>
      <c r="E46" s="3594">
        <f t="shared" si="11"/>
        <v>7.7258793788670937E-3</v>
      </c>
      <c r="F46" s="3595">
        <f t="shared" si="12"/>
        <v>7.5000000000000006E-3</v>
      </c>
      <c r="G46" s="4467">
        <f>IF(SUM(G47:G48)=0,"NO",SUM(G47:G48))</f>
        <v>1.8874343396243089E-2</v>
      </c>
      <c r="H46" s="4468">
        <f>IF(SUM(H47:H48)=0,"NO",SUM(H47:H48))</f>
        <v>5.8230330543037941E-3</v>
      </c>
      <c r="I46" s="4469">
        <f t="shared" si="8"/>
        <v>2.4697376450546885E-2</v>
      </c>
    </row>
    <row r="47" spans="2:9" ht="18" customHeight="1" x14ac:dyDescent="0.2">
      <c r="B47" s="917" t="s">
        <v>1637</v>
      </c>
      <c r="C47" s="3580">
        <f>Table4.E!E11</f>
        <v>1140.8084500770001</v>
      </c>
      <c r="D47" s="3581">
        <f>H47/F47*1000/(44/28)</f>
        <v>4.4427861887981797</v>
      </c>
      <c r="E47" s="3596">
        <f t="shared" si="11"/>
        <v>6.4367993135424189E-5</v>
      </c>
      <c r="F47" s="3597">
        <v>7.4999999999999997E-3</v>
      </c>
      <c r="G47" s="4470">
        <v>1.1539243647389897E-4</v>
      </c>
      <c r="H47" s="4471">
        <v>5.236140865369283E-5</v>
      </c>
      <c r="I47" s="4472">
        <f t="shared" si="8"/>
        <v>1.677538451275918E-4</v>
      </c>
    </row>
    <row r="48" spans="2:9" ht="18" customHeight="1" x14ac:dyDescent="0.2">
      <c r="B48" s="917" t="s">
        <v>1638</v>
      </c>
      <c r="C48" s="3582">
        <f>IF(SUM(C50:C54)=0,"NO",SUM(C50:C54))</f>
        <v>413.82956698333061</v>
      </c>
      <c r="D48" s="3583">
        <f>IF(SUM(D50:D54)=0,"NO",SUM(D50:D54))</f>
        <v>489.63274569152372</v>
      </c>
      <c r="E48" s="3599">
        <f>IF(SUM(C48)=0,"NA",G48/C48*1000/(44/28))</f>
        <v>2.8846450808592661E-2</v>
      </c>
      <c r="F48" s="3598">
        <f>IF(SUM(D48)=0,"NA",H48/D48*1000/(44/28))</f>
        <v>7.4999999999999997E-3</v>
      </c>
      <c r="G48" s="4473">
        <f>IF(SUM(G50:G54)=0,"NO",SUM(G50:G54))</f>
        <v>1.8758950959769191E-2</v>
      </c>
      <c r="H48" s="4474">
        <f>IF(SUM(H50:H54)=0,"NO",SUM(H50:H54))</f>
        <v>5.7706716456501009E-3</v>
      </c>
      <c r="I48" s="4472">
        <f t="shared" si="8"/>
        <v>2.4529622605419292E-2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413.82956698333061</v>
      </c>
      <c r="D50" s="3581">
        <f>H50/F50*1000/(44/28)</f>
        <v>489.63274569152372</v>
      </c>
      <c r="E50" s="3599">
        <f>IF(SUM(C50)=0,"NA",G50/C50*1000/(44/28))</f>
        <v>2.8846450808592661E-2</v>
      </c>
      <c r="F50" s="3597">
        <v>7.4999999999999997E-3</v>
      </c>
      <c r="G50" s="4477">
        <v>1.8758950959769191E-2</v>
      </c>
      <c r="H50" s="4478">
        <v>5.7706716456501009E-3</v>
      </c>
      <c r="I50" s="4472">
        <f t="shared" si="8"/>
        <v>2.4529622605419292E-2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2"/>
      <c r="C83" s="4493"/>
      <c r="D83" s="4493"/>
      <c r="E83" s="4493"/>
      <c r="F83" s="4493"/>
      <c r="G83" s="4493"/>
      <c r="H83" s="4493"/>
      <c r="I83" s="4494"/>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5323446.2505147653</v>
      </c>
      <c r="D10" s="3055" t="s">
        <v>97</v>
      </c>
      <c r="E10" s="615"/>
      <c r="F10" s="615"/>
      <c r="G10" s="615"/>
      <c r="H10" s="1938">
        <f>IF(SUM(H11:H15)=0,"NO",SUM(H11:H15))</f>
        <v>360287.65911070601</v>
      </c>
      <c r="I10" s="1938">
        <f t="shared" ref="I10:K10" si="0">IF(SUM(I11:I16)=0,"NO",SUM(I11:I16))</f>
        <v>75.55092273703238</v>
      </c>
      <c r="J10" s="1938">
        <f t="shared" si="0"/>
        <v>9.4224966384334419</v>
      </c>
      <c r="K10" s="3064" t="str">
        <f t="shared" si="0"/>
        <v>NO</v>
      </c>
    </row>
    <row r="11" spans="2:11" ht="18" customHeight="1" x14ac:dyDescent="0.2">
      <c r="B11" s="282" t="s">
        <v>243</v>
      </c>
      <c r="C11" s="3065">
        <f>IF(SUM(C18,'Table1.A(a)s2'!C11,'Table1.A(a)s3'!C11,'Table1.A(a)s4'!C11,'Table1.A(a)s4'!C94)=0,"NO",SUM(C18,'Table1.A(a)s2'!C11,'Table1.A(a)s3'!C11,'Table1.A(a)s4'!C11,'Table1.A(a)s4'!C94))</f>
        <v>1934287.092413404</v>
      </c>
      <c r="D11" s="3056" t="s">
        <v>244</v>
      </c>
      <c r="E11" s="1938">
        <f>IFERROR(H11*1000/$C11,"NA")</f>
        <v>68.696921618734507</v>
      </c>
      <c r="F11" s="1938">
        <f t="shared" ref="F11:G16" si="1">IFERROR(I11*1000000/$C11,"NA")</f>
        <v>7.3051061001887545</v>
      </c>
      <c r="G11" s="1938">
        <f t="shared" si="1"/>
        <v>2.9166199572283915</v>
      </c>
      <c r="H11" s="1938">
        <f>IF(SUM(H18,'Table1.A(a)s2'!H11,'Table1.A(a)s3'!H11,'Table1.A(a)s4'!H11,'Table1.A(a)s4'!H94)=0,"NO",SUM(H18,'Table1.A(a)s2'!H11,'Table1.A(a)s3'!H11,'Table1.A(a)s4'!H11,'Table1.A(a)s4'!H94))</f>
        <v>132879.56877565349</v>
      </c>
      <c r="I11" s="1938">
        <f>IF(SUM(I18,'Table1.A(a)s2'!I11,'Table1.A(a)s3'!I11,'Table1.A(a)s4'!I11,'Table1.A(a)s4'!I94)=0,"NO",SUM(I18,'Table1.A(a)s2'!I11,'Table1.A(a)s3'!I11,'Table1.A(a)s4'!I11,'Table1.A(a)s4'!I94))</f>
        <v>14.130172438305527</v>
      </c>
      <c r="J11" s="1938">
        <f>IF(SUM(J18,'Table1.A(a)s2'!J11,'Table1.A(a)s3'!J11,'Table1.A(a)s4'!J11,'Table1.A(a)s4'!J94)=0,"NO",SUM(J18,'Table1.A(a)s2'!J11,'Table1.A(a)s3'!J11,'Table1.A(a)s4'!J11,'Table1.A(a)s4'!J94))</f>
        <v>5.6415803367422122</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1640354.7377429924</v>
      </c>
      <c r="D12" s="3056" t="s">
        <v>97</v>
      </c>
      <c r="E12" s="1938">
        <f t="shared" ref="E12:E16" si="2">IFERROR(H12*1000/$C12,"NA")</f>
        <v>90.242365013609017</v>
      </c>
      <c r="F12" s="1938">
        <f t="shared" si="1"/>
        <v>0.69871441646453447</v>
      </c>
      <c r="G12" s="1938">
        <f t="shared" si="1"/>
        <v>0.89713815057153579</v>
      </c>
      <c r="H12" s="1938">
        <f>IF(SUM(H19,'Table1.A(a)s2'!H12,'Table1.A(a)s3'!H12,'Table1.A(a)s4'!H12,'Table1.A(a)s4'!H95)=0,"NO",SUM(H19,'Table1.A(a)s2'!H12,'Table1.A(a)s3'!H12,'Table1.A(a)s4'!H12,'Table1.A(a)s4'!H95))</f>
        <v>148029.490995206</v>
      </c>
      <c r="I12" s="1938">
        <f>IF(SUM(I19,'Table1.A(a)s2'!I12,'Table1.A(a)s3'!I12,'Table1.A(a)s4'!I12,'Table1.A(a)s4'!I95)=0,"NO",SUM(I19,'Table1.A(a)s2'!I12,'Table1.A(a)s3'!I12,'Table1.A(a)s4'!I12,'Table1.A(a)s4'!I95))</f>
        <v>1.1461395033769293</v>
      </c>
      <c r="J12" s="1938">
        <f>IF(SUM(J19,'Table1.A(a)s2'!J12,'Table1.A(a)s3'!J12,'Table1.A(a)s4'!J12,'Table1.A(a)s4'!J95)=0,"NO",SUM(J19,'Table1.A(a)s2'!J12,'Table1.A(a)s3'!J12,'Table1.A(a)s4'!J12,'Table1.A(a)s4'!J95))</f>
        <v>1.4716248157000049</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1547937.2821655329</v>
      </c>
      <c r="D13" s="3056" t="s">
        <v>244</v>
      </c>
      <c r="E13" s="1938">
        <f t="shared" si="2"/>
        <v>51.198876908964642</v>
      </c>
      <c r="F13" s="1938">
        <f t="shared" si="1"/>
        <v>14.000412373275667</v>
      </c>
      <c r="G13" s="1938">
        <f t="shared" si="1"/>
        <v>0.90543072453999107</v>
      </c>
      <c r="H13" s="1938">
        <f>IF(SUM(H20,'Table1.A(a)s2'!H13,'Table1.A(a)s3'!H13,'Table1.A(a)s4'!H13,'Table1.A(a)s4'!H96)=0,"NO",SUM(H20,'Table1.A(a)s2'!H13,'Table1.A(a)s3'!H13,'Table1.A(a)s4'!H13,'Table1.A(a)s4'!H96))</f>
        <v>79252.650372390388</v>
      </c>
      <c r="I13" s="1938">
        <f>IF(SUM(I20,'Table1.A(a)s2'!I13,'Table1.A(a)s3'!I13,'Table1.A(a)s4'!I13,'Table1.A(a)s4'!I96)=0,"NO",SUM(I20,'Table1.A(a)s2'!I13,'Table1.A(a)s3'!I13,'Table1.A(a)s4'!I13,'Table1.A(a)s4'!I96))</f>
        <v>21.671760278285035</v>
      </c>
      <c r="J13" s="1938">
        <f>IF(SUM(J20,'Table1.A(a)s2'!J13,'Table1.A(a)s3'!J13,'Table1.A(a)s4'!J13,'Table1.A(a)s4'!J96)=0,"NO",SUM(J20,'Table1.A(a)s2'!J13,'Table1.A(a)s3'!J13,'Table1.A(a)s4'!J13,'Table1.A(a)s4'!J96))</f>
        <v>1.4015499749336031</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2684.7728858089026</v>
      </c>
      <c r="D14" s="3056" t="s">
        <v>244</v>
      </c>
      <c r="E14" s="1938">
        <f t="shared" si="2"/>
        <v>46.912335908124199</v>
      </c>
      <c r="F14" s="1938">
        <f t="shared" si="1"/>
        <v>1.0228065866567211</v>
      </c>
      <c r="G14" s="1938">
        <f t="shared" si="1"/>
        <v>0.42241640727440705</v>
      </c>
      <c r="H14" s="1938">
        <f>IF(SUM(H21,'Table1.A(a)s2'!H14,'Table1.A(a)s3'!H14,'Table1.A(a)s4'!H14,'Table1.A(a)s4'!H97)=0,"NO",SUM(H21,'Table1.A(a)s2'!H14,'Table1.A(a)s3'!H14,'Table1.A(a)s4'!H14,'Table1.A(a)s4'!H97))</f>
        <v>125.94896745609121</v>
      </c>
      <c r="I14" s="1938">
        <f>IF(SUM(I21,'Table1.A(a)s2'!I14,'Table1.A(a)s3'!I14,'Table1.A(a)s4'!I14,'Table1.A(a)s4'!I97)=0,"NO",SUM(I21,'Table1.A(a)s2'!I14,'Table1.A(a)s3'!I14,'Table1.A(a)s4'!I14,'Table1.A(a)s4'!I97))</f>
        <v>2.7460033912827184E-3</v>
      </c>
      <c r="J14" s="1938">
        <f>IF(SUM(J21,'Table1.A(a)s2'!J14,'Table1.A(a)s3'!J14,'Table1.A(a)s4'!J14,'Table1.A(a)s4'!J97)=0,"NO",SUM(J21,'Table1.A(a)s2'!J14,'Table1.A(a)s3'!J14,'Table1.A(a)s4'!J14,'Table1.A(a)s4'!J97))</f>
        <v>1.1340921167711385E-3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198182.36530702715</v>
      </c>
      <c r="D16" s="3058" t="s">
        <v>244</v>
      </c>
      <c r="E16" s="2891">
        <f t="shared" si="2"/>
        <v>82.1388541083939</v>
      </c>
      <c r="F16" s="1938">
        <f t="shared" si="1"/>
        <v>194.77063185654151</v>
      </c>
      <c r="G16" s="1938">
        <f t="shared" si="1"/>
        <v>4.574611961747058</v>
      </c>
      <c r="H16" s="2891">
        <f>IF(SUM(H23,'Table1.A(a)s2'!H16,'Table1.A(a)s3'!H15,'Table1.A(a)s4'!H16,'Table1.A(a)s4'!H99)=0,"NO",SUM(H23,'Table1.A(a)s2'!H16,'Table1.A(a)s3'!H15,'Table1.A(a)s4'!H16,'Table1.A(a)s4'!H99))</f>
        <v>16278.472390810328</v>
      </c>
      <c r="I16" s="2891">
        <f>IF(SUM(I23,'Table1.A(a)s2'!I16,'Table1.A(a)s3'!I15,'Table1.A(a)s4'!I16,'Table1.A(a)s4'!I99)=0,"NO",SUM(I23,'Table1.A(a)s2'!I16,'Table1.A(a)s3'!I15,'Table1.A(a)s4'!I16,'Table1.A(a)s4'!I99))</f>
        <v>38.600104513673614</v>
      </c>
      <c r="J16" s="2891">
        <f>IF(SUM(J23,'Table1.A(a)s2'!J16,'Table1.A(a)s3'!J15,'Table1.A(a)s4'!J16,'Table1.A(a)s4'!J99)=0,"NO",SUM(J23,'Table1.A(a)s2'!J16,'Table1.A(a)s3'!J15,'Table1.A(a)s4'!J16,'Table1.A(a)s4'!J99))</f>
        <v>0.90660741894085162</v>
      </c>
      <c r="K16" s="3045" t="str">
        <f>IF(SUM(K23,'Table1.A(a)s2'!K16,'Table1.A(a)s3'!K15,'Table1.A(a)s4'!K16,'Table1.A(a)s4'!K99)=0,"NO",SUM(K23,'Table1.A(a)s2'!K16,'Table1.A(a)s3'!K15,'Table1.A(a)s4'!K16,'Table1.A(a)s4'!K99))</f>
        <v>NO</v>
      </c>
    </row>
    <row r="17" spans="2:12" ht="18" customHeight="1" x14ac:dyDescent="0.2">
      <c r="B17" s="2209" t="s">
        <v>175</v>
      </c>
      <c r="C17" s="3046">
        <f>IF(SUM(C18:C23)=0,"NO",SUM(C18:C23))</f>
        <v>2814471.4962389125</v>
      </c>
      <c r="D17" s="3059" t="s">
        <v>97</v>
      </c>
      <c r="E17" s="3060"/>
      <c r="F17" s="3060"/>
      <c r="G17" s="3060"/>
      <c r="H17" s="3046">
        <f>IF(SUM(H18:H22)=0,"NO",SUM(H18:H22))</f>
        <v>206098.02671549973</v>
      </c>
      <c r="I17" s="3046">
        <f t="shared" ref="I17" si="3">IF(SUM(I18:I23)=0,"NO",SUM(I18:I23))</f>
        <v>26.302414494130744</v>
      </c>
      <c r="J17" s="3046">
        <f t="shared" ref="J17" si="4">IF(SUM(J18:J23)=0,"NO",SUM(J18:J23))</f>
        <v>3.1494570993099864</v>
      </c>
      <c r="K17" s="3047" t="str">
        <f t="shared" ref="K17" si="5">IF(SUM(K18:K23)=0,"NO",SUM(K18:K23))</f>
        <v>NO</v>
      </c>
    </row>
    <row r="18" spans="2:12" ht="18" customHeight="1" x14ac:dyDescent="0.2">
      <c r="B18" s="282" t="s">
        <v>243</v>
      </c>
      <c r="C18" s="3065">
        <f>IF(SUM(C25,C54,C61)=0,"NO",SUM(C25,C54,C61))</f>
        <v>223382.14737757319</v>
      </c>
      <c r="D18" s="3056" t="s">
        <v>97</v>
      </c>
      <c r="E18" s="1938">
        <f>IFERROR(H18*1000/$C18,"NA")</f>
        <v>67.948696545744397</v>
      </c>
      <c r="F18" s="1938">
        <f t="shared" ref="F18:G23" si="6">IFERROR(I18*1000000/$C18,"NA")</f>
        <v>3.1256327696332113</v>
      </c>
      <c r="G18" s="1938">
        <f t="shared" si="6"/>
        <v>2.2949375419306159</v>
      </c>
      <c r="H18" s="3065">
        <f>IF(SUM(H25,H54,H61)=0,"NO",SUM(H25,H54,H61))</f>
        <v>15178.525745895473</v>
      </c>
      <c r="I18" s="3065">
        <f>IF(SUM(I25,I54,I61)=0,"NO",SUM(I25,I54,I61))</f>
        <v>0.6982105599943782</v>
      </c>
      <c r="J18" s="3065">
        <f>IF(SUM(J25,J54,J61)=0,"NO",SUM(J25,J54,J61))</f>
        <v>0.51264807621387043</v>
      </c>
      <c r="K18" s="3048" t="str">
        <f>IF(SUM(K25,K54,K61)=0,"NO",SUM(K25,K54,K61))</f>
        <v>NO</v>
      </c>
      <c r="L18" s="19"/>
    </row>
    <row r="19" spans="2:12" ht="18" customHeight="1" x14ac:dyDescent="0.2">
      <c r="B19" s="282" t="s">
        <v>245</v>
      </c>
      <c r="C19" s="3065">
        <f t="shared" ref="C19:C23" si="7">IF(SUM(C26,C55,C62)=0,"NO",SUM(C26,C55,C62))</f>
        <v>1529067.5614809808</v>
      </c>
      <c r="D19" s="3056" t="s">
        <v>97</v>
      </c>
      <c r="E19" s="1938">
        <f t="shared" ref="E19:E23" si="8">IFERROR(H19*1000/$C19,"NA")</f>
        <v>90.858115116462628</v>
      </c>
      <c r="F19" s="1938">
        <f t="shared" si="6"/>
        <v>0.68083042402710325</v>
      </c>
      <c r="G19" s="1938">
        <f t="shared" si="6"/>
        <v>0.9117590302199472</v>
      </c>
      <c r="H19" s="3065">
        <f t="shared" ref="H19:K23" si="9">IF(SUM(H26,H55,H62)=0,"NO",SUM(H26,H55,H62))</f>
        <v>138928.19652188776</v>
      </c>
      <c r="I19" s="3065">
        <f t="shared" si="9"/>
        <v>1.041035716249185</v>
      </c>
      <c r="J19" s="3065">
        <f t="shared" si="9"/>
        <v>1.3941411569966786</v>
      </c>
      <c r="K19" s="3048" t="str">
        <f t="shared" si="9"/>
        <v>NO</v>
      </c>
      <c r="L19" s="19"/>
    </row>
    <row r="20" spans="2:12" ht="18" customHeight="1" x14ac:dyDescent="0.2">
      <c r="B20" s="282" t="s">
        <v>246</v>
      </c>
      <c r="C20" s="3065">
        <f t="shared" si="7"/>
        <v>1015266.9727312084</v>
      </c>
      <c r="D20" s="3056" t="s">
        <v>97</v>
      </c>
      <c r="E20" s="1938">
        <f t="shared" si="8"/>
        <v>51.086448876865965</v>
      </c>
      <c r="F20" s="1938">
        <f t="shared" si="6"/>
        <v>20.340227958951402</v>
      </c>
      <c r="G20" s="1938">
        <f t="shared" si="6"/>
        <v>1.0250546119507442</v>
      </c>
      <c r="H20" s="3065">
        <f t="shared" si="9"/>
        <v>51866.38429880335</v>
      </c>
      <c r="I20" s="3065">
        <f t="shared" si="9"/>
        <v>20.650761664547275</v>
      </c>
      <c r="J20" s="3065">
        <f t="shared" si="9"/>
        <v>1.0407040927593956</v>
      </c>
      <c r="K20" s="3048" t="str">
        <f t="shared" si="9"/>
        <v>NO</v>
      </c>
      <c r="L20" s="19"/>
    </row>
    <row r="21" spans="2:12" ht="18" customHeight="1" x14ac:dyDescent="0.2">
      <c r="B21" s="282" t="s">
        <v>247</v>
      </c>
      <c r="C21" s="3065">
        <f t="shared" si="7"/>
        <v>2670.7371621671</v>
      </c>
      <c r="D21" s="3056" t="s">
        <v>97</v>
      </c>
      <c r="E21" s="1938">
        <f t="shared" si="8"/>
        <v>46.773658854465431</v>
      </c>
      <c r="F21" s="1938">
        <f t="shared" si="6"/>
        <v>1.0281818181818183</v>
      </c>
      <c r="G21" s="1938">
        <f t="shared" si="6"/>
        <v>0.42463636363636365</v>
      </c>
      <c r="H21" s="3065">
        <f t="shared" si="9"/>
        <v>124.92014891314706</v>
      </c>
      <c r="I21" s="3065">
        <f t="shared" si="9"/>
        <v>2.7460033912827184E-3</v>
      </c>
      <c r="J21" s="3065">
        <f t="shared" si="9"/>
        <v>1.1340921167711385E-3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44084.077486982496</v>
      </c>
      <c r="D23" s="3056" t="s">
        <v>97</v>
      </c>
      <c r="E23" s="1938">
        <f t="shared" si="8"/>
        <v>61.366509035180634</v>
      </c>
      <c r="F23" s="1938">
        <f t="shared" si="6"/>
        <v>88.686454902069741</v>
      </c>
      <c r="G23" s="1938">
        <f t="shared" si="6"/>
        <v>4.5556058484511395</v>
      </c>
      <c r="H23" s="3065">
        <f t="shared" si="9"/>
        <v>2705.2859394125148</v>
      </c>
      <c r="I23" s="3065">
        <f t="shared" si="9"/>
        <v>3.909660549948621</v>
      </c>
      <c r="J23" s="3065">
        <f t="shared" si="9"/>
        <v>0.20082968122327066</v>
      </c>
      <c r="K23" s="3048" t="str">
        <f t="shared" si="9"/>
        <v>NO</v>
      </c>
      <c r="L23" s="19"/>
    </row>
    <row r="24" spans="2:12" ht="18" customHeight="1" x14ac:dyDescent="0.2">
      <c r="B24" s="1236" t="s">
        <v>250</v>
      </c>
      <c r="C24" s="3065">
        <f>IF(SUM(C25:C30)=0,"NO",SUM(C25:C30))</f>
        <v>2194615.5640240912</v>
      </c>
      <c r="D24" s="3056" t="s">
        <v>97</v>
      </c>
      <c r="E24" s="615"/>
      <c r="F24" s="615"/>
      <c r="G24" s="615"/>
      <c r="H24" s="3065">
        <f>IF(SUM(H25:H29)=0,"NO",SUM(H25:H29))</f>
        <v>171128.72208816156</v>
      </c>
      <c r="I24" s="3065">
        <f t="shared" ref="I24" si="10">IF(SUM(I25:I30)=0,"NO",SUM(I25:I30))</f>
        <v>11.373916671733916</v>
      </c>
      <c r="J24" s="3065">
        <f t="shared" ref="J24" si="11">IF(SUM(J25:J30)=0,"NO",SUM(J25:J30))</f>
        <v>2.2673999993613996</v>
      </c>
      <c r="K24" s="3048" t="str">
        <f t="shared" ref="K24" si="12">IF(SUM(K25:K30)=0,"NO",SUM(K25:K30))</f>
        <v>NO</v>
      </c>
      <c r="L24" s="19"/>
    </row>
    <row r="25" spans="2:12" ht="18" customHeight="1" x14ac:dyDescent="0.2">
      <c r="B25" s="160" t="s">
        <v>243</v>
      </c>
      <c r="C25" s="3053">
        <f>IF(SUM(C33,C40,C47)=0,"NO",SUM(C33,C40,C47))</f>
        <v>43973.545403973098</v>
      </c>
      <c r="D25" s="3061" t="s">
        <v>97</v>
      </c>
      <c r="E25" s="3065">
        <f>IFERROR(H25*1000/$C25,"NA")</f>
        <v>70.004854997293762</v>
      </c>
      <c r="F25" s="1938">
        <f t="shared" ref="F25:G30" si="13">IFERROR(I25*1000000/$C25,"NA")</f>
        <v>3.7037733546390594</v>
      </c>
      <c r="G25" s="1938">
        <f t="shared" si="13"/>
        <v>0.3776715496481271</v>
      </c>
      <c r="H25" s="3065">
        <f>IF(SUM(H33,H40,H47)=0,"NO",SUM(H33,H40,H47))</f>
        <v>3078.36166972205</v>
      </c>
      <c r="I25" s="3065">
        <f>IF(SUM(I33,I40,I47)=0,"NO",SUM(I33,I40,I47))</f>
        <v>0.16286804577624645</v>
      </c>
      <c r="J25" s="3065">
        <f>IF(SUM(J33,J40,J47)=0,"NO",SUM(J33,J40,J47))</f>
        <v>1.6607557036240797E-2</v>
      </c>
      <c r="K25" s="3048" t="str">
        <f>IF(SUM(K33,K40,K47)=0,"NO",SUM(K33,K40,K47))</f>
        <v>NO</v>
      </c>
      <c r="L25" s="19"/>
    </row>
    <row r="26" spans="2:12" ht="18" customHeight="1" x14ac:dyDescent="0.2">
      <c r="B26" s="160" t="s">
        <v>245</v>
      </c>
      <c r="C26" s="3065">
        <f t="shared" ref="C26:C30" si="14">IF(SUM(C34,C41,C48)=0,"NO",SUM(C34,C41,C48))</f>
        <v>1519892.4267642528</v>
      </c>
      <c r="D26" s="3061" t="s">
        <v>97</v>
      </c>
      <c r="E26" s="3065">
        <f t="shared" ref="E26:E30" si="15">IFERROR(H26*1000/$C26,"NA")</f>
        <v>90.939039292219377</v>
      </c>
      <c r="F26" s="1938">
        <f t="shared" si="13"/>
        <v>0.67914516213957565</v>
      </c>
      <c r="G26" s="1938">
        <f t="shared" si="13"/>
        <v>0.91270198780228273</v>
      </c>
      <c r="H26" s="3065">
        <f t="shared" ref="H26:K30" si="16">IF(SUM(H34,H41,H48)=0,"NO",SUM(H34,H41,H48))</f>
        <v>138217.55711746105</v>
      </c>
      <c r="I26" s="3065">
        <f t="shared" si="16"/>
        <v>1.0322275886095216</v>
      </c>
      <c r="J26" s="3065">
        <f t="shared" si="16"/>
        <v>1.387208839153369</v>
      </c>
      <c r="K26" s="3048" t="str">
        <f t="shared" si="16"/>
        <v>NO</v>
      </c>
      <c r="L26" s="19"/>
    </row>
    <row r="27" spans="2:12" ht="18" customHeight="1" x14ac:dyDescent="0.2">
      <c r="B27" s="160" t="s">
        <v>246</v>
      </c>
      <c r="C27" s="3065">
        <f t="shared" si="14"/>
        <v>586697.45598168275</v>
      </c>
      <c r="D27" s="3061" t="s">
        <v>97</v>
      </c>
      <c r="E27" s="3065">
        <f t="shared" si="15"/>
        <v>50.848700632357762</v>
      </c>
      <c r="F27" s="1938">
        <f t="shared" si="13"/>
        <v>10.685704081416977</v>
      </c>
      <c r="G27" s="1938">
        <f t="shared" si="13"/>
        <v>1.1298302523870296</v>
      </c>
      <c r="H27" s="3065">
        <f t="shared" si="16"/>
        <v>29832.803300978481</v>
      </c>
      <c r="I27" s="3065">
        <f t="shared" si="16"/>
        <v>6.2692753999404243</v>
      </c>
      <c r="J27" s="3065">
        <f t="shared" si="16"/>
        <v>0.66286853476661278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44052.135874182495</v>
      </c>
      <c r="D30" s="3061" t="s">
        <v>97</v>
      </c>
      <c r="E30" s="3065">
        <f t="shared" si="15"/>
        <v>61.361619660989547</v>
      </c>
      <c r="F30" s="1938">
        <f t="shared" si="13"/>
        <v>88.748151703104597</v>
      </c>
      <c r="G30" s="1938">
        <f t="shared" si="13"/>
        <v>4.5563073032018293</v>
      </c>
      <c r="H30" s="3065">
        <f t="shared" si="16"/>
        <v>2703.1104067658193</v>
      </c>
      <c r="I30" s="3065">
        <f t="shared" si="16"/>
        <v>3.9095456374077244</v>
      </c>
      <c r="J30" s="3065">
        <f t="shared" si="16"/>
        <v>0.200715068405177</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2194615.5640240912</v>
      </c>
      <c r="D32" s="3056" t="s">
        <v>97</v>
      </c>
      <c r="E32" s="1939"/>
      <c r="F32" s="1939"/>
      <c r="G32" s="1939"/>
      <c r="H32" s="3065">
        <f>IF(SUM(H33:H37)=0,"NO",SUM(H33:H37))</f>
        <v>171128.72208816156</v>
      </c>
      <c r="I32" s="3065">
        <f t="shared" ref="I32" si="17">IF(SUM(I33:I38)=0,"NO",SUM(I33:I38))</f>
        <v>11.373916671733916</v>
      </c>
      <c r="J32" s="3065">
        <f t="shared" ref="J32" si="18">IF(SUM(J33:J38)=0,"NO",SUM(J33:J38))</f>
        <v>2.2673999993613996</v>
      </c>
      <c r="K32" s="3048" t="str">
        <f t="shared" ref="K32" si="19">IF(SUM(K33:K38)=0,"NO",SUM(K33:K38))</f>
        <v>NO</v>
      </c>
      <c r="L32" s="19"/>
    </row>
    <row r="33" spans="2:12" ht="18" customHeight="1" x14ac:dyDescent="0.2">
      <c r="B33" s="160" t="s">
        <v>243</v>
      </c>
      <c r="C33" s="3014">
        <v>43973.545403973098</v>
      </c>
      <c r="D33" s="3056" t="s">
        <v>97</v>
      </c>
      <c r="E33" s="1938">
        <f>IFERROR(H33*1000/$C33,"NA")</f>
        <v>70.004854997293762</v>
      </c>
      <c r="F33" s="1938">
        <f t="shared" ref="F33:G38" si="20">IFERROR(I33*1000000/$C33,"NA")</f>
        <v>3.7037733546390594</v>
      </c>
      <c r="G33" s="1938">
        <f t="shared" si="20"/>
        <v>0.3776715496481271</v>
      </c>
      <c r="H33" s="3014">
        <v>3078.36166972205</v>
      </c>
      <c r="I33" s="3014">
        <v>0.16286804577624645</v>
      </c>
      <c r="J33" s="3014">
        <v>1.6607557036240797E-2</v>
      </c>
      <c r="K33" s="3051" t="s">
        <v>199</v>
      </c>
      <c r="L33" s="19"/>
    </row>
    <row r="34" spans="2:12" ht="18" customHeight="1" x14ac:dyDescent="0.2">
      <c r="B34" s="160" t="s">
        <v>245</v>
      </c>
      <c r="C34" s="3014">
        <v>1519892.4267642528</v>
      </c>
      <c r="D34" s="3056" t="s">
        <v>97</v>
      </c>
      <c r="E34" s="1938">
        <f t="shared" ref="E34:E38" si="21">IFERROR(H34*1000/$C34,"NA")</f>
        <v>90.939039292219377</v>
      </c>
      <c r="F34" s="1938">
        <f t="shared" si="20"/>
        <v>0.67914516213957565</v>
      </c>
      <c r="G34" s="1938">
        <f t="shared" si="20"/>
        <v>0.91270198780228273</v>
      </c>
      <c r="H34" s="3014">
        <v>138217.55711746105</v>
      </c>
      <c r="I34" s="3014">
        <v>1.0322275886095216</v>
      </c>
      <c r="J34" s="3014">
        <v>1.387208839153369</v>
      </c>
      <c r="K34" s="3051" t="s">
        <v>199</v>
      </c>
      <c r="L34" s="19"/>
    </row>
    <row r="35" spans="2:12" ht="18" customHeight="1" x14ac:dyDescent="0.2">
      <c r="B35" s="160" t="s">
        <v>246</v>
      </c>
      <c r="C35" s="3014">
        <v>586697.45598168275</v>
      </c>
      <c r="D35" s="3056" t="s">
        <v>97</v>
      </c>
      <c r="E35" s="1938">
        <f t="shared" si="21"/>
        <v>50.848700632357762</v>
      </c>
      <c r="F35" s="1938">
        <f t="shared" si="20"/>
        <v>10.685704081416977</v>
      </c>
      <c r="G35" s="1938">
        <f t="shared" si="20"/>
        <v>1.1298302523870296</v>
      </c>
      <c r="H35" s="3014">
        <v>29832.803300978481</v>
      </c>
      <c r="I35" s="3014">
        <v>6.2692753999404243</v>
      </c>
      <c r="J35" s="3014">
        <v>0.66286853476661278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44052.135874182495</v>
      </c>
      <c r="D38" s="3056" t="s">
        <v>97</v>
      </c>
      <c r="E38" s="1938">
        <f t="shared" si="21"/>
        <v>61.361619660989547</v>
      </c>
      <c r="F38" s="1938">
        <f t="shared" si="20"/>
        <v>88.748151703104597</v>
      </c>
      <c r="G38" s="1938">
        <f t="shared" si="20"/>
        <v>4.5563073032018293</v>
      </c>
      <c r="H38" s="3014">
        <v>2703.1104067658193</v>
      </c>
      <c r="I38" s="3014">
        <v>3.9095456374077244</v>
      </c>
      <c r="J38" s="3014">
        <v>0.200715068405177</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45809.497478367099</v>
      </c>
      <c r="D53" s="3056" t="s">
        <v>97</v>
      </c>
      <c r="E53" s="615"/>
      <c r="F53" s="615"/>
      <c r="G53" s="615"/>
      <c r="H53" s="3065">
        <f>IF(SUM(H54:H58)=0,"NO",SUM(H54:H58))</f>
        <v>2651.5522846757085</v>
      </c>
      <c r="I53" s="3065">
        <f t="shared" ref="I53:K53" si="28">IF(SUM(I54:I59)=0,"NO",SUM(I54:I59))</f>
        <v>4.4291574826992017E-2</v>
      </c>
      <c r="J53" s="3065">
        <f t="shared" si="28"/>
        <v>6.5716795257291126E-3</v>
      </c>
      <c r="K53" s="3048" t="str">
        <f t="shared" si="28"/>
        <v>NO</v>
      </c>
      <c r="L53" s="19"/>
    </row>
    <row r="54" spans="2:12" ht="18" customHeight="1" x14ac:dyDescent="0.2">
      <c r="B54" s="160" t="s">
        <v>243</v>
      </c>
      <c r="C54" s="3014">
        <v>39768.519856200001</v>
      </c>
      <c r="D54" s="3056" t="s">
        <v>97</v>
      </c>
      <c r="E54" s="1938">
        <f>IFERROR(H54*1000/$C54,"NA")</f>
        <v>59.176494799377366</v>
      </c>
      <c r="F54" s="1938">
        <f t="shared" ref="F54:G59" si="29">IFERROR(I54*1000000/$C54,"NA")</f>
        <v>0.95755013285715129</v>
      </c>
      <c r="G54" s="1938">
        <f t="shared" si="29"/>
        <v>0.10074452783081923</v>
      </c>
      <c r="H54" s="3014">
        <v>2353.3616084493547</v>
      </c>
      <c r="I54" s="3014">
        <v>3.8080351471836568E-2</v>
      </c>
      <c r="J54" s="3014">
        <v>4.0064607554434282E-3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3370.2404600000004</v>
      </c>
      <c r="D56" s="3056" t="s">
        <v>97</v>
      </c>
      <c r="E56" s="1938">
        <f t="shared" si="30"/>
        <v>51.411918339265007</v>
      </c>
      <c r="F56" s="1938">
        <f t="shared" si="29"/>
        <v>1.0281818181818181</v>
      </c>
      <c r="G56" s="1938">
        <f t="shared" si="29"/>
        <v>0.42463636363636365</v>
      </c>
      <c r="H56" s="3014">
        <v>173.27052731320697</v>
      </c>
      <c r="I56" s="3014">
        <v>3.4652199638727276E-3</v>
      </c>
      <c r="J56" s="3014">
        <v>1.4311266535145457E-3</v>
      </c>
      <c r="K56" s="3051" t="s">
        <v>199</v>
      </c>
    </row>
    <row r="57" spans="2:12" ht="18" customHeight="1" x14ac:dyDescent="0.2">
      <c r="B57" s="282" t="s">
        <v>247</v>
      </c>
      <c r="C57" s="3014">
        <v>2670.7371621671</v>
      </c>
      <c r="D57" s="3056" t="s">
        <v>97</v>
      </c>
      <c r="E57" s="1938">
        <f t="shared" si="30"/>
        <v>46.773658854465431</v>
      </c>
      <c r="F57" s="1938">
        <f t="shared" si="29"/>
        <v>1.0281818181818183</v>
      </c>
      <c r="G57" s="1938">
        <f t="shared" si="29"/>
        <v>0.42463636363636365</v>
      </c>
      <c r="H57" s="3014">
        <v>124.92014891314706</v>
      </c>
      <c r="I57" s="3014">
        <v>2.7460033912827184E-3</v>
      </c>
      <c r="J57" s="3014">
        <v>1.1340921167711385E-3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574046.4347364537</v>
      </c>
      <c r="D60" s="3056" t="s">
        <v>97</v>
      </c>
      <c r="E60" s="615"/>
      <c r="F60" s="615"/>
      <c r="G60" s="615"/>
      <c r="H60" s="3065">
        <f>IF(SUM(H61:H65)=0,"NO",SUM(H61:H65))</f>
        <v>32317.752342662447</v>
      </c>
      <c r="I60" s="3065">
        <f t="shared" ref="I60:K60" si="31">IF(SUM(I61:I66)=0,"NO",SUM(I61:I66))</f>
        <v>14.884206247569834</v>
      </c>
      <c r="J60" s="3065">
        <f t="shared" si="31"/>
        <v>0.87548542042285782</v>
      </c>
      <c r="K60" s="3048" t="str">
        <f t="shared" si="31"/>
        <v>NO</v>
      </c>
      <c r="L60" s="19"/>
    </row>
    <row r="61" spans="2:12" ht="18" customHeight="1" x14ac:dyDescent="0.2">
      <c r="B61" s="160" t="s">
        <v>243</v>
      </c>
      <c r="C61" s="3053">
        <f>IF(SUM(C69,C76,C83)=0,"NO",SUM(C69,C76,C83))</f>
        <v>139640.08211740007</v>
      </c>
      <c r="D61" s="3056" t="s">
        <v>97</v>
      </c>
      <c r="E61" s="1938">
        <f>IFERROR(H61*1000/$C61,"NA")</f>
        <v>69.799461013848486</v>
      </c>
      <c r="F61" s="1938">
        <f t="shared" ref="F61:G66" si="32">IFERROR(I61*1000000/$C61,"NA")</f>
        <v>3.5610274299912712</v>
      </c>
      <c r="G61" s="1938">
        <f t="shared" si="32"/>
        <v>3.5235875757256911</v>
      </c>
      <c r="H61" s="3053">
        <f>IF(SUM(H69,H76,H83)=0,"NO",SUM(H69,H76,H83))</f>
        <v>9746.8024677240683</v>
      </c>
      <c r="I61" s="3053">
        <f>IF(SUM(I69,I76,I83)=0,"NO",SUM(I69,I76,I83))</f>
        <v>0.49726216274629526</v>
      </c>
      <c r="J61" s="3053">
        <f>IF(SUM(J69,J76,J83)=0,"NO",SUM(J69,J76,J83))</f>
        <v>0.49203405842218617</v>
      </c>
      <c r="K61" s="3067" t="str">
        <f>IF(SUM(K69,K76,K83)=0,"NO",SUM(K69,K76,K83))</f>
        <v>NO</v>
      </c>
    </row>
    <row r="62" spans="2:12" ht="18" customHeight="1" x14ac:dyDescent="0.2">
      <c r="B62" s="160" t="s">
        <v>245</v>
      </c>
      <c r="C62" s="3053">
        <f t="shared" ref="C62:C66" si="33">IF(SUM(C70,C77,C84)=0,"NO",SUM(C70,C77,C84))</f>
        <v>9175.1347167279655</v>
      </c>
      <c r="D62" s="3056" t="s">
        <v>97</v>
      </c>
      <c r="E62" s="1938">
        <f t="shared" ref="E62:E66" si="34">IFERROR(H62*1000/$C62,"NA")</f>
        <v>77.452748800634964</v>
      </c>
      <c r="F62" s="1938">
        <f t="shared" si="32"/>
        <v>0.95999981598140505</v>
      </c>
      <c r="G62" s="1938">
        <f t="shared" si="32"/>
        <v>0.75555488364337076</v>
      </c>
      <c r="H62" s="3053">
        <f t="shared" ref="H62:K66" si="35">IF(SUM(H70,H77,H84)=0,"NO",SUM(H70,H77,H84))</f>
        <v>710.63940442671617</v>
      </c>
      <c r="I62" s="3053">
        <f t="shared" si="35"/>
        <v>8.8081276396634479E-3</v>
      </c>
      <c r="J62" s="3053">
        <f t="shared" si="35"/>
        <v>6.932317843309649E-3</v>
      </c>
      <c r="K62" s="3067" t="str">
        <f t="shared" si="35"/>
        <v>NO</v>
      </c>
    </row>
    <row r="63" spans="2:12" ht="18" customHeight="1" x14ac:dyDescent="0.2">
      <c r="B63" s="160" t="s">
        <v>246</v>
      </c>
      <c r="C63" s="3053">
        <f t="shared" si="33"/>
        <v>425199.27628952562</v>
      </c>
      <c r="D63" s="3056" t="s">
        <v>97</v>
      </c>
      <c r="E63" s="1938">
        <f t="shared" si="34"/>
        <v>51.411918339264979</v>
      </c>
      <c r="F63" s="1938">
        <f t="shared" si="32"/>
        <v>33.814782494720745</v>
      </c>
      <c r="G63" s="1938">
        <f t="shared" si="32"/>
        <v>0.88524240827486256</v>
      </c>
      <c r="H63" s="3053">
        <f t="shared" si="35"/>
        <v>21860.31047051166</v>
      </c>
      <c r="I63" s="3053">
        <f t="shared" si="35"/>
        <v>14.378021044642979</v>
      </c>
      <c r="J63" s="3053">
        <f t="shared" si="35"/>
        <v>0.37640443133926832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31.941612800000005</v>
      </c>
      <c r="D66" s="3056" t="s">
        <v>97</v>
      </c>
      <c r="E66" s="1938">
        <f t="shared" si="34"/>
        <v>68.109668109668092</v>
      </c>
      <c r="F66" s="1938">
        <f t="shared" si="32"/>
        <v>3.5975810493976867</v>
      </c>
      <c r="G66" s="1938">
        <f t="shared" si="32"/>
        <v>3.5881975907510708</v>
      </c>
      <c r="H66" s="3053">
        <f t="shared" si="35"/>
        <v>2.1755326466955265</v>
      </c>
      <c r="I66" s="3053">
        <f t="shared" si="35"/>
        <v>1.1491254089647861E-4</v>
      </c>
      <c r="J66" s="3053">
        <f t="shared" si="35"/>
        <v>1.1461281809366358E-4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9175.1077167279655</v>
      </c>
      <c r="D68" s="3056" t="s">
        <v>97</v>
      </c>
      <c r="E68" s="615"/>
      <c r="F68" s="615"/>
      <c r="G68" s="615"/>
      <c r="H68" s="3065">
        <f>IF(SUM(H69:H73)=0,"NO",SUM(H69:H73))</f>
        <v>710.63720230671618</v>
      </c>
      <c r="I68" s="3065">
        <f t="shared" ref="I68:K68" si="36">IF(SUM(I69:I74)=0,"NO",SUM(I69:I74))</f>
        <v>8.8081096396634487E-3</v>
      </c>
      <c r="J68" s="3065">
        <f t="shared" si="36"/>
        <v>6.9323049861667917E-3</v>
      </c>
      <c r="K68" s="3048" t="str">
        <f t="shared" si="36"/>
        <v>NO</v>
      </c>
    </row>
    <row r="69" spans="2:11" ht="18" customHeight="1" x14ac:dyDescent="0.2">
      <c r="B69" s="282" t="s">
        <v>243</v>
      </c>
      <c r="C69" s="3014" t="s">
        <v>199</v>
      </c>
      <c r="D69" s="3055" t="s">
        <v>97</v>
      </c>
      <c r="E69" s="1938" t="str">
        <f>IFERROR(H69*1000/$C69,"NA")</f>
        <v>NA</v>
      </c>
      <c r="F69" s="1938" t="str">
        <f t="shared" ref="F69:G74" si="37">IFERROR(I69*1000000/$C69,"NA")</f>
        <v>NA</v>
      </c>
      <c r="G69" s="1938" t="str">
        <f t="shared" si="37"/>
        <v>NA</v>
      </c>
      <c r="H69" s="3014" t="s">
        <v>199</v>
      </c>
      <c r="I69" s="3014" t="s">
        <v>199</v>
      </c>
      <c r="J69" s="3014" t="s">
        <v>199</v>
      </c>
      <c r="K69" s="3051" t="s">
        <v>199</v>
      </c>
    </row>
    <row r="70" spans="2:11" ht="18" customHeight="1" x14ac:dyDescent="0.2">
      <c r="B70" s="282" t="s">
        <v>245</v>
      </c>
      <c r="C70" s="3014">
        <v>9175.1077167279655</v>
      </c>
      <c r="D70" s="3055" t="s">
        <v>97</v>
      </c>
      <c r="E70" s="1938">
        <f t="shared" ref="E70:E74" si="38">IFERROR(H70*1000/$C70,"NA")</f>
        <v>77.452736714043084</v>
      </c>
      <c r="F70" s="1938">
        <f t="shared" si="37"/>
        <v>0.9600006791859883</v>
      </c>
      <c r="G70" s="1938">
        <f t="shared" si="37"/>
        <v>0.7555557057415121</v>
      </c>
      <c r="H70" s="3014">
        <v>710.63720230671618</v>
      </c>
      <c r="I70" s="3014">
        <v>8.8081096396634487E-3</v>
      </c>
      <c r="J70" s="3014">
        <v>6.9323049861667917E-3</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422996.6623858462</v>
      </c>
      <c r="D75" s="3056" t="s">
        <v>97</v>
      </c>
      <c r="E75" s="615"/>
      <c r="F75" s="615"/>
      <c r="G75" s="615"/>
      <c r="H75" s="3065">
        <f>IF(SUM(H76:H80)=0,"NO",SUM(H76:H80))</f>
        <v>21829.563583388041</v>
      </c>
      <c r="I75" s="3065">
        <f t="shared" ref="I75:K75" si="39">IF(SUM(I76:I81)=0,"NO",SUM(I76:I81))</f>
        <v>14.36655393934149</v>
      </c>
      <c r="J75" s="3065">
        <f t="shared" si="39"/>
        <v>0.37975145807624949</v>
      </c>
      <c r="K75" s="3048" t="str">
        <f t="shared" si="39"/>
        <v>NO</v>
      </c>
    </row>
    <row r="76" spans="2:11" ht="18" customHeight="1" x14ac:dyDescent="0.2">
      <c r="B76" s="282" t="s">
        <v>243</v>
      </c>
      <c r="C76" s="3014">
        <v>5233.804000000001</v>
      </c>
      <c r="D76" s="3055" t="s">
        <v>97</v>
      </c>
      <c r="E76" s="1938">
        <f>IFERROR(H76*1000/$C76,"NA")</f>
        <v>67.173476285850185</v>
      </c>
      <c r="F76" s="1938">
        <f t="shared" ref="F76:G81" si="40">IFERROR(I76*1000000/$C76,"NA")</f>
        <v>2.6643613343455077</v>
      </c>
      <c r="G76" s="1938">
        <f t="shared" si="40"/>
        <v>1.9311568260994612</v>
      </c>
      <c r="H76" s="3014">
        <v>351.5728088787879</v>
      </c>
      <c r="I76" s="3014">
        <v>1.3944745009142858E-2</v>
      </c>
      <c r="J76" s="3014">
        <v>1.0107296321066666E-2</v>
      </c>
      <c r="K76" s="3051" t="s">
        <v>199</v>
      </c>
    </row>
    <row r="77" spans="2:11" ht="18" customHeight="1" x14ac:dyDescent="0.2">
      <c r="B77" s="282" t="s">
        <v>245</v>
      </c>
      <c r="C77" s="3014">
        <v>2.7000000000000003E-2</v>
      </c>
      <c r="D77" s="3055" t="s">
        <v>97</v>
      </c>
      <c r="E77" s="1938">
        <f t="shared" ref="E77:E81" si="41">IFERROR(H77*1000/$C77,"NA")</f>
        <v>81.560000000000016</v>
      </c>
      <c r="F77" s="1938">
        <f t="shared" si="40"/>
        <v>0.66666666666666652</v>
      </c>
      <c r="G77" s="1938">
        <f t="shared" si="40"/>
        <v>0.47619047619047616</v>
      </c>
      <c r="H77" s="3014">
        <v>2.2021200000000006E-3</v>
      </c>
      <c r="I77" s="3014">
        <v>1.7999999999999999E-8</v>
      </c>
      <c r="J77" s="3014">
        <v>1.2857142857142859E-8</v>
      </c>
      <c r="K77" s="3051" t="s">
        <v>199</v>
      </c>
    </row>
    <row r="78" spans="2:11" ht="18" customHeight="1" x14ac:dyDescent="0.2">
      <c r="B78" s="160" t="s">
        <v>246</v>
      </c>
      <c r="C78" s="3014">
        <v>417762.83138584619</v>
      </c>
      <c r="D78" s="3055" t="s">
        <v>97</v>
      </c>
      <c r="E78" s="1938">
        <f t="shared" si="41"/>
        <v>51.411918339264986</v>
      </c>
      <c r="F78" s="1938">
        <f t="shared" si="40"/>
        <v>34.355878737992043</v>
      </c>
      <c r="G78" s="1938">
        <f t="shared" si="40"/>
        <v>0.88481818181818161</v>
      </c>
      <c r="H78" s="3014">
        <v>21477.988572389251</v>
      </c>
      <c r="I78" s="3014">
        <v>14.352609176332347</v>
      </c>
      <c r="J78" s="3014">
        <v>0.36964414889803998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141874.66463387947</v>
      </c>
      <c r="D82" s="3056" t="s">
        <v>97</v>
      </c>
      <c r="E82" s="615"/>
      <c r="F82" s="615"/>
      <c r="G82" s="615"/>
      <c r="H82" s="3065">
        <f>IF(SUM(H83:H87)=0,"NO",SUM(H83:H87))</f>
        <v>9777.55155696769</v>
      </c>
      <c r="I82" s="3065">
        <f t="shared" ref="I82:K82" si="42">IF(SUM(I83:I88)=0,"NO",SUM(I83:I88))</f>
        <v>0.50884419858868102</v>
      </c>
      <c r="J82" s="3065">
        <f t="shared" si="42"/>
        <v>0.48880165736044151</v>
      </c>
      <c r="K82" s="3048" t="str">
        <f t="shared" si="42"/>
        <v>NO</v>
      </c>
    </row>
    <row r="83" spans="2:11" ht="18" customHeight="1" x14ac:dyDescent="0.2">
      <c r="B83" s="282" t="s">
        <v>243</v>
      </c>
      <c r="C83" s="3014">
        <v>134406.27811740007</v>
      </c>
      <c r="D83" s="3055" t="s">
        <v>97</v>
      </c>
      <c r="E83" s="1938">
        <f>IFERROR(H83*1000/$C83,"NA")</f>
        <v>69.901717318880117</v>
      </c>
      <c r="F83" s="1938">
        <f t="shared" ref="F83:G88" si="43">IFERROR(I83*1000000/$C83,"NA")</f>
        <v>3.5959437647323913</v>
      </c>
      <c r="G83" s="1938">
        <f t="shared" si="43"/>
        <v>3.5855971078982645</v>
      </c>
      <c r="H83" s="3014">
        <v>9395.2296588452809</v>
      </c>
      <c r="I83" s="3014">
        <v>0.48331741773715242</v>
      </c>
      <c r="J83" s="3014">
        <v>0.48192676210111951</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7436.4449036794012</v>
      </c>
      <c r="D85" s="3055" t="s">
        <v>97</v>
      </c>
      <c r="E85" s="1938">
        <f t="shared" si="44"/>
        <v>51.411918339264993</v>
      </c>
      <c r="F85" s="1938">
        <f t="shared" si="43"/>
        <v>3.4172065603631183</v>
      </c>
      <c r="G85" s="1938">
        <f t="shared" si="43"/>
        <v>0.90907450116163424</v>
      </c>
      <c r="H85" s="3014">
        <v>382.3218981224087</v>
      </c>
      <c r="I85" s="3014">
        <v>2.5411868310632125E-2</v>
      </c>
      <c r="J85" s="3014">
        <v>6.7602824412283293E-3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31.941612800000005</v>
      </c>
      <c r="D88" s="3063" t="s">
        <v>97</v>
      </c>
      <c r="E88" s="2891">
        <f t="shared" si="44"/>
        <v>68.109668109668092</v>
      </c>
      <c r="F88" s="2891">
        <f t="shared" si="43"/>
        <v>3.5975810493976867</v>
      </c>
      <c r="G88" s="2891">
        <f t="shared" si="43"/>
        <v>3.5881975907510708</v>
      </c>
      <c r="H88" s="3021">
        <v>2.1755326466955265</v>
      </c>
      <c r="I88" s="3021">
        <v>1.1491254089647861E-4</v>
      </c>
      <c r="J88" s="3021">
        <v>1.1461281809366358E-4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33680931.996621899</v>
      </c>
      <c r="G10" s="4346" t="s">
        <v>205</v>
      </c>
      <c r="H10" s="4347">
        <f t="shared" ref="H10:H13" si="0">IF(SUM($F10)=0,"NA",K10*1000/$F10)</f>
        <v>1.3490301969490106E-2</v>
      </c>
      <c r="I10" s="4348">
        <f t="shared" ref="I10:I13" si="1">IF(SUM($F10)=0,"NA",L10*1000/$F10)</f>
        <v>3.1123343414833003E-4</v>
      </c>
      <c r="J10" s="4349" t="str">
        <f>IF(SUM(J11,J25,J36,J48,J59,J70,J76)=0,"IE",SUM(J11,J25,J36,J48,J59,J70,J76))</f>
        <v>IE</v>
      </c>
      <c r="K10" s="4350">
        <f>IF(SUM(K11,K25,K36,K48,K59,K70,K76)=0,"NO",SUM(K11,K25,K36,K48,K59,K70,K76))</f>
        <v>454.36594324829076</v>
      </c>
      <c r="L10" s="4351">
        <f>IF(SUM(L11,L25,L36,L48,L59,L70,L76)=0,"NO",SUM(L11,L25,L36,L48,L59,L70,L76))</f>
        <v>10.482632130625005</v>
      </c>
    </row>
    <row r="11" spans="2:13" ht="18" customHeight="1" x14ac:dyDescent="0.2">
      <c r="B11" s="934" t="s">
        <v>1662</v>
      </c>
      <c r="C11" s="4352"/>
      <c r="D11" s="4353"/>
      <c r="E11" s="2866" t="s">
        <v>1661</v>
      </c>
      <c r="F11" s="4354">
        <f>IF(SUM(F12,F19)=0,"NO",SUM(F12,F19))</f>
        <v>14814629.974678168</v>
      </c>
      <c r="G11" s="4355" t="s">
        <v>205</v>
      </c>
      <c r="H11" s="4356">
        <f t="shared" si="0"/>
        <v>1.4107624280560099E-2</v>
      </c>
      <c r="I11" s="4357">
        <f t="shared" si="1"/>
        <v>2.4129841957757248E-4</v>
      </c>
      <c r="J11" s="4358" t="str">
        <f>IF(SUM(J12,J19)=0,"IE",SUM(J12,J19))</f>
        <v>IE</v>
      </c>
      <c r="K11" s="4359">
        <f>IF(SUM(K12,K19)=0,"NO",SUM(K12,K19))</f>
        <v>208.99923353828316</v>
      </c>
      <c r="L11" s="4360">
        <f>IF(SUM(L12,L19)=0,"NO",SUM(L12,L19))</f>
        <v>3.5747467995163746</v>
      </c>
      <c r="M11" s="472"/>
    </row>
    <row r="12" spans="2:13" ht="18" customHeight="1" x14ac:dyDescent="0.2">
      <c r="B12" s="906" t="s">
        <v>1663</v>
      </c>
      <c r="C12" s="4361"/>
      <c r="D12" s="4362"/>
      <c r="E12" s="4363" t="s">
        <v>1661</v>
      </c>
      <c r="F12" s="4364">
        <f>IF(SUM(F13,F17)=0,"NO",SUM(F13,F17))</f>
        <v>14750942.223951561</v>
      </c>
      <c r="G12" s="4365" t="str">
        <f>IFERROR(IF(SUM($F12)=0,"NA",J12*1000/$F12),"NA")</f>
        <v>NA</v>
      </c>
      <c r="H12" s="4366">
        <f t="shared" si="0"/>
        <v>1.3764892858005947E-2</v>
      </c>
      <c r="I12" s="4367">
        <f t="shared" si="1"/>
        <v>2.3711348509152078E-4</v>
      </c>
      <c r="J12" s="4170" t="str">
        <f>IF(SUM(J13,J17)=0,"IE",SUM(J13,J17))</f>
        <v>IE</v>
      </c>
      <c r="K12" s="3057">
        <f>IF(SUM(K13,K17)=0,"NO",SUM(K13,K17))</f>
        <v>203.0451392673292</v>
      </c>
      <c r="L12" s="3106">
        <f>IF(SUM(L13,L17)=0,"NO",SUM(L13,L17))</f>
        <v>3.4976473191048232</v>
      </c>
    </row>
    <row r="13" spans="2:13" ht="18" customHeight="1" x14ac:dyDescent="0.2">
      <c r="B13" s="926" t="s">
        <v>1664</v>
      </c>
      <c r="C13" s="4361"/>
      <c r="D13" s="4362"/>
      <c r="E13" s="4363" t="s">
        <v>1661</v>
      </c>
      <c r="F13" s="4368">
        <f>IF(SUM(F14:F16)=0,"NO",SUM(F14:F16))</f>
        <v>6782108.5107548181</v>
      </c>
      <c r="G13" s="4369" t="str">
        <f t="shared" ref="G13:G76" si="2">IFERROR(IF(SUM($F13)=0,"NA",J13*1000/$F13),"NA")</f>
        <v>NA</v>
      </c>
      <c r="H13" s="4370">
        <f t="shared" si="0"/>
        <v>2.3234573256358894E-2</v>
      </c>
      <c r="I13" s="4371">
        <f t="shared" si="1"/>
        <v>4.5365312144694407E-4</v>
      </c>
      <c r="J13" s="4170" t="str">
        <f>IF(SUM(J14:J16)=0,"IE",SUM(J14:J16))</f>
        <v>IE</v>
      </c>
      <c r="K13" s="4170">
        <f>IF(SUM(K14:K16)=0,"NO",SUM(K14:K16))</f>
        <v>157.57939702570795</v>
      </c>
      <c r="L13" s="4372">
        <f>IF(SUM(L14:L16)=0,"NO",SUM(L14:L16))</f>
        <v>3.0767246958958085</v>
      </c>
      <c r="M13" s="472"/>
    </row>
    <row r="14" spans="2:13" ht="18" customHeight="1" x14ac:dyDescent="0.2">
      <c r="B14" s="926"/>
      <c r="C14" s="2864" t="s">
        <v>1665</v>
      </c>
      <c r="D14" s="4373" t="s">
        <v>1219</v>
      </c>
      <c r="E14" s="4374" t="s">
        <v>1661</v>
      </c>
      <c r="F14" s="4375">
        <v>228751.43391120451</v>
      </c>
      <c r="G14" s="4369" t="str">
        <f t="shared" si="2"/>
        <v>NA</v>
      </c>
      <c r="H14" s="4370">
        <f>IF(SUM($F14)=0,"NA",K14*1000/$F14)</f>
        <v>0.13467049846350124</v>
      </c>
      <c r="I14" s="4371">
        <f>IF(SUM($F14)=0,"NA",L14*1000/$F14)</f>
        <v>1.3908963445316707E-3</v>
      </c>
      <c r="J14" s="4376" t="s">
        <v>274</v>
      </c>
      <c r="K14" s="4377">
        <v>30.80606962906257</v>
      </c>
      <c r="L14" s="4378">
        <v>0.31816953323347241</v>
      </c>
      <c r="M14" s="472"/>
    </row>
    <row r="15" spans="2:13" ht="18" customHeight="1" x14ac:dyDescent="0.2">
      <c r="B15" s="926"/>
      <c r="C15" s="2864" t="s">
        <v>1666</v>
      </c>
      <c r="D15" s="4373" t="s">
        <v>1219</v>
      </c>
      <c r="E15" s="4379" t="s">
        <v>1661</v>
      </c>
      <c r="F15" s="4380">
        <v>2497.7565264092059</v>
      </c>
      <c r="G15" s="4369" t="str">
        <f t="shared" si="2"/>
        <v>NA</v>
      </c>
      <c r="H15" s="4370">
        <f t="shared" ref="H15:H77" si="3">IF(SUM($F15)=0,"NA",K15*1000/$F15)</f>
        <v>2.5071057662830989</v>
      </c>
      <c r="I15" s="4371">
        <f t="shared" ref="I15:I77" si="4">IF(SUM($F15)=0,"NA",L15*1000/$F15)</f>
        <v>4.6346635762816731E-2</v>
      </c>
      <c r="J15" s="4376" t="s">
        <v>274</v>
      </c>
      <c r="K15" s="4377">
        <v>6.262139790131763</v>
      </c>
      <c r="L15" s="4381">
        <v>0.1157626119536858</v>
      </c>
      <c r="M15" s="472"/>
    </row>
    <row r="16" spans="2:13" ht="18" customHeight="1" x14ac:dyDescent="0.2">
      <c r="B16" s="926"/>
      <c r="C16" s="2864" t="s">
        <v>1342</v>
      </c>
      <c r="D16" s="4373" t="s">
        <v>1219</v>
      </c>
      <c r="E16" s="4379" t="s">
        <v>1661</v>
      </c>
      <c r="F16" s="4380">
        <v>6550859.3203172041</v>
      </c>
      <c r="G16" s="4369" t="str">
        <f t="shared" si="2"/>
        <v>NA</v>
      </c>
      <c r="H16" s="4370">
        <f t="shared" si="3"/>
        <v>1.8396241121031776E-2</v>
      </c>
      <c r="I16" s="4371">
        <f t="shared" si="4"/>
        <v>4.0342685157535659E-4</v>
      </c>
      <c r="J16" s="4376" t="s">
        <v>274</v>
      </c>
      <c r="K16" s="4377">
        <v>120.51118760651362</v>
      </c>
      <c r="L16" s="4381">
        <v>2.6427925507086503</v>
      </c>
      <c r="M16" s="472"/>
    </row>
    <row r="17" spans="2:13" ht="18" customHeight="1" x14ac:dyDescent="0.2">
      <c r="B17" s="926" t="s">
        <v>1667</v>
      </c>
      <c r="C17" s="4361"/>
      <c r="D17" s="4362"/>
      <c r="E17" s="4382" t="s">
        <v>1661</v>
      </c>
      <c r="F17" s="4368">
        <f>F18</f>
        <v>7968833.7131967433</v>
      </c>
      <c r="G17" s="4369" t="str">
        <f t="shared" si="2"/>
        <v>NA</v>
      </c>
      <c r="H17" s="4370">
        <f t="shared" si="3"/>
        <v>5.7054449719948289E-3</v>
      </c>
      <c r="I17" s="4371">
        <f t="shared" si="4"/>
        <v>5.2821107624814383E-5</v>
      </c>
      <c r="J17" s="4170" t="str">
        <f>J18</f>
        <v>IE</v>
      </c>
      <c r="K17" s="4170">
        <f>K18</f>
        <v>45.465742241621243</v>
      </c>
      <c r="L17" s="4372">
        <f>L18</f>
        <v>0.42092262320901441</v>
      </c>
      <c r="M17" s="472"/>
    </row>
    <row r="18" spans="2:13" ht="18" customHeight="1" x14ac:dyDescent="0.2">
      <c r="B18" s="926"/>
      <c r="C18" s="2864" t="s">
        <v>1668</v>
      </c>
      <c r="D18" s="4373" t="s">
        <v>1219</v>
      </c>
      <c r="E18" s="4379" t="s">
        <v>1661</v>
      </c>
      <c r="F18" s="4375">
        <v>7968833.7131967433</v>
      </c>
      <c r="G18" s="4369" t="str">
        <f t="shared" si="2"/>
        <v>NA</v>
      </c>
      <c r="H18" s="4370">
        <f t="shared" si="3"/>
        <v>5.7054449719948289E-3</v>
      </c>
      <c r="I18" s="4371">
        <f t="shared" si="4"/>
        <v>5.2821107624814383E-5</v>
      </c>
      <c r="J18" s="4376" t="s">
        <v>274</v>
      </c>
      <c r="K18" s="4377">
        <v>45.465742241621243</v>
      </c>
      <c r="L18" s="4378">
        <v>0.42092262320901441</v>
      </c>
      <c r="M18" s="472"/>
    </row>
    <row r="19" spans="2:13" ht="18" customHeight="1" x14ac:dyDescent="0.2">
      <c r="B19" s="906" t="s">
        <v>1669</v>
      </c>
      <c r="C19" s="4361"/>
      <c r="D19" s="4362"/>
      <c r="E19" s="4382" t="s">
        <v>1661</v>
      </c>
      <c r="F19" s="4383">
        <f>IF(SUM(F20,F23)=0,"NO",SUM(F20,F23))</f>
        <v>63687.750726606828</v>
      </c>
      <c r="G19" s="4365" t="s">
        <v>205</v>
      </c>
      <c r="H19" s="4366">
        <f t="shared" si="3"/>
        <v>9.3488845233570428E-2</v>
      </c>
      <c r="I19" s="4367">
        <f t="shared" si="4"/>
        <v>1.210585701833267E-3</v>
      </c>
      <c r="J19" s="4170" t="str">
        <f>IF(SUM(J20,J23)=0,"IE",SUM(J20,J23))</f>
        <v>IE</v>
      </c>
      <c r="K19" s="3057">
        <f>IF(SUM(K20,K23)=0,"NO",SUM(K20,K23))</f>
        <v>5.9540942709539584</v>
      </c>
      <c r="L19" s="3106">
        <f>IF(SUM(L20,L23)=0,"NO",SUM(L20,L23))</f>
        <v>7.7099480411551485E-2</v>
      </c>
    </row>
    <row r="20" spans="2:13" ht="18" customHeight="1" x14ac:dyDescent="0.2">
      <c r="B20" s="926" t="s">
        <v>1670</v>
      </c>
      <c r="C20" s="4361"/>
      <c r="D20" s="4362"/>
      <c r="E20" s="4382" t="s">
        <v>1661</v>
      </c>
      <c r="F20" s="4368">
        <f>IF(SUM(F21:F22)=0,"NO",SUM(F21:F22))</f>
        <v>2572.1752406666446</v>
      </c>
      <c r="G20" s="4369" t="str">
        <f t="shared" si="2"/>
        <v>NA</v>
      </c>
      <c r="H20" s="4370">
        <f t="shared" si="3"/>
        <v>0.89702588094146951</v>
      </c>
      <c r="I20" s="4371">
        <f t="shared" si="4"/>
        <v>1.6704504492589776E-2</v>
      </c>
      <c r="J20" s="4170" t="str">
        <f>IF(SUM(J21:J22)=0,"IE",SUM(J21:J22))</f>
        <v>IE</v>
      </c>
      <c r="K20" s="4170">
        <f>IF(SUM(K21:K22)=0,"NO",SUM(K21:K22))</f>
        <v>2.3073077611948332</v>
      </c>
      <c r="L20" s="4372">
        <f>IF(SUM(L21:L22)=0,"NO",SUM(L21:L22))</f>
        <v>4.2966912863444152E-2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2.2363897464763389</v>
      </c>
      <c r="L21" s="4378">
        <v>4.134214934111121E-2</v>
      </c>
      <c r="M21" s="472"/>
    </row>
    <row r="22" spans="2:13" ht="18" customHeight="1" x14ac:dyDescent="0.2">
      <c r="B22" s="926"/>
      <c r="C22" s="2864" t="s">
        <v>1342</v>
      </c>
      <c r="D22" s="4373" t="s">
        <v>1219</v>
      </c>
      <c r="E22" s="4379" t="s">
        <v>1661</v>
      </c>
      <c r="F22" s="4380">
        <v>2572.1752406666446</v>
      </c>
      <c r="G22" s="4369" t="str">
        <f t="shared" si="2"/>
        <v>NA</v>
      </c>
      <c r="H22" s="4370">
        <f t="shared" si="3"/>
        <v>2.757122205255113E-2</v>
      </c>
      <c r="I22" s="4371">
        <f t="shared" si="4"/>
        <v>6.3166906229602019E-4</v>
      </c>
      <c r="J22" s="4376" t="s">
        <v>274</v>
      </c>
      <c r="K22" s="4377">
        <v>7.091801471849421E-2</v>
      </c>
      <c r="L22" s="4381">
        <v>1.6247635223329395E-3</v>
      </c>
      <c r="M22" s="472"/>
    </row>
    <row r="23" spans="2:13" ht="18" customHeight="1" x14ac:dyDescent="0.2">
      <c r="B23" s="926" t="s">
        <v>1671</v>
      </c>
      <c r="C23" s="4361"/>
      <c r="D23" s="4362"/>
      <c r="E23" s="4382" t="s">
        <v>1661</v>
      </c>
      <c r="F23" s="4368">
        <f>F24</f>
        <v>61115.575485940186</v>
      </c>
      <c r="G23" s="4369" t="str">
        <f t="shared" si="2"/>
        <v>NA</v>
      </c>
      <c r="H23" s="4370">
        <f t="shared" si="3"/>
        <v>5.9670329220708702E-2</v>
      </c>
      <c r="I23" s="4371">
        <f t="shared" si="4"/>
        <v>5.5849212376245434E-4</v>
      </c>
      <c r="J23" s="4170" t="str">
        <f>J24</f>
        <v>IE</v>
      </c>
      <c r="K23" s="4170">
        <f>K24</f>
        <v>3.6467865097591252</v>
      </c>
      <c r="L23" s="4372">
        <f>L24</f>
        <v>3.4132567548107326E-2</v>
      </c>
      <c r="M23" s="472"/>
    </row>
    <row r="24" spans="2:13" ht="18" customHeight="1" thickBot="1" x14ac:dyDescent="0.25">
      <c r="B24" s="936"/>
      <c r="C24" s="2865" t="s">
        <v>1672</v>
      </c>
      <c r="D24" s="4384" t="s">
        <v>1219</v>
      </c>
      <c r="E24" s="4385" t="s">
        <v>1661</v>
      </c>
      <c r="F24" s="4386">
        <v>61115.575485940186</v>
      </c>
      <c r="G24" s="4387" t="str">
        <f t="shared" si="2"/>
        <v>NA</v>
      </c>
      <c r="H24" s="4388">
        <f t="shared" si="3"/>
        <v>5.9670329220708702E-2</v>
      </c>
      <c r="I24" s="4389">
        <f t="shared" si="4"/>
        <v>5.5849212376245434E-4</v>
      </c>
      <c r="J24" s="4390" t="s">
        <v>274</v>
      </c>
      <c r="K24" s="4391">
        <v>3.6467865097591252</v>
      </c>
      <c r="L24" s="4392">
        <v>3.4132567548107326E-2</v>
      </c>
      <c r="M24" s="472"/>
    </row>
    <row r="25" spans="2:13" ht="18" customHeight="1" x14ac:dyDescent="0.2">
      <c r="B25" s="934" t="s">
        <v>1673</v>
      </c>
      <c r="C25" s="4352"/>
      <c r="D25" s="4353"/>
      <c r="E25" s="4393" t="s">
        <v>1661</v>
      </c>
      <c r="F25" s="4394">
        <f>IF(SUM(F26,F31)=0,"IE",SUM(F26,F31))</f>
        <v>10090.321115402756</v>
      </c>
      <c r="G25" s="4355" t="str">
        <f t="shared" si="2"/>
        <v>NA</v>
      </c>
      <c r="H25" s="4356">
        <f t="shared" si="3"/>
        <v>5.5183566889607003E-2</v>
      </c>
      <c r="I25" s="4357">
        <f t="shared" si="4"/>
        <v>1.0201295490287073E-3</v>
      </c>
      <c r="J25" s="4358" t="str">
        <f>IF(SUM(J26,J31)=0,"IE",SUM(J26,J31))</f>
        <v>IE</v>
      </c>
      <c r="K25" s="4359">
        <f>IF(SUM(K26,K31)=0,"IE",SUM(K26,K31))</f>
        <v>0.55681991020944188</v>
      </c>
      <c r="L25" s="4360">
        <f>IF(SUM(L26,L31)=0,"IE",SUM(L26,L31))</f>
        <v>1.0293434729010656E-2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10090.321115402756</v>
      </c>
      <c r="G31" s="4365" t="str">
        <f t="shared" si="2"/>
        <v>NA</v>
      </c>
      <c r="H31" s="4366">
        <f t="shared" si="3"/>
        <v>5.5183566889607003E-2</v>
      </c>
      <c r="I31" s="4367">
        <f t="shared" si="4"/>
        <v>1.0201295490287073E-3</v>
      </c>
      <c r="J31" s="4170" t="str">
        <f>IF(SUM(J32,J34)=0,"IE",SUM(J32,J34))</f>
        <v>IE</v>
      </c>
      <c r="K31" s="4170">
        <f t="shared" ref="K31:L31" si="6">IF(SUM(K32,K34)=0,"IE",SUM(K32,K34))</f>
        <v>0.55681991020944188</v>
      </c>
      <c r="L31" s="4372">
        <f t="shared" si="6"/>
        <v>1.0293434729010656E-2</v>
      </c>
    </row>
    <row r="32" spans="2:13" ht="18" customHeight="1" x14ac:dyDescent="0.2">
      <c r="B32" s="926" t="s">
        <v>1678</v>
      </c>
      <c r="C32" s="4361"/>
      <c r="D32" s="4362"/>
      <c r="E32" s="4382" t="s">
        <v>1661</v>
      </c>
      <c r="F32" s="4368">
        <f>F33</f>
        <v>10090.321115402756</v>
      </c>
      <c r="G32" s="4365" t="str">
        <f t="shared" si="2"/>
        <v>NA</v>
      </c>
      <c r="H32" s="4366">
        <f t="shared" si="3"/>
        <v>5.5183566889607003E-2</v>
      </c>
      <c r="I32" s="4367">
        <f t="shared" si="4"/>
        <v>1.0201295490287073E-3</v>
      </c>
      <c r="J32" s="4170" t="str">
        <f>J33</f>
        <v>IE</v>
      </c>
      <c r="K32" s="4170">
        <f>K33</f>
        <v>0.55681991020944188</v>
      </c>
      <c r="L32" s="4372">
        <f>L33</f>
        <v>1.0293434729010656E-2</v>
      </c>
      <c r="M32" s="472"/>
    </row>
    <row r="33" spans="2:13" ht="18" customHeight="1" x14ac:dyDescent="0.2">
      <c r="B33" s="926"/>
      <c r="C33" s="2864" t="s">
        <v>1679</v>
      </c>
      <c r="D33" s="4373" t="s">
        <v>1219</v>
      </c>
      <c r="E33" s="4379" t="s">
        <v>1661</v>
      </c>
      <c r="F33" s="4375">
        <v>10090.321115402756</v>
      </c>
      <c r="G33" s="4369" t="str">
        <f t="shared" si="2"/>
        <v>NA</v>
      </c>
      <c r="H33" s="4370">
        <f t="shared" si="3"/>
        <v>5.5183566889607003E-2</v>
      </c>
      <c r="I33" s="4371">
        <f t="shared" si="4"/>
        <v>1.0201295490287073E-3</v>
      </c>
      <c r="J33" s="4376" t="s">
        <v>274</v>
      </c>
      <c r="K33" s="4377">
        <v>0.55681991020944188</v>
      </c>
      <c r="L33" s="4378">
        <v>1.0293434729010656E-2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18127348.047857877</v>
      </c>
      <c r="G36" s="4355" t="str">
        <f t="shared" si="2"/>
        <v>NA</v>
      </c>
      <c r="H36" s="4356">
        <f t="shared" ref="H36" si="7">IF(SUM($F36)=0,"NA",K36*1000/$F36)</f>
        <v>1.2683025902607109E-2</v>
      </c>
      <c r="I36" s="4357">
        <f t="shared" ref="I36" si="8">IF(SUM($F36)=0,"NA",L36*1000/$F36)</f>
        <v>3.6247122663947748E-4</v>
      </c>
      <c r="J36" s="4358" t="str">
        <f>IF(SUM(J37,J42)=0,"IE",SUM(J37,J42))</f>
        <v>IE</v>
      </c>
      <c r="K36" s="4359">
        <f>IF(SUM(K37,K42)=0,"NO",SUM(K37,K42))</f>
        <v>229.90962483655585</v>
      </c>
      <c r="L36" s="4360">
        <f>IF(SUM(L37,L42)=0,"NO",SUM(L37,L42))</f>
        <v>6.5706420826277823</v>
      </c>
      <c r="M36" s="472"/>
    </row>
    <row r="37" spans="2:13" ht="18" customHeight="1" x14ac:dyDescent="0.2">
      <c r="B37" s="906" t="s">
        <v>1682</v>
      </c>
      <c r="C37" s="4361"/>
      <c r="D37" s="4362"/>
      <c r="E37" s="4382" t="s">
        <v>1661</v>
      </c>
      <c r="F37" s="4364">
        <f>IF(SUM(F38,F40)=0,"NO",SUM(F38,F40))</f>
        <v>17786492.510200139</v>
      </c>
      <c r="G37" s="4369" t="str">
        <f t="shared" si="2"/>
        <v>NA</v>
      </c>
      <c r="H37" s="4366">
        <f t="shared" si="3"/>
        <v>1.1104518059544214E-2</v>
      </c>
      <c r="I37" s="4367">
        <f t="shared" si="4"/>
        <v>3.3552490975509414E-4</v>
      </c>
      <c r="J37" s="4170" t="str">
        <f>IF(SUM(J38,J40)=0,"IE",SUM(J38,J40))</f>
        <v>IE</v>
      </c>
      <c r="K37" s="3057">
        <f>IF(SUM(K38,K40)=0,"NO",SUM(K38,K40))</f>
        <v>197.51042729546535</v>
      </c>
      <c r="L37" s="3106">
        <f>IF(SUM(L38,L40)=0,"NO",SUM(L38,L40))</f>
        <v>5.9678112943445596</v>
      </c>
    </row>
    <row r="38" spans="2:13" ht="18" customHeight="1" x14ac:dyDescent="0.2">
      <c r="B38" s="926" t="s">
        <v>1683</v>
      </c>
      <c r="C38" s="4361"/>
      <c r="D38" s="4362"/>
      <c r="E38" s="4382" t="s">
        <v>1661</v>
      </c>
      <c r="F38" s="4368">
        <f>F39</f>
        <v>17786492.510200139</v>
      </c>
      <c r="G38" s="4369" t="str">
        <f t="shared" si="2"/>
        <v>NA</v>
      </c>
      <c r="H38" s="4370">
        <f t="shared" si="3"/>
        <v>1.1104518059544214E-2</v>
      </c>
      <c r="I38" s="4371">
        <f t="shared" si="4"/>
        <v>3.3552490975509414E-4</v>
      </c>
      <c r="J38" s="4170" t="str">
        <f>J39</f>
        <v>IE</v>
      </c>
      <c r="K38" s="4170">
        <f>K39</f>
        <v>197.51042729546535</v>
      </c>
      <c r="L38" s="4372">
        <f>L39</f>
        <v>5.9678112943445596</v>
      </c>
      <c r="M38" s="472"/>
    </row>
    <row r="39" spans="2:13" ht="18" customHeight="1" x14ac:dyDescent="0.2">
      <c r="B39" s="926"/>
      <c r="C39" s="2864" t="s">
        <v>1342</v>
      </c>
      <c r="D39" s="4373" t="s">
        <v>1219</v>
      </c>
      <c r="E39" s="4379" t="s">
        <v>1661</v>
      </c>
      <c r="F39" s="4380">
        <v>17786492.510200139</v>
      </c>
      <c r="G39" s="4369" t="str">
        <f t="shared" si="2"/>
        <v>NA</v>
      </c>
      <c r="H39" s="4370">
        <f t="shared" ref="H39:H40" si="9">IF(SUM($F39)=0,"NA",K39*1000/$F39)</f>
        <v>1.1104518059544214E-2</v>
      </c>
      <c r="I39" s="4371">
        <f t="shared" ref="I39:I40" si="10">IF(SUM($F39)=0,"NA",L39*1000/$F39)</f>
        <v>3.3552490975509414E-4</v>
      </c>
      <c r="J39" s="4376" t="s">
        <v>274</v>
      </c>
      <c r="K39" s="4377">
        <v>197.51042729546535</v>
      </c>
      <c r="L39" s="4381">
        <v>5.9678112943445596</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340855.53765773785</v>
      </c>
      <c r="G42" s="4365" t="str">
        <f t="shared" si="2"/>
        <v>NA</v>
      </c>
      <c r="H42" s="4366">
        <f t="shared" si="11"/>
        <v>9.505257788601168E-2</v>
      </c>
      <c r="I42" s="4367">
        <f t="shared" si="12"/>
        <v>1.7685814712757916E-3</v>
      </c>
      <c r="J42" s="4170" t="str">
        <f>IF(SUM(J43,J46)=0,"IE",SUM(J43,J46))</f>
        <v>IE</v>
      </c>
      <c r="K42" s="3057">
        <f>IF(SUM(K43,K46)=0,"NO",SUM(K43,K46))</f>
        <v>32.399197541090516</v>
      </c>
      <c r="L42" s="3106">
        <f>IF(SUM(L43,L46)=0,"NO",SUM(L43,L46))</f>
        <v>0.60283078828322301</v>
      </c>
    </row>
    <row r="43" spans="2:13" ht="18" customHeight="1" x14ac:dyDescent="0.2">
      <c r="B43" s="926" t="s">
        <v>1686</v>
      </c>
      <c r="C43" s="4361"/>
      <c r="D43" s="4362"/>
      <c r="E43" s="4382" t="s">
        <v>1661</v>
      </c>
      <c r="F43" s="4368">
        <f>IF(SUM(F44:F45)=0,"NO",SUM(F44:F45))</f>
        <v>340855.53765773785</v>
      </c>
      <c r="G43" s="4369" t="str">
        <f t="shared" si="2"/>
        <v>NA</v>
      </c>
      <c r="H43" s="4370">
        <f t="shared" ref="H43" si="13">IF(SUM($F43)=0,"NA",K43*1000/$F43)</f>
        <v>9.505257788601168E-2</v>
      </c>
      <c r="I43" s="4371">
        <f t="shared" ref="I43" si="14">IF(SUM($F43)=0,"NA",L43*1000/$F43)</f>
        <v>1.7685814712757916E-3</v>
      </c>
      <c r="J43" s="4170" t="str">
        <f>IF(SUM(J44:J45)=0,"IE",SUM(J44:J45))</f>
        <v>IE</v>
      </c>
      <c r="K43" s="4170">
        <f>IF(SUM(K44:K45)=0,"NO",SUM(K44:K45))</f>
        <v>32.399197541090516</v>
      </c>
      <c r="L43" s="4372">
        <f>IF(SUM(L44:L45)=0,"NO",SUM(L44:L45))</f>
        <v>0.60283078828322301</v>
      </c>
      <c r="M43" s="472"/>
    </row>
    <row r="44" spans="2:13" ht="18" customHeight="1" x14ac:dyDescent="0.2">
      <c r="B44" s="926"/>
      <c r="C44" s="2864" t="s">
        <v>1679</v>
      </c>
      <c r="D44" s="4373" t="s">
        <v>1219</v>
      </c>
      <c r="E44" s="4379" t="s">
        <v>1661</v>
      </c>
      <c r="F44" s="4380">
        <v>296456.29106125358</v>
      </c>
      <c r="G44" s="4369" t="str">
        <f t="shared" si="2"/>
        <v>NA</v>
      </c>
      <c r="H44" s="4370">
        <f t="shared" ref="H44:H46" si="15">IF(SUM($F44)=0,"NA",K44*1000/$F44)</f>
        <v>0.10620497866155713</v>
      </c>
      <c r="I44" s="4371">
        <f t="shared" ref="I44:I46" si="16">IF(SUM($F44)=0,"NA",L44*1000/$F44)</f>
        <v>1.9633170360907289E-3</v>
      </c>
      <c r="J44" s="4376" t="s">
        <v>274</v>
      </c>
      <c r="K44" s="4377">
        <v>31.485134066244807</v>
      </c>
      <c r="L44" s="4381">
        <v>0.58203768669683087</v>
      </c>
      <c r="M44" s="472"/>
    </row>
    <row r="45" spans="2:13" ht="18" customHeight="1" x14ac:dyDescent="0.2">
      <c r="B45" s="926"/>
      <c r="C45" s="2864" t="s">
        <v>1342</v>
      </c>
      <c r="D45" s="4373" t="s">
        <v>1219</v>
      </c>
      <c r="E45" s="4379" t="s">
        <v>1661</v>
      </c>
      <c r="F45" s="4380">
        <v>44399.2465964843</v>
      </c>
      <c r="G45" s="4369" t="str">
        <f t="shared" si="2"/>
        <v>NA</v>
      </c>
      <c r="H45" s="4370">
        <f t="shared" si="15"/>
        <v>2.0587364536903869E-2</v>
      </c>
      <c r="I45" s="4371">
        <f t="shared" si="16"/>
        <v>4.6832104552059359E-4</v>
      </c>
      <c r="J45" s="4376" t="s">
        <v>274</v>
      </c>
      <c r="K45" s="4377">
        <v>0.91406347484571071</v>
      </c>
      <c r="L45" s="4381">
        <v>2.0793101586392183E-2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723168.18952479574</v>
      </c>
      <c r="G48" s="4355" t="str">
        <f t="shared" si="2"/>
        <v>NA</v>
      </c>
      <c r="H48" s="4356">
        <f t="shared" si="17"/>
        <v>1.975109086519268E-2</v>
      </c>
      <c r="I48" s="4357">
        <f t="shared" si="18"/>
        <v>4.3633784799673329E-4</v>
      </c>
      <c r="J48" s="4358" t="str">
        <f>IF(SUM(J49,J54)=0,"IE",SUM(J49,J54))</f>
        <v>IE</v>
      </c>
      <c r="K48" s="4359">
        <f>IF(SUM(K49,K54)=0,"NO",SUM(K49,K54))</f>
        <v>14.283360622121123</v>
      </c>
      <c r="L48" s="4360">
        <f>IF(SUM(L49,L54)=0,"NO",SUM(L49,L54))</f>
        <v>0.31554565155694314</v>
      </c>
      <c r="M48" s="472"/>
    </row>
    <row r="49" spans="2:13" ht="18" customHeight="1" x14ac:dyDescent="0.2">
      <c r="B49" s="906" t="s">
        <v>1689</v>
      </c>
      <c r="C49" s="4361"/>
      <c r="D49" s="4362"/>
      <c r="E49" s="4382" t="s">
        <v>1661</v>
      </c>
      <c r="F49" s="4364">
        <f>IF(SUM(F50,F52)=0,"NO",SUM(F50,F52))</f>
        <v>723168.18952479574</v>
      </c>
      <c r="G49" s="4365" t="str">
        <f t="shared" si="2"/>
        <v>NA</v>
      </c>
      <c r="H49" s="4366">
        <f t="shared" si="17"/>
        <v>1.975109086519268E-2</v>
      </c>
      <c r="I49" s="4367">
        <f t="shared" si="18"/>
        <v>4.3633784799673329E-4</v>
      </c>
      <c r="J49" s="4170" t="str">
        <f>IF(SUM(J50,J52)=0,"IE",SUM(J50,J52))</f>
        <v>IE</v>
      </c>
      <c r="K49" s="3057">
        <f>IF(SUM(K50,K52)=0,"NO",SUM(K50,K52))</f>
        <v>14.283360622121123</v>
      </c>
      <c r="L49" s="3106">
        <f>IF(SUM(L50,L52)=0,"NO",SUM(L50,L52))</f>
        <v>0.31554565155694314</v>
      </c>
    </row>
    <row r="50" spans="2:13" ht="18" customHeight="1" x14ac:dyDescent="0.2">
      <c r="B50" s="926" t="s">
        <v>1690</v>
      </c>
      <c r="C50" s="4361"/>
      <c r="D50" s="4362"/>
      <c r="E50" s="4382" t="s">
        <v>1661</v>
      </c>
      <c r="F50" s="4368">
        <f>F51</f>
        <v>723168.18952479574</v>
      </c>
      <c r="G50" s="4369" t="str">
        <f t="shared" si="2"/>
        <v>NA</v>
      </c>
      <c r="H50" s="4370">
        <f t="shared" si="17"/>
        <v>1.975109086519268E-2</v>
      </c>
      <c r="I50" s="4371">
        <f t="shared" si="18"/>
        <v>4.3633784799673329E-4</v>
      </c>
      <c r="J50" s="4170" t="str">
        <f>J51</f>
        <v>IE</v>
      </c>
      <c r="K50" s="4170">
        <f>K51</f>
        <v>14.283360622121123</v>
      </c>
      <c r="L50" s="4372">
        <f>L51</f>
        <v>0.31554565155694314</v>
      </c>
      <c r="M50" s="472"/>
    </row>
    <row r="51" spans="2:13" ht="18" customHeight="1" x14ac:dyDescent="0.2">
      <c r="B51" s="926"/>
      <c r="C51" s="2864" t="s">
        <v>1342</v>
      </c>
      <c r="D51" s="4373" t="s">
        <v>1219</v>
      </c>
      <c r="E51" s="4379" t="s">
        <v>1661</v>
      </c>
      <c r="F51" s="4380">
        <v>723168.18952479574</v>
      </c>
      <c r="G51" s="4369" t="str">
        <f t="shared" si="2"/>
        <v>NA</v>
      </c>
      <c r="H51" s="4370">
        <f t="shared" si="17"/>
        <v>1.975109086519268E-2</v>
      </c>
      <c r="I51" s="4371">
        <f t="shared" si="18"/>
        <v>4.3633784799673329E-4</v>
      </c>
      <c r="J51" s="4376" t="s">
        <v>274</v>
      </c>
      <c r="K51" s="4377">
        <v>14.283360622121123</v>
      </c>
      <c r="L51" s="4381">
        <v>0.31554565155694314</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5695.4634456539789</v>
      </c>
      <c r="G59" s="4355" t="str">
        <f t="shared" si="2"/>
        <v>NA</v>
      </c>
      <c r="H59" s="4356">
        <f t="shared" si="3"/>
        <v>0.10831503827698447</v>
      </c>
      <c r="I59" s="4357">
        <f t="shared" si="4"/>
        <v>2.0023238325925872E-3</v>
      </c>
      <c r="J59" s="4358" t="str">
        <f>IF(SUM(J60,J65)=0,"IE",SUM(J60,J65))</f>
        <v>IE</v>
      </c>
      <c r="K59" s="4359">
        <f>IF(SUM(K60,K65)=0,"NO",SUM(K60,K65))</f>
        <v>0.61690434112117654</v>
      </c>
      <c r="L59" s="4360">
        <f>IF(SUM(L60,L65)=0,"NO",SUM(L60,L65))</f>
        <v>1.1404162194892858E-2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5695.4634456539789</v>
      </c>
      <c r="G65" s="4365" t="str">
        <f t="shared" si="2"/>
        <v>NA</v>
      </c>
      <c r="H65" s="4366">
        <f t="shared" si="3"/>
        <v>0.10831503827698447</v>
      </c>
      <c r="I65" s="4367">
        <f t="shared" si="4"/>
        <v>2.0023238325925872E-3</v>
      </c>
      <c r="J65" s="4170" t="str">
        <f>IF(SUM(J66,J68)=0,"IE",SUM(J66,J68))</f>
        <v>IE</v>
      </c>
      <c r="K65" s="3057">
        <f>IF(SUM(K66,K68)=0,"NO",SUM(K66,K68))</f>
        <v>0.61690434112117654</v>
      </c>
      <c r="L65" s="3106">
        <f>IF(SUM(L66,L68)=0,"NO",SUM(L66,L68))</f>
        <v>1.1404162194892858E-2</v>
      </c>
    </row>
    <row r="66" spans="2:13" ht="18" customHeight="1" x14ac:dyDescent="0.2">
      <c r="B66" s="926" t="s">
        <v>1700</v>
      </c>
      <c r="C66" s="4361"/>
      <c r="D66" s="4362"/>
      <c r="E66" s="4382" t="s">
        <v>1661</v>
      </c>
      <c r="F66" s="4368">
        <f>F67</f>
        <v>5695.4634456539789</v>
      </c>
      <c r="G66" s="4369" t="str">
        <f t="shared" si="2"/>
        <v>NA</v>
      </c>
      <c r="H66" s="4370">
        <f t="shared" si="3"/>
        <v>0.10831503827698447</v>
      </c>
      <c r="I66" s="4371">
        <f t="shared" si="4"/>
        <v>2.0023238325925872E-3</v>
      </c>
      <c r="J66" s="4170" t="str">
        <f>J67</f>
        <v>IE</v>
      </c>
      <c r="K66" s="4170">
        <f>K67</f>
        <v>0.61690434112117654</v>
      </c>
      <c r="L66" s="4372">
        <f>L67</f>
        <v>1.1404162194892858E-2</v>
      </c>
      <c r="M66" s="472"/>
    </row>
    <row r="67" spans="2:13" ht="18" customHeight="1" x14ac:dyDescent="0.2">
      <c r="B67" s="926"/>
      <c r="C67" s="2864" t="s">
        <v>1679</v>
      </c>
      <c r="D67" s="4373" t="s">
        <v>1219</v>
      </c>
      <c r="E67" s="4379" t="s">
        <v>1661</v>
      </c>
      <c r="F67" s="4380">
        <v>5695.4634456539789</v>
      </c>
      <c r="G67" s="4369" t="str">
        <f t="shared" si="2"/>
        <v>NA</v>
      </c>
      <c r="H67" s="4370">
        <f t="shared" ref="H67:H68" si="23">IF(SUM($F67)=0,"NA",K67*1000/$F67)</f>
        <v>0.10831503827698447</v>
      </c>
      <c r="I67" s="4371">
        <f t="shared" ref="I67:I68" si="24">IF(SUM($F67)=0,"NA",L67*1000/$F67)</f>
        <v>2.0023238325925872E-3</v>
      </c>
      <c r="J67" s="4376" t="s">
        <v>274</v>
      </c>
      <c r="K67" s="4377">
        <v>0.61690434112117654</v>
      </c>
      <c r="L67" s="4381">
        <v>1.1404162194892858E-2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7" t="s">
        <v>1707</v>
      </c>
      <c r="C95" s="4508"/>
      <c r="D95" s="4508"/>
      <c r="E95" s="4508"/>
      <c r="F95" s="4508"/>
      <c r="G95" s="4508"/>
      <c r="H95" s="4508"/>
      <c r="I95" s="4508"/>
      <c r="J95" s="4508"/>
      <c r="K95" s="4508"/>
      <c r="L95" s="4509"/>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4041.5046715001158</v>
      </c>
      <c r="D10" s="3463">
        <f>IF(SUM(D11,D16:D17)=0,"NO",SUM(D11,D16:D17))</f>
        <v>-2836.1089587544584</v>
      </c>
      <c r="E10" s="3464"/>
      <c r="F10" s="3465">
        <f>IF(SUM(F11,F16:F17)=0,"NO",SUM(F11,F16:F17))</f>
        <v>1205.3957127456572</v>
      </c>
      <c r="G10" s="3466">
        <f>IF(SUM(G11,G16:G17)=0,"NO",SUM(G11,G16:G17))</f>
        <v>-4419.7842800674098</v>
      </c>
      <c r="H10" s="226"/>
      <c r="I10" s="2"/>
      <c r="J10" s="2"/>
    </row>
    <row r="11" spans="1:10" ht="18" customHeight="1" x14ac:dyDescent="0.2">
      <c r="B11" s="592" t="s">
        <v>1722</v>
      </c>
      <c r="C11" s="3467">
        <f>IF(SUM(C13:C15)=0,"NO",SUM(C13:C15))</f>
        <v>1619.982768520701</v>
      </c>
      <c r="D11" s="3468">
        <f>IF(SUM(D13:D15)=0,"NO",SUM(D13:D15))</f>
        <v>-709.08234766261467</v>
      </c>
      <c r="E11" s="3469"/>
      <c r="F11" s="3470">
        <f>IF(SUM(F13:F15)=0,"NO",SUM(F13:F15))</f>
        <v>910.90042085808614</v>
      </c>
      <c r="G11" s="3471">
        <f>IF(SUM(G13:G15)=0,"NO",SUM(G13:G15))</f>
        <v>-3339.9682098129829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1052.2519770134372</v>
      </c>
      <c r="D13" s="3476">
        <f>F13-C13</f>
        <v>-428.8912643098289</v>
      </c>
      <c r="E13" s="3477" t="s">
        <v>205</v>
      </c>
      <c r="F13" s="3478">
        <f>G13/(-44/12)</f>
        <v>623.36071270360833</v>
      </c>
      <c r="G13" s="3479">
        <v>-2285.6559465798973</v>
      </c>
      <c r="H13" s="226"/>
      <c r="I13" s="2"/>
      <c r="J13" s="2"/>
    </row>
    <row r="14" spans="1:10" ht="18" customHeight="1" x14ac:dyDescent="0.2">
      <c r="B14" s="1192" t="s">
        <v>1724</v>
      </c>
      <c r="C14" s="3480">
        <v>567.73079150726369</v>
      </c>
      <c r="D14" s="3481">
        <f>F14-C14</f>
        <v>-280.19108335278582</v>
      </c>
      <c r="E14" s="3202" t="s">
        <v>205</v>
      </c>
      <c r="F14" s="3482">
        <f>G14/(-44/12)</f>
        <v>287.53970815447786</v>
      </c>
      <c r="G14" s="3479">
        <v>-1054.3122632330856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1642.1607342574066</v>
      </c>
      <c r="D16" s="3481">
        <f>F16-C16</f>
        <v>-1683.9537393761211</v>
      </c>
      <c r="E16" s="3202" t="s">
        <v>205</v>
      </c>
      <c r="F16" s="3482">
        <f>G16/(-44/12)</f>
        <v>-41.793005118714404</v>
      </c>
      <c r="G16" s="3479">
        <v>153.24101876861948</v>
      </c>
      <c r="H16" s="226"/>
      <c r="I16" s="2"/>
      <c r="J16" s="2"/>
    </row>
    <row r="17" spans="2:10" ht="18" customHeight="1" x14ac:dyDescent="0.2">
      <c r="B17" s="1196" t="s">
        <v>1727</v>
      </c>
      <c r="C17" s="3484">
        <f>C18</f>
        <v>779.36116872200819</v>
      </c>
      <c r="D17" s="3485">
        <f t="shared" ref="D17:F17" si="0">D18</f>
        <v>-443.07287171572278</v>
      </c>
      <c r="E17" s="3486"/>
      <c r="F17" s="3193">
        <f t="shared" si="0"/>
        <v>336.2882970062854</v>
      </c>
      <c r="G17" s="3479">
        <f>-F17*44/12</f>
        <v>-1233.0570890230465</v>
      </c>
      <c r="H17" s="226"/>
      <c r="I17" s="2"/>
      <c r="J17" s="2"/>
    </row>
    <row r="18" spans="2:10" ht="18" customHeight="1" thickBot="1" x14ac:dyDescent="0.25">
      <c r="B18" s="547" t="s">
        <v>1728</v>
      </c>
      <c r="C18" s="3487">
        <v>779.36116872200819</v>
      </c>
      <c r="D18" s="3488">
        <f>F18-C18</f>
        <v>-443.07287171572278</v>
      </c>
      <c r="E18" s="3205" t="s">
        <v>205</v>
      </c>
      <c r="F18" s="3489">
        <f>G18/(-44/12)</f>
        <v>336.2882970062854</v>
      </c>
      <c r="G18" s="3490">
        <v>-1233.0570890230465</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2" t="s">
        <v>1764</v>
      </c>
      <c r="C99" s="4533"/>
      <c r="D99" s="4533"/>
      <c r="E99" s="4533"/>
      <c r="F99" s="4533"/>
      <c r="G99" s="4534"/>
      <c r="H99" s="2"/>
      <c r="I99" s="2"/>
    </row>
    <row r="100" spans="2:10" ht="26.25" customHeight="1" thickBot="1" x14ac:dyDescent="0.25">
      <c r="B100" s="4535"/>
      <c r="C100" s="4536"/>
      <c r="D100" s="4536"/>
      <c r="E100" s="4536"/>
      <c r="F100" s="4536"/>
      <c r="G100" s="4537"/>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2" t="s">
        <v>1793</v>
      </c>
      <c r="C85" s="4533"/>
      <c r="D85" s="4533"/>
      <c r="E85" s="4533"/>
      <c r="F85" s="4533"/>
      <c r="G85" s="4533"/>
      <c r="H85" s="4533"/>
      <c r="I85" s="4533"/>
      <c r="J85" s="4533"/>
      <c r="K85" s="4533"/>
      <c r="L85" s="4533"/>
      <c r="M85" s="4533"/>
      <c r="N85" s="4534"/>
    </row>
    <row r="86" spans="2:14" ht="13.5" thickBot="1" x14ac:dyDescent="0.25">
      <c r="B86" s="4535"/>
      <c r="C86" s="4536"/>
      <c r="D86" s="4536"/>
      <c r="E86" s="4536"/>
      <c r="F86" s="4536"/>
      <c r="G86" s="4536"/>
      <c r="H86" s="4536"/>
      <c r="I86" s="4536"/>
      <c r="J86" s="4536"/>
      <c r="K86" s="4536"/>
      <c r="L86" s="4536"/>
      <c r="M86" s="4536"/>
      <c r="N86" s="4537"/>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8"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39"/>
      <c r="C9" s="1879" t="s">
        <v>171</v>
      </c>
      <c r="D9" s="1880"/>
      <c r="E9" s="1880"/>
      <c r="F9" s="1880"/>
      <c r="G9" s="1880"/>
      <c r="H9" s="1880"/>
      <c r="I9" s="1881"/>
      <c r="J9" s="1803" t="s">
        <v>921</v>
      </c>
    </row>
    <row r="10" spans="1:10" ht="18" customHeight="1" thickTop="1" thickBot="1" x14ac:dyDescent="0.25">
      <c r="B10" s="1502" t="s">
        <v>1799</v>
      </c>
      <c r="C10" s="1882">
        <f>IF(SUM(C11,C15,C18,C21)=0,"NO",SUM(C11,C15,C18,C21))</f>
        <v>31.466299785649113</v>
      </c>
      <c r="D10" s="1882">
        <f t="shared" ref="D10:I10" si="0">IF(SUM(D11,D15,D18,D21)=0,"NO",SUM(D11,D15,D18,D21))</f>
        <v>469.3036772918469</v>
      </c>
      <c r="E10" s="1882">
        <f t="shared" si="0"/>
        <v>1.3682815925931888</v>
      </c>
      <c r="F10" s="1882" t="str">
        <f t="shared" si="0"/>
        <v>NO</v>
      </c>
      <c r="G10" s="1882" t="str">
        <f t="shared" si="0"/>
        <v>NO</v>
      </c>
      <c r="H10" s="1882">
        <f t="shared" si="0"/>
        <v>236.28423434103914</v>
      </c>
      <c r="I10" s="1883" t="str">
        <f t="shared" si="0"/>
        <v>NO</v>
      </c>
      <c r="J10" s="4487">
        <f>IF(SUM(C10:E10)=0,"NO",SUM(C10,IFERROR(28*D10,0),IFERROR(265*E10,0)))</f>
        <v>13534.563885994557</v>
      </c>
    </row>
    <row r="11" spans="1:10" ht="18" customHeight="1" x14ac:dyDescent="0.2">
      <c r="B11" s="1503" t="s">
        <v>1800</v>
      </c>
      <c r="C11" s="2893"/>
      <c r="D11" s="2894">
        <f>IF(SUM(D12:D14)=0,"NO",SUM(D12:D14))</f>
        <v>366.23023347098763</v>
      </c>
      <c r="E11" s="2893"/>
      <c r="F11" s="1886" t="str">
        <f>IF(SUM(F12:F14)=0,"NO",SUM(F12:F14))</f>
        <v>NO</v>
      </c>
      <c r="G11" s="1886" t="str">
        <f t="shared" ref="G11:H11" si="1">IF(SUM(G12:G14)=0,"NO",SUM(G12:G14))</f>
        <v>NO</v>
      </c>
      <c r="H11" s="1886">
        <f t="shared" si="1"/>
        <v>3.0172731887350763</v>
      </c>
      <c r="I11" s="2994"/>
      <c r="J11" s="1886">
        <f t="shared" ref="J11:J18" si="2">IF(SUM(C11:E11)=0,"NO",SUM(C11,IFERROR(28*D11,0),IFERROR(265*E11,0)))</f>
        <v>10254.446537187654</v>
      </c>
    </row>
    <row r="12" spans="1:10" ht="18" customHeight="1" x14ac:dyDescent="0.2">
      <c r="B12" s="1269" t="s">
        <v>1801</v>
      </c>
      <c r="C12" s="1885"/>
      <c r="D12" s="1884">
        <f>IF(SUM(Table5.A!F10:H10)=0,"NO",SUM(Table5.A!F10))</f>
        <v>366.23023347098763</v>
      </c>
      <c r="E12" s="1885"/>
      <c r="F12" s="2916" t="s">
        <v>205</v>
      </c>
      <c r="G12" s="2916" t="s">
        <v>205</v>
      </c>
      <c r="H12" s="2916">
        <v>3.0172731887350763</v>
      </c>
      <c r="I12" s="2940"/>
      <c r="J12" s="1887">
        <f t="shared" si="2"/>
        <v>10254.446537187654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4.5475882237186438</v>
      </c>
      <c r="E15" s="2892">
        <f t="shared" ref="E15" si="3">IF(SUM(E16:E17)=0,"NO",SUM(E16:E17))</f>
        <v>0.58209129263598647</v>
      </c>
      <c r="F15" s="2892" t="s">
        <v>1805</v>
      </c>
      <c r="G15" s="2892" t="s">
        <v>1805</v>
      </c>
      <c r="H15" s="2892" t="s">
        <v>1805</v>
      </c>
      <c r="I15" s="2997"/>
      <c r="J15" s="2884">
        <f t="shared" si="2"/>
        <v>281.58666281265846</v>
      </c>
    </row>
    <row r="16" spans="1:10" ht="18" customHeight="1" x14ac:dyDescent="0.2">
      <c r="B16" s="1891" t="s">
        <v>1806</v>
      </c>
      <c r="C16" s="2998"/>
      <c r="D16" s="1884">
        <f>Table5.B!F10</f>
        <v>4.5475882237186438</v>
      </c>
      <c r="E16" s="1884">
        <f>Table5.B!G10</f>
        <v>0.58209129263598647</v>
      </c>
      <c r="F16" s="699" t="s">
        <v>205</v>
      </c>
      <c r="G16" s="699" t="s">
        <v>205</v>
      </c>
      <c r="H16" s="699" t="s">
        <v>205</v>
      </c>
      <c r="I16" s="2940"/>
      <c r="J16" s="1887">
        <f t="shared" si="2"/>
        <v>281.58666281265846</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31.466299785649113</v>
      </c>
      <c r="D18" s="2883" t="str">
        <f>IF(SUM(D19:D20)=0,"NO,NE",SUM(D19:D20))</f>
        <v>NO,NE</v>
      </c>
      <c r="E18" s="2883" t="str">
        <f>IF(SUM(E19:E20)=0,"NO,NE",SUM(E19:E20))</f>
        <v>NO,NE</v>
      </c>
      <c r="F18" s="2883" t="s">
        <v>205</v>
      </c>
      <c r="G18" s="2883" t="s">
        <v>205</v>
      </c>
      <c r="H18" s="2883" t="s">
        <v>205</v>
      </c>
      <c r="I18" s="2883" t="s">
        <v>205</v>
      </c>
      <c r="J18" s="2885">
        <f t="shared" si="2"/>
        <v>31.466299785649113</v>
      </c>
    </row>
    <row r="19" spans="2:12" ht="18" customHeight="1" x14ac:dyDescent="0.2">
      <c r="B19" s="1269" t="s">
        <v>1809</v>
      </c>
      <c r="C19" s="1884">
        <f>Table5.C!G10</f>
        <v>31.466299785649113</v>
      </c>
      <c r="D19" s="1884" t="str">
        <f>Table5.C!H10</f>
        <v>NO,NE</v>
      </c>
      <c r="E19" s="1884" t="str">
        <f>Table5.C!I10</f>
        <v>NO,NE</v>
      </c>
      <c r="F19" s="700" t="s">
        <v>205</v>
      </c>
      <c r="G19" s="700" t="s">
        <v>205</v>
      </c>
      <c r="H19" s="700" t="s">
        <v>205</v>
      </c>
      <c r="I19" s="700" t="s">
        <v>205</v>
      </c>
      <c r="J19" s="1887">
        <f>IF(SUM(C19:E19)=0,"NO",SUM(C19,IFERROR(28*D19,0),IFERROR(265*E19,0)))</f>
        <v>31.466299785649113</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98.525855597140605</v>
      </c>
      <c r="E21" s="2883">
        <f t="shared" ref="E21:H21" si="5">IF(SUM(E22:E24)=0,"NO",SUM(E22:E24))</f>
        <v>0.78619029995720235</v>
      </c>
      <c r="F21" s="2883" t="str">
        <f t="shared" si="5"/>
        <v>NO</v>
      </c>
      <c r="G21" s="2883" t="str">
        <f t="shared" si="5"/>
        <v>NO</v>
      </c>
      <c r="H21" s="2883">
        <f t="shared" si="5"/>
        <v>233.26696115230405</v>
      </c>
      <c r="I21" s="3000"/>
      <c r="J21" s="2885">
        <f t="shared" si="4"/>
        <v>2967.0643862085954</v>
      </c>
    </row>
    <row r="22" spans="2:12" ht="18" customHeight="1" x14ac:dyDescent="0.2">
      <c r="B22" s="1269" t="s">
        <v>1812</v>
      </c>
      <c r="C22" s="1894"/>
      <c r="D22" s="1884">
        <f>IF(SUM(Table5.D!H10)=0,"NO",SUM(Table5.D!H10))</f>
        <v>56.487501239856307</v>
      </c>
      <c r="E22" s="1884">
        <f>IF(SUM(Table5.D!I10:J10)=0,"NO",SUM(Table5.D!I10:J10))</f>
        <v>0.78619029995720235</v>
      </c>
      <c r="F22" s="2916" t="s">
        <v>205</v>
      </c>
      <c r="G22" s="2916" t="s">
        <v>205</v>
      </c>
      <c r="H22" s="2916">
        <v>8.3401185426143378</v>
      </c>
      <c r="I22" s="2940"/>
      <c r="J22" s="1887">
        <f t="shared" si="4"/>
        <v>1789.9904642046351</v>
      </c>
    </row>
    <row r="23" spans="2:12" ht="18" customHeight="1" x14ac:dyDescent="0.2">
      <c r="B23" s="1269" t="s">
        <v>1813</v>
      </c>
      <c r="C23" s="1894"/>
      <c r="D23" s="1884">
        <f>IF(SUM(Table5.D!H11)=0,"NO",SUM(Table5.D!H11))</f>
        <v>42.038354357284305</v>
      </c>
      <c r="E23" s="1884" t="str">
        <f>IF(SUM(Table5.D!I11:J11)=0,"IE",SUM(Table5.D!I11:J11))</f>
        <v>IE</v>
      </c>
      <c r="F23" s="2916" t="s">
        <v>205</v>
      </c>
      <c r="G23" s="2916" t="s">
        <v>205</v>
      </c>
      <c r="H23" s="2916">
        <v>224.92684260968971</v>
      </c>
      <c r="I23" s="2940"/>
      <c r="J23" s="1887">
        <f t="shared" si="4"/>
        <v>1177.0739220039604</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319218.82531955553</v>
      </c>
      <c r="D28" s="1903"/>
      <c r="E28" s="1903"/>
      <c r="F28" s="1903"/>
      <c r="G28" s="1903"/>
      <c r="H28" s="1903"/>
      <c r="I28" s="1904"/>
      <c r="J28" s="1907"/>
      <c r="K28"/>
      <c r="L28"/>
    </row>
    <row r="29" spans="2:12" ht="18" customHeight="1" x14ac:dyDescent="0.2">
      <c r="B29" s="4215" t="s">
        <v>1819</v>
      </c>
      <c r="C29" s="1905">
        <v>4174.9964665445832</v>
      </c>
      <c r="D29" s="1906"/>
      <c r="E29" s="1906"/>
      <c r="F29" s="1906"/>
      <c r="G29" s="1906"/>
      <c r="H29" s="1906"/>
      <c r="I29" s="1907"/>
      <c r="J29" s="1907"/>
      <c r="K29"/>
      <c r="L29"/>
    </row>
    <row r="30" spans="2:12" ht="18" customHeight="1" thickBot="1" x14ac:dyDescent="0.25">
      <c r="B30" s="4216" t="s">
        <v>1820</v>
      </c>
      <c r="C30" s="1899">
        <v>1756.4187690874242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5" sqref="K15"/>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18802.543110447426</v>
      </c>
      <c r="D10" s="3678"/>
      <c r="E10" s="4121">
        <f>IF(SUM(C10)=0,"NA",(F10-G10-H10)/C10)</f>
        <v>3.6106098173931386E-2</v>
      </c>
      <c r="F10" s="3679">
        <f>F11</f>
        <v>366.23023347098763</v>
      </c>
      <c r="G10" s="3679">
        <f>G11</f>
        <v>-60.33949050727125</v>
      </c>
      <c r="H10" s="3680">
        <f>H11</f>
        <v>-252.31674348713312</v>
      </c>
      <c r="I10" s="44"/>
    </row>
    <row r="11" spans="1:13" ht="18" customHeight="1" x14ac:dyDescent="0.2">
      <c r="B11" s="1753" t="s">
        <v>1834</v>
      </c>
      <c r="C11" s="3681">
        <f>IF(SUM(C13:C16)=0,"NO",SUM(C13:C16))</f>
        <v>18802.543110447426</v>
      </c>
      <c r="D11" s="3681">
        <v>1</v>
      </c>
      <c r="E11" s="4121">
        <f>IF(SUM(C11)=0,"NA",(F11-G11-H11)/C11)</f>
        <v>3.6106098173931386E-2</v>
      </c>
      <c r="F11" s="4227">
        <f>IF(SUM(F13:F16)=0,"NO",SUM(F13:F16))</f>
        <v>366.23023347098763</v>
      </c>
      <c r="G11" s="3682">
        <v>-60.33949050727125</v>
      </c>
      <c r="H11" s="3683">
        <v>-252.31674348713312</v>
      </c>
      <c r="I11" s="4491"/>
    </row>
    <row r="12" spans="1:13" ht="18" customHeight="1" x14ac:dyDescent="0.2">
      <c r="B12" s="1241" t="s">
        <v>1835</v>
      </c>
      <c r="C12" s="3684"/>
      <c r="D12" s="3685"/>
      <c r="E12" s="3686"/>
      <c r="F12" s="3685"/>
      <c r="G12" s="3685"/>
      <c r="H12" s="3687"/>
      <c r="I12" s="44"/>
    </row>
    <row r="13" spans="1:13" ht="18" customHeight="1" x14ac:dyDescent="0.2">
      <c r="B13" s="1754" t="s">
        <v>1836</v>
      </c>
      <c r="C13" s="3688">
        <v>10323.411510477978</v>
      </c>
      <c r="D13" s="3688">
        <v>1</v>
      </c>
      <c r="E13" s="4218" t="s">
        <v>274</v>
      </c>
      <c r="F13" s="3688">
        <v>14.978048459788424</v>
      </c>
      <c r="G13" s="3689"/>
      <c r="H13" s="3690"/>
      <c r="I13" s="44"/>
    </row>
    <row r="14" spans="1:13" ht="18" customHeight="1" x14ac:dyDescent="0.2">
      <c r="B14" s="1754" t="s">
        <v>1837</v>
      </c>
      <c r="C14" s="3688">
        <v>1941.3857614045628</v>
      </c>
      <c r="D14" s="3688">
        <v>1</v>
      </c>
      <c r="E14" s="3681" t="s">
        <v>274</v>
      </c>
      <c r="F14" s="3688">
        <v>130.00222943955472</v>
      </c>
      <c r="G14" s="3689"/>
      <c r="H14" s="3690"/>
      <c r="I14" s="44"/>
    </row>
    <row r="15" spans="1:13" ht="18" customHeight="1" x14ac:dyDescent="0.2">
      <c r="B15" s="1754" t="s">
        <v>1838</v>
      </c>
      <c r="C15" s="3688">
        <v>6537.7458385648843</v>
      </c>
      <c r="D15" s="3688">
        <v>1</v>
      </c>
      <c r="E15" s="4121" t="s">
        <v>274</v>
      </c>
      <c r="F15" s="3688">
        <v>221.24995557164451</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6063.4509649581878</v>
      </c>
      <c r="D10" s="1938">
        <f>IF(SUM($C10)=0,"NA",F10*1000/$C10)</f>
        <v>0.75000000000000044</v>
      </c>
      <c r="E10" s="1938">
        <f>IF(SUM($C10)=0,"NA",G10*1000/$C10)</f>
        <v>9.6000000000000085E-2</v>
      </c>
      <c r="F10" s="1934">
        <f>IF(SUM(F11:F12)=0,"NO",SUM(F11:F12))</f>
        <v>4.5475882237186438</v>
      </c>
      <c r="G10" s="1934">
        <f>IF(SUM(G11:G12)=0,"NO",SUM(G11:G12))</f>
        <v>0.58209129263598647</v>
      </c>
      <c r="H10" s="1935"/>
      <c r="I10" s="1936"/>
    </row>
    <row r="11" spans="1:9" ht="18" customHeight="1" x14ac:dyDescent="0.2">
      <c r="B11" s="1525" t="s">
        <v>1851</v>
      </c>
      <c r="C11" s="1937">
        <v>6063.4509649581878</v>
      </c>
      <c r="D11" s="1938">
        <f>IF(SUM($C11)=0,"NA",F11*1000/$C11)</f>
        <v>0.75000000000000044</v>
      </c>
      <c r="E11" s="1938">
        <f>IF(SUM($C11)=0,"NA",G11*1000/$C11)</f>
        <v>9.6000000000000085E-2</v>
      </c>
      <c r="F11" s="1937">
        <v>4.5475882237186438</v>
      </c>
      <c r="G11" s="1937">
        <v>0.58209129263598647</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21.805572191510798</v>
      </c>
      <c r="D10" s="2898">
        <f t="shared" ref="D10:D20" si="0">IF(SUM(G10)=0,"NA",G10*1000/$C10)</f>
        <v>1443.0393987963942</v>
      </c>
      <c r="E10" s="2898" t="str">
        <f t="shared" ref="E10:E20" si="1">IF(SUM(H10)=0,"NA",H10*1000/$C10)</f>
        <v>NA</v>
      </c>
      <c r="F10" s="2898" t="str">
        <f t="shared" ref="F10:F20" si="2">IF(SUM(I10)=0,"NA",I10*1000/$C10)</f>
        <v>NA</v>
      </c>
      <c r="G10" s="2898">
        <f>IF(SUM(G11,G21)=0,"NO",SUM(G11,G21))</f>
        <v>31.466299785649113</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21.805572191510798</v>
      </c>
      <c r="D21" s="116">
        <f>IF(SUM(G21)=0,"NA",G21*1000/$C21)</f>
        <v>1443.0393987963942</v>
      </c>
      <c r="E21" s="116" t="str">
        <f t="shared" ref="E21:F21" si="3">IF(SUM(H21)=0,"NA",H21*1000/$C21)</f>
        <v>NA</v>
      </c>
      <c r="F21" s="116" t="str">
        <f t="shared" si="3"/>
        <v>NA</v>
      </c>
      <c r="G21" s="2900">
        <f>IF(SUM(G22:G23)=0,"NO",SUM(G22:G23))</f>
        <v>31.466299785649113</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21.805572191510798</v>
      </c>
      <c r="D23" s="116">
        <f t="shared" si="4"/>
        <v>1443.0393987963942</v>
      </c>
      <c r="E23" s="151" t="str">
        <f t="shared" si="5"/>
        <v>NA</v>
      </c>
      <c r="F23" s="151" t="str">
        <f t="shared" si="6"/>
        <v>NA</v>
      </c>
      <c r="G23" s="151">
        <f>IF(SUM(G25:G30)=0,"NO",SUM(G25:G30))</f>
        <v>31.466299785649113</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16.191251605668651</v>
      </c>
      <c r="D27" s="116">
        <f t="shared" si="4"/>
        <v>880</v>
      </c>
      <c r="E27" s="116" t="str">
        <f t="shared" si="5"/>
        <v>NA</v>
      </c>
      <c r="F27" s="116" t="str">
        <f t="shared" si="6"/>
        <v>NA</v>
      </c>
      <c r="G27" s="2908">
        <v>14.248301412988413</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25698.083999999999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31.391060737309907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1585.3152723630542</v>
      </c>
      <c r="D10" s="3399">
        <v>1151.3534271667322</v>
      </c>
      <c r="E10" s="3399">
        <v>128.37660264744892</v>
      </c>
      <c r="F10" s="3400">
        <f>(SUM(H10)-SUM(K10:L10))/C10</f>
        <v>7.5974531007691512E-2</v>
      </c>
      <c r="G10" s="3400">
        <f>SUM(I10:J10)/E10/(44/28)</f>
        <v>3.8971503205185126E-3</v>
      </c>
      <c r="H10" s="3398">
        <v>56.487501239856307</v>
      </c>
      <c r="I10" s="3190">
        <v>0.78619029995720235</v>
      </c>
      <c r="J10" s="3190" t="s">
        <v>274</v>
      </c>
      <c r="K10" s="3401">
        <v>-14.951091534335996</v>
      </c>
      <c r="L10" s="2921">
        <v>-49.004991542921474</v>
      </c>
      <c r="M10"/>
      <c r="N10" s="1773" t="s">
        <v>1910</v>
      </c>
      <c r="O10" s="3403">
        <v>1</v>
      </c>
    </row>
    <row r="11" spans="1:15" ht="18" customHeight="1" x14ac:dyDescent="0.2">
      <c r="A11"/>
      <c r="B11" s="1752" t="s">
        <v>1813</v>
      </c>
      <c r="C11" s="3399">
        <v>749.75614203229895</v>
      </c>
      <c r="D11" s="3399">
        <v>145.53763103991363</v>
      </c>
      <c r="E11" s="699" t="s">
        <v>274</v>
      </c>
      <c r="F11" s="3134">
        <f>(SUM(H11)-SUM(K11:L11))/C11</f>
        <v>8.0584016261214725E-2</v>
      </c>
      <c r="G11" s="3134" t="s">
        <v>205</v>
      </c>
      <c r="H11" s="699">
        <v>42.038354357284305</v>
      </c>
      <c r="I11" s="699" t="s">
        <v>274</v>
      </c>
      <c r="J11" s="699" t="s">
        <v>274</v>
      </c>
      <c r="K11" s="3125" t="s">
        <v>274</v>
      </c>
      <c r="L11" s="2921">
        <v>-18.380006784192091</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0"/>
      <c r="C33" s="4541"/>
      <c r="D33" s="4541"/>
      <c r="E33" s="4541"/>
      <c r="F33" s="4541"/>
      <c r="G33" s="4541"/>
      <c r="H33" s="4541"/>
      <c r="I33" s="4541"/>
      <c r="J33" s="4541"/>
      <c r="K33" s="4541"/>
      <c r="L33" s="4542"/>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320425.12280077208</v>
      </c>
      <c r="D10" s="3798">
        <f t="shared" si="0"/>
        <v>4435.6448158745088</v>
      </c>
      <c r="E10" s="3798">
        <f t="shared" si="0"/>
        <v>70.288754375605251</v>
      </c>
      <c r="F10" s="3798">
        <f t="shared" si="0"/>
        <v>10949.19171830784</v>
      </c>
      <c r="G10" s="3798">
        <f t="shared" si="0"/>
        <v>243.11647207633368</v>
      </c>
      <c r="H10" s="3798" t="str">
        <f>IF(SUM(H11,H22,H31,H42,H51)=0,"NO",SUM(H11,H22,H31,H42,H51))</f>
        <v>NO</v>
      </c>
      <c r="I10" s="3798">
        <f t="shared" ref="I10:N10" si="1">IF(SUM(I11,I22,I31,I42,I51)=0,"NO",SUM(I11,I22,I31,I42,I51))</f>
        <v>4.3526154704349295E-3</v>
      </c>
      <c r="J10" s="3826" t="str">
        <f t="shared" si="1"/>
        <v>NO</v>
      </c>
      <c r="K10" s="3798">
        <f t="shared" si="1"/>
        <v>3656.9482185489342</v>
      </c>
      <c r="L10" s="3798">
        <f t="shared" si="1"/>
        <v>19928.859024448444</v>
      </c>
      <c r="M10" s="3798">
        <f t="shared" si="1"/>
        <v>1606.3507217437545</v>
      </c>
      <c r="N10" s="3799">
        <f t="shared" si="1"/>
        <v>2123.114471058891</v>
      </c>
      <c r="O10" s="3800">
        <f>IF(SUM(C10:J10)=0,"NO",SUM(C10,F10:H10)+28*SUM(D10)+265*SUM(E10)+23500*SUM(I10)+16100*SUM(J10))</f>
        <v>474544.29220873315</v>
      </c>
    </row>
    <row r="11" spans="1:15" ht="18" customHeight="1" x14ac:dyDescent="0.25">
      <c r="B11" s="1116" t="s">
        <v>1921</v>
      </c>
      <c r="C11" s="2572">
        <f>Table1!C10</f>
        <v>377584.25662637874</v>
      </c>
      <c r="D11" s="3766">
        <f>Table1!D10</f>
        <v>1379.7521926591946</v>
      </c>
      <c r="E11" s="3766">
        <f>Table1!E10</f>
        <v>9.6507658736134214</v>
      </c>
      <c r="F11" s="1553"/>
      <c r="G11" s="1553"/>
      <c r="H11" s="3714"/>
      <c r="I11" s="1553"/>
      <c r="J11" s="98"/>
      <c r="K11" s="3766">
        <f>Table1!F10</f>
        <v>2952.8918476131266</v>
      </c>
      <c r="L11" s="3713">
        <f>Table1!G10</f>
        <v>2050.8436367846552</v>
      </c>
      <c r="M11" s="3713">
        <f>Table1!H10</f>
        <v>717.00949091025814</v>
      </c>
      <c r="N11" s="960">
        <f>Table1!I10</f>
        <v>603.64279540357904</v>
      </c>
      <c r="O11" s="3715">
        <f t="shared" ref="O11:O58" si="2">IF(SUM(C11:J11)=0,"NO",SUM(C11,F11:H11)+28*SUM(D11)+265*SUM(E11)+23500*SUM(I11)+16100*SUM(J11))</f>
        <v>418774.77097734378</v>
      </c>
    </row>
    <row r="12" spans="1:15" ht="18" customHeight="1" x14ac:dyDescent="0.25">
      <c r="B12" s="1369" t="s">
        <v>1922</v>
      </c>
      <c r="C12" s="3794">
        <f>Table1!C11</f>
        <v>360287.65911070595</v>
      </c>
      <c r="D12" s="617">
        <f>Table1!D11</f>
        <v>75.55092273703238</v>
      </c>
      <c r="E12" s="617">
        <f>Table1!E11</f>
        <v>9.4224966384334419</v>
      </c>
      <c r="F12" s="69"/>
      <c r="G12" s="69"/>
      <c r="H12" s="69"/>
      <c r="I12" s="69"/>
      <c r="J12" s="69"/>
      <c r="K12" s="617">
        <f>Table1!F11</f>
        <v>2949.2940082135369</v>
      </c>
      <c r="L12" s="617">
        <f>Table1!G11</f>
        <v>2030.1490609545353</v>
      </c>
      <c r="M12" s="617">
        <f>Table1!H11</f>
        <v>493.2309929359958</v>
      </c>
      <c r="N12" s="619">
        <f>Table1!I11</f>
        <v>603.64279540357904</v>
      </c>
      <c r="O12" s="3716">
        <f t="shared" si="2"/>
        <v>364900.04655652773</v>
      </c>
    </row>
    <row r="13" spans="1:15" ht="18" customHeight="1" x14ac:dyDescent="0.25">
      <c r="B13" s="1370" t="s">
        <v>1923</v>
      </c>
      <c r="C13" s="3794">
        <f>Table1!C12</f>
        <v>206098.02671549973</v>
      </c>
      <c r="D13" s="617">
        <f>Table1!D12</f>
        <v>26.302414494130744</v>
      </c>
      <c r="E13" s="617">
        <f>Table1!E12</f>
        <v>3.1494570993099864</v>
      </c>
      <c r="F13" s="69"/>
      <c r="G13" s="69"/>
      <c r="H13" s="69"/>
      <c r="I13" s="69"/>
      <c r="J13" s="69"/>
      <c r="K13" s="617">
        <f>Table1!F12</f>
        <v>1497.1420397566471</v>
      </c>
      <c r="L13" s="617">
        <f>Table1!G12</f>
        <v>301.69279842391745</v>
      </c>
      <c r="M13" s="617">
        <f>Table1!H12</f>
        <v>82.53201230859537</v>
      </c>
      <c r="N13" s="619">
        <f>Table1!I12</f>
        <v>506.76449528685896</v>
      </c>
      <c r="O13" s="3717">
        <f t="shared" si="2"/>
        <v>207669.10045265255</v>
      </c>
    </row>
    <row r="14" spans="1:15" ht="18" customHeight="1" x14ac:dyDescent="0.25">
      <c r="B14" s="1370" t="s">
        <v>1924</v>
      </c>
      <c r="C14" s="3794">
        <f>Table1!C16</f>
        <v>41271.375033629491</v>
      </c>
      <c r="D14" s="3718">
        <f>Table1!D16</f>
        <v>2.3034611967719378</v>
      </c>
      <c r="E14" s="3718">
        <f>Table1!E16</f>
        <v>1.4704603755586001</v>
      </c>
      <c r="F14" s="3719"/>
      <c r="G14" s="3719"/>
      <c r="H14" s="3719"/>
      <c r="I14" s="3719"/>
      <c r="J14" s="69"/>
      <c r="K14" s="3718">
        <f>Table1!F16</f>
        <v>824.90157440361156</v>
      </c>
      <c r="L14" s="3718">
        <f>Table1!G16</f>
        <v>259.95559511537778</v>
      </c>
      <c r="M14" s="3718">
        <f>Table1!H16</f>
        <v>108.31417138254307</v>
      </c>
      <c r="N14" s="3720">
        <f>Table1!I16</f>
        <v>60.99644043047865</v>
      </c>
      <c r="O14" s="3721">
        <f t="shared" si="2"/>
        <v>41725.543946662132</v>
      </c>
    </row>
    <row r="15" spans="1:15" ht="18" customHeight="1" x14ac:dyDescent="0.25">
      <c r="B15" s="1370" t="s">
        <v>1925</v>
      </c>
      <c r="C15" s="3794">
        <f>Table1!C24</f>
        <v>91747.348470689438</v>
      </c>
      <c r="D15" s="617">
        <f>Table1!D24</f>
        <v>11.908991517095529</v>
      </c>
      <c r="E15" s="617">
        <f>Table1!E24</f>
        <v>4.1519199048639219</v>
      </c>
      <c r="F15" s="69"/>
      <c r="G15" s="69"/>
      <c r="H15" s="69"/>
      <c r="I15" s="69"/>
      <c r="J15" s="69"/>
      <c r="K15" s="617">
        <f>Table1!F24</f>
        <v>287.20062943706671</v>
      </c>
      <c r="L15" s="617">
        <f>Table1!G24</f>
        <v>864.38734551035293</v>
      </c>
      <c r="M15" s="617">
        <f>Table1!H24</f>
        <v>198.75166670782764</v>
      </c>
      <c r="N15" s="619">
        <f>Table1!I24</f>
        <v>28.569558881940857</v>
      </c>
      <c r="O15" s="3717">
        <f t="shared" si="2"/>
        <v>93181.059007957039</v>
      </c>
    </row>
    <row r="16" spans="1:15" ht="18" customHeight="1" x14ac:dyDescent="0.25">
      <c r="B16" s="1370" t="s">
        <v>1926</v>
      </c>
      <c r="C16" s="3794">
        <f>Table1!C30</f>
        <v>20231.839330714669</v>
      </c>
      <c r="D16" s="617">
        <f>Table1!D30</f>
        <v>34.998389462861184</v>
      </c>
      <c r="E16" s="617">
        <f>Table1!E30</f>
        <v>0.62435107694328629</v>
      </c>
      <c r="F16" s="69"/>
      <c r="G16" s="69"/>
      <c r="H16" s="69"/>
      <c r="I16" s="69"/>
      <c r="J16" s="69"/>
      <c r="K16" s="617">
        <f>Table1!F30</f>
        <v>330.86968292981209</v>
      </c>
      <c r="L16" s="617">
        <f>Table1!G30</f>
        <v>600.94461708138908</v>
      </c>
      <c r="M16" s="617">
        <f>Table1!H30</f>
        <v>103.10372424010686</v>
      </c>
      <c r="N16" s="619">
        <f>Table1!I30</f>
        <v>6.9519987495899782</v>
      </c>
      <c r="O16" s="3717">
        <f t="shared" si="2"/>
        <v>21377.247271064753</v>
      </c>
    </row>
    <row r="17" spans="2:15" ht="18" customHeight="1" x14ac:dyDescent="0.25">
      <c r="B17" s="1370" t="s">
        <v>1927</v>
      </c>
      <c r="C17" s="3794">
        <f>Table1!C34</f>
        <v>939.0695601726469</v>
      </c>
      <c r="D17" s="617">
        <f>Table1!D34</f>
        <v>3.7666066172992396E-2</v>
      </c>
      <c r="E17" s="617">
        <f>Table1!E34</f>
        <v>2.6308181757647427E-2</v>
      </c>
      <c r="F17" s="69"/>
      <c r="G17" s="69"/>
      <c r="H17" s="69"/>
      <c r="I17" s="69"/>
      <c r="J17" s="69"/>
      <c r="K17" s="617">
        <f>Table1!F34</f>
        <v>9.1800816863997188</v>
      </c>
      <c r="L17" s="617">
        <f>Table1!G34</f>
        <v>3.1687048234980484</v>
      </c>
      <c r="M17" s="617">
        <f>Table1!H34</f>
        <v>0.5294182969227903</v>
      </c>
      <c r="N17" s="619">
        <f>Table1!I34</f>
        <v>0.36030205471059462</v>
      </c>
      <c r="O17" s="3717">
        <f t="shared" si="2"/>
        <v>947.09587819126727</v>
      </c>
    </row>
    <row r="18" spans="2:15" ht="18" customHeight="1" x14ac:dyDescent="0.25">
      <c r="B18" s="1369" t="s">
        <v>201</v>
      </c>
      <c r="C18" s="3711">
        <f>Table1!C37</f>
        <v>17284.18051567279</v>
      </c>
      <c r="D18" s="3795">
        <f>Table1!D37</f>
        <v>1304.2012699221623</v>
      </c>
      <c r="E18" s="3795">
        <f>Table1!E37</f>
        <v>0.22826923517997966</v>
      </c>
      <c r="F18" s="69"/>
      <c r="G18" s="69"/>
      <c r="H18" s="69"/>
      <c r="I18" s="69"/>
      <c r="J18" s="69"/>
      <c r="K18" s="3795">
        <f>Table1!F37</f>
        <v>3.5978393995896027</v>
      </c>
      <c r="L18" s="617">
        <f>Table1!G37</f>
        <v>20.694575830119696</v>
      </c>
      <c r="M18" s="617">
        <f>Table1!H37</f>
        <v>223.77849797426234</v>
      </c>
      <c r="N18" s="619" t="str">
        <f>Table1!I37</f>
        <v>NO</v>
      </c>
      <c r="O18" s="3717">
        <f t="shared" si="2"/>
        <v>53862.307420816025</v>
      </c>
    </row>
    <row r="19" spans="2:15" ht="18" customHeight="1" x14ac:dyDescent="0.25">
      <c r="B19" s="1370" t="s">
        <v>1928</v>
      </c>
      <c r="C19" s="3712">
        <f>Table1!C38</f>
        <v>2380.4751845029359</v>
      </c>
      <c r="D19" s="3722">
        <f>Table1!D38</f>
        <v>1010.1822443262215</v>
      </c>
      <c r="E19" s="3795">
        <f>Table1!E38</f>
        <v>2.0495385605331928E-3</v>
      </c>
      <c r="F19" s="69"/>
      <c r="G19" s="69"/>
      <c r="H19" s="69"/>
      <c r="I19" s="69"/>
      <c r="J19" s="69"/>
      <c r="K19" s="3795" t="str">
        <f>Table1!F38</f>
        <v>NO</v>
      </c>
      <c r="L19" s="617" t="str">
        <f>Table1!G38</f>
        <v>NO</v>
      </c>
      <c r="M19" s="617" t="str">
        <f>Table1!H38</f>
        <v>NO</v>
      </c>
      <c r="N19" s="619" t="str">
        <f>Table1!I38</f>
        <v>NO</v>
      </c>
      <c r="O19" s="3717">
        <f t="shared" si="2"/>
        <v>30666.121153355678</v>
      </c>
    </row>
    <row r="20" spans="2:15" ht="18" customHeight="1" x14ac:dyDescent="0.25">
      <c r="B20" s="1371" t="s">
        <v>1929</v>
      </c>
      <c r="C20" s="3712">
        <f>Table1!C42</f>
        <v>14903.705331169853</v>
      </c>
      <c r="D20" s="3796">
        <f>Table1!D42</f>
        <v>294.01902559594083</v>
      </c>
      <c r="E20" s="3795">
        <f>Table1!E42</f>
        <v>0.22621969661944646</v>
      </c>
      <c r="F20" s="3719"/>
      <c r="G20" s="3719"/>
      <c r="H20" s="3719"/>
      <c r="I20" s="3719"/>
      <c r="J20" s="69"/>
      <c r="K20" s="3795">
        <f>Table1!F42</f>
        <v>3.5978393995896027</v>
      </c>
      <c r="L20" s="3718">
        <f>Table1!G42</f>
        <v>20.694575830119696</v>
      </c>
      <c r="M20" s="3718">
        <f>Table1!H42</f>
        <v>223.77849797426234</v>
      </c>
      <c r="N20" s="3720" t="str">
        <f>Table1!I42</f>
        <v>NO</v>
      </c>
      <c r="O20" s="3721">
        <f t="shared" si="2"/>
        <v>23196.186267460351</v>
      </c>
    </row>
    <row r="21" spans="2:15" ht="18" customHeight="1" thickBot="1" x14ac:dyDescent="0.3">
      <c r="B21" s="1372" t="s">
        <v>1930</v>
      </c>
      <c r="C21" s="3710">
        <f>Table1!C47</f>
        <v>12.417</v>
      </c>
      <c r="D21" s="3723"/>
      <c r="E21" s="3723"/>
      <c r="F21" s="3719"/>
      <c r="G21" s="3719"/>
      <c r="H21" s="3719"/>
      <c r="I21" s="3719"/>
      <c r="J21" s="3719"/>
      <c r="K21" s="3724"/>
      <c r="L21" s="3724"/>
      <c r="M21" s="3724"/>
      <c r="N21" s="3725"/>
      <c r="O21" s="3721">
        <f t="shared" si="2"/>
        <v>12.417</v>
      </c>
    </row>
    <row r="22" spans="2:15" ht="18" customHeight="1" x14ac:dyDescent="0.25">
      <c r="B22" s="1373" t="s">
        <v>1931</v>
      </c>
      <c r="C22" s="3726">
        <f>'Table2(I)'!C10</f>
        <v>18771.640519708133</v>
      </c>
      <c r="D22" s="3727">
        <f>'Table2(I)'!D10</f>
        <v>2.858517065785743</v>
      </c>
      <c r="E22" s="3728">
        <f>'Table2(I)'!E10</f>
        <v>6.5867418416997356</v>
      </c>
      <c r="F22" s="3713">
        <f>'Table2(I)'!F10</f>
        <v>10949.19171830784</v>
      </c>
      <c r="G22" s="3713">
        <f>'Table2(I)'!G10</f>
        <v>243.11647207633368</v>
      </c>
      <c r="H22" s="3713" t="str">
        <f>'Table2(I)'!H10</f>
        <v>NO</v>
      </c>
      <c r="I22" s="3713">
        <f>'Table2(I)'!I10</f>
        <v>4.3526154704349295E-3</v>
      </c>
      <c r="J22" s="3713" t="str">
        <f>'Table2(I)'!J10</f>
        <v>NO</v>
      </c>
      <c r="K22" s="3713">
        <f>'Table2(I)'!K10</f>
        <v>6.9031524665594279</v>
      </c>
      <c r="L22" s="3713">
        <f>'Table2(I)'!L10</f>
        <v>16.460991508637015</v>
      </c>
      <c r="M22" s="3713">
        <f>'Table2(I)'!M10</f>
        <v>248.35679965999566</v>
      </c>
      <c r="N22" s="960">
        <f>'Table2(I)'!N10</f>
        <v>1519.4716756553119</v>
      </c>
      <c r="O22" s="3715">
        <f t="shared" si="2"/>
        <v>31891.760239539959</v>
      </c>
    </row>
    <row r="23" spans="2:15" ht="18" customHeight="1" x14ac:dyDescent="0.25">
      <c r="B23" s="1129" t="s">
        <v>1932</v>
      </c>
      <c r="C23" s="3729">
        <f>'Table2(I)'!C11</f>
        <v>5230.4617644063883</v>
      </c>
      <c r="D23" s="3730"/>
      <c r="E23" s="98"/>
      <c r="F23" s="98"/>
      <c r="G23" s="98"/>
      <c r="H23" s="98"/>
      <c r="I23" s="98"/>
      <c r="J23" s="69"/>
      <c r="K23" s="620" t="str">
        <f>'Table2(I)'!K11</f>
        <v>NO</v>
      </c>
      <c r="L23" s="620" t="str">
        <f>'Table2(I)'!L11</f>
        <v>NO</v>
      </c>
      <c r="M23" s="620" t="str">
        <f>'Table2(I)'!M11</f>
        <v>NO</v>
      </c>
      <c r="N23" s="622" t="str">
        <f>'Table2(I)'!N11</f>
        <v>NO</v>
      </c>
      <c r="O23" s="3716">
        <f t="shared" si="2"/>
        <v>5230.4617644063883</v>
      </c>
    </row>
    <row r="24" spans="2:15" ht="18" customHeight="1" x14ac:dyDescent="0.25">
      <c r="B24" s="1129" t="s">
        <v>846</v>
      </c>
      <c r="C24" s="3729">
        <f>'Table2(I)'!C16</f>
        <v>2987.1547812315525</v>
      </c>
      <c r="D24" s="3731">
        <f>'Table2(I)'!D16</f>
        <v>0.43359999999999999</v>
      </c>
      <c r="E24" s="3732">
        <f>'Table2(I)'!E16</f>
        <v>6.533489044731553</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4730.6701780854146</v>
      </c>
    </row>
    <row r="25" spans="2:15" ht="18" customHeight="1" x14ac:dyDescent="0.25">
      <c r="B25" s="1129" t="s">
        <v>637</v>
      </c>
      <c r="C25" s="3729">
        <f>'Table2(I)'!C27</f>
        <v>10162.119319579853</v>
      </c>
      <c r="D25" s="3731">
        <f>'Table2(I)'!D27</f>
        <v>2.4249170657857428</v>
      </c>
      <c r="E25" s="3732">
        <f>'Table2(I)'!E27</f>
        <v>5.3252796968182657E-2</v>
      </c>
      <c r="F25" s="617" t="str">
        <f>'Table2(I)'!F27</f>
        <v>NO</v>
      </c>
      <c r="G25" s="617">
        <f>'Table2(I)'!G27</f>
        <v>243.11647207633368</v>
      </c>
      <c r="H25" s="617" t="str">
        <f>'Table2(I)'!H27</f>
        <v>NO</v>
      </c>
      <c r="I25" s="617" t="str">
        <f>'Table2(I)'!I27</f>
        <v>NO</v>
      </c>
      <c r="J25" s="617" t="str">
        <f>'Table2(I)'!J27</f>
        <v>NO</v>
      </c>
      <c r="K25" s="617">
        <f>'Table2(I)'!K27</f>
        <v>6.9031524665594279</v>
      </c>
      <c r="L25" s="617">
        <f>'Table2(I)'!L27</f>
        <v>16.460991508637015</v>
      </c>
      <c r="M25" s="617">
        <f>'Table2(I)'!M27</f>
        <v>6.4866424844765375E-2</v>
      </c>
      <c r="N25" s="619">
        <f>'Table2(I)'!N27</f>
        <v>1519.4716756553119</v>
      </c>
      <c r="O25" s="3717">
        <f t="shared" si="2"/>
        <v>10487.245460694756</v>
      </c>
    </row>
    <row r="26" spans="2:15" ht="18" customHeight="1" x14ac:dyDescent="0.25">
      <c r="B26" s="1129" t="s">
        <v>1933</v>
      </c>
      <c r="C26" s="3729">
        <f>'Table2(I)'!C35</f>
        <v>178.35814491499997</v>
      </c>
      <c r="D26" s="3733" t="str">
        <f>'Table2(I)'!D35</f>
        <v>NO</v>
      </c>
      <c r="E26" s="602" t="str">
        <f>'Table2(I)'!E35</f>
        <v>NO</v>
      </c>
      <c r="F26" s="69"/>
      <c r="G26" s="69"/>
      <c r="H26" s="69"/>
      <c r="I26" s="69"/>
      <c r="J26" s="69"/>
      <c r="K26" s="602" t="str">
        <f>'Table2(I)'!K35</f>
        <v>NO</v>
      </c>
      <c r="L26" s="3732" t="str">
        <f>'Table2(I)'!L35</f>
        <v>NO</v>
      </c>
      <c r="M26" s="3732">
        <f>'Table2(I)'!M35</f>
        <v>193.44069478921932</v>
      </c>
      <c r="N26" s="3734" t="str">
        <f>'Table2(I)'!N35</f>
        <v>NO</v>
      </c>
      <c r="O26" s="3717">
        <f t="shared" si="2"/>
        <v>178.35814491499997</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10949.19171830784</v>
      </c>
      <c r="G28" s="3718" t="str">
        <f>'Table2(I)'!G45</f>
        <v>NO</v>
      </c>
      <c r="H28" s="3718" t="str">
        <f>'Table2(I)'!H45</f>
        <v>NO</v>
      </c>
      <c r="I28" s="3718" t="str">
        <f>'Table2(I)'!I45</f>
        <v>NO</v>
      </c>
      <c r="J28" s="3718" t="str">
        <f>'Table2(I)'!J45</f>
        <v>NO</v>
      </c>
      <c r="K28" s="3719"/>
      <c r="L28" s="3719"/>
      <c r="M28" s="3719"/>
      <c r="N28" s="3738"/>
      <c r="O28" s="3721">
        <f t="shared" si="2"/>
        <v>10949.19171830784</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4.3526154704349295E-3</v>
      </c>
      <c r="J29" s="602" t="str">
        <f>'Table2(I)'!J52</f>
        <v>NO</v>
      </c>
      <c r="K29" s="3741" t="str">
        <f>'Table2(I)'!K52</f>
        <v>NO</v>
      </c>
      <c r="L29" s="3741" t="str">
        <f>'Table2(I)'!L52</f>
        <v>NO</v>
      </c>
      <c r="M29" s="3741" t="str">
        <f>'Table2(I)'!M52</f>
        <v>NO</v>
      </c>
      <c r="N29" s="3742" t="str">
        <f>'Table2(I)'!N52</f>
        <v>NO</v>
      </c>
      <c r="O29" s="3721">
        <f t="shared" si="2"/>
        <v>102.28646355522085</v>
      </c>
    </row>
    <row r="30" spans="2:15" ht="18" customHeight="1" thickBot="1" x14ac:dyDescent="0.3">
      <c r="B30" s="1374" t="s">
        <v>1936</v>
      </c>
      <c r="C30" s="3743">
        <f>'Table2(I)'!C57</f>
        <v>213.54650957533741</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52.008677765231575</v>
      </c>
      <c r="N30" s="3746" t="str">
        <f>'Table2(I)'!N57</f>
        <v>NA</v>
      </c>
      <c r="O30" s="3747">
        <f t="shared" si="2"/>
        <v>213.54650957533741</v>
      </c>
    </row>
    <row r="31" spans="2:15" ht="18" customHeight="1" x14ac:dyDescent="0.25">
      <c r="B31" s="1130" t="s">
        <v>1937</v>
      </c>
      <c r="C31" s="3789">
        <f>Table3!C10</f>
        <v>2796.5451532274419</v>
      </c>
      <c r="D31" s="3748">
        <f>Table3!D10</f>
        <v>2077.0050473409892</v>
      </c>
      <c r="E31" s="3749">
        <f>Table3!E10</f>
        <v>40.083676874785652</v>
      </c>
      <c r="F31" s="3750"/>
      <c r="G31" s="3750"/>
      <c r="H31" s="3750"/>
      <c r="I31" s="3750"/>
      <c r="J31" s="3750"/>
      <c r="K31" s="3751">
        <f>Table3!F10</f>
        <v>13.911558799337836</v>
      </c>
      <c r="L31" s="3751">
        <f>Table3!G10</f>
        <v>223.31433573821647</v>
      </c>
      <c r="M31" s="3751">
        <f>Table3!H10</f>
        <v>13.026669584729296</v>
      </c>
      <c r="N31" s="3752" t="str">
        <f>Table3!I10</f>
        <v>NO</v>
      </c>
      <c r="O31" s="3716">
        <f t="shared" si="2"/>
        <v>71574.860850593337</v>
      </c>
    </row>
    <row r="32" spans="2:15" ht="18" customHeight="1" x14ac:dyDescent="0.25">
      <c r="B32" s="1131" t="s">
        <v>1938</v>
      </c>
      <c r="C32" s="3735"/>
      <c r="D32" s="3753">
        <f>Table3!D11</f>
        <v>1849.8425778115834</v>
      </c>
      <c r="E32" s="98"/>
      <c r="F32" s="3754"/>
      <c r="G32" s="3754"/>
      <c r="H32" s="3730"/>
      <c r="I32" s="3754"/>
      <c r="J32" s="3730"/>
      <c r="K32" s="98"/>
      <c r="L32" s="98"/>
      <c r="M32" s="98"/>
      <c r="N32" s="3755"/>
      <c r="O32" s="3716">
        <f t="shared" si="2"/>
        <v>51795.592178724335</v>
      </c>
    </row>
    <row r="33" spans="2:15" ht="18" customHeight="1" x14ac:dyDescent="0.25">
      <c r="B33" s="1131" t="s">
        <v>1939</v>
      </c>
      <c r="C33" s="3735"/>
      <c r="D33" s="3722">
        <f>Table3!D21</f>
        <v>220.60939068850422</v>
      </c>
      <c r="E33" s="3722">
        <f>Table3!E21</f>
        <v>2.3744228304840567</v>
      </c>
      <c r="F33" s="3754"/>
      <c r="G33" s="3754"/>
      <c r="H33" s="3754"/>
      <c r="I33" s="3754"/>
      <c r="J33" s="3754"/>
      <c r="K33" s="69"/>
      <c r="L33" s="69"/>
      <c r="M33" s="3756" t="str">
        <f>Table3!H21</f>
        <v>NE</v>
      </c>
      <c r="N33" s="3757"/>
      <c r="O33" s="3717">
        <f t="shared" si="2"/>
        <v>6806.2849893563935</v>
      </c>
    </row>
    <row r="34" spans="2:15" ht="18" customHeight="1" x14ac:dyDescent="0.25">
      <c r="B34" s="1131" t="s">
        <v>1940</v>
      </c>
      <c r="C34" s="3735"/>
      <c r="D34" s="3722">
        <f>Table3!D32</f>
        <v>0.82707023222906406</v>
      </c>
      <c r="E34" s="69"/>
      <c r="F34" s="3754"/>
      <c r="G34" s="3754"/>
      <c r="H34" s="3754"/>
      <c r="I34" s="3754"/>
      <c r="J34" s="3754"/>
      <c r="K34" s="69"/>
      <c r="L34" s="69"/>
      <c r="M34" s="3756" t="str">
        <f>Table3!H32</f>
        <v>NE</v>
      </c>
      <c r="N34" s="3757"/>
      <c r="O34" s="3717">
        <f t="shared" si="2"/>
        <v>23.157966502413792</v>
      </c>
    </row>
    <row r="35" spans="2:15" ht="18" customHeight="1" x14ac:dyDescent="0.25">
      <c r="B35" s="1131" t="s">
        <v>1941</v>
      </c>
      <c r="C35" s="3758"/>
      <c r="D35" s="3722" t="str">
        <f>Table3!D33</f>
        <v>NE</v>
      </c>
      <c r="E35" s="3722">
        <f>Table3!E33</f>
        <v>37.468465987236449</v>
      </c>
      <c r="F35" s="3754"/>
      <c r="G35" s="3754"/>
      <c r="H35" s="3754"/>
      <c r="I35" s="3754"/>
      <c r="J35" s="3754"/>
      <c r="K35" s="3756" t="str">
        <f>Table3!F33</f>
        <v>NO</v>
      </c>
      <c r="L35" s="3756" t="str">
        <f>Table3!G33</f>
        <v>NO</v>
      </c>
      <c r="M35" s="3756" t="str">
        <f>Table3!H33</f>
        <v>NO</v>
      </c>
      <c r="N35" s="3757"/>
      <c r="O35" s="3717">
        <f t="shared" si="2"/>
        <v>9929.1434866176587</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5.7260086086722168</v>
      </c>
      <c r="E37" s="3722">
        <f>Table3!E44</f>
        <v>0.2407880570651435</v>
      </c>
      <c r="F37" s="3754"/>
      <c r="G37" s="3754"/>
      <c r="H37" s="3754"/>
      <c r="I37" s="3754"/>
      <c r="J37" s="3754"/>
      <c r="K37" s="3756">
        <f>Table3!F44</f>
        <v>13.911558799337836</v>
      </c>
      <c r="L37" s="3756">
        <f>Table3!G44</f>
        <v>223.31433573821647</v>
      </c>
      <c r="M37" s="3756">
        <f>Table3!H44</f>
        <v>13.026669584729296</v>
      </c>
      <c r="N37" s="3756" t="str">
        <f>Table3!I44</f>
        <v>NO</v>
      </c>
      <c r="O37" s="3717">
        <f t="shared" si="2"/>
        <v>224.13707616508509</v>
      </c>
    </row>
    <row r="38" spans="2:15" ht="18" customHeight="1" x14ac:dyDescent="0.25">
      <c r="B38" s="1132" t="s">
        <v>955</v>
      </c>
      <c r="C38" s="3739">
        <f>Table3!C45</f>
        <v>1318.3866247265748</v>
      </c>
      <c r="D38" s="3759"/>
      <c r="E38" s="3759"/>
      <c r="F38" s="3736"/>
      <c r="G38" s="3736"/>
      <c r="H38" s="3736"/>
      <c r="I38" s="3736"/>
      <c r="J38" s="3736"/>
      <c r="K38" s="3760"/>
      <c r="L38" s="3760"/>
      <c r="M38" s="3760"/>
      <c r="N38" s="3738"/>
      <c r="O38" s="3721">
        <f t="shared" si="2"/>
        <v>1318.3866247265748</v>
      </c>
    </row>
    <row r="39" spans="2:15" ht="18" customHeight="1" x14ac:dyDescent="0.25">
      <c r="B39" s="1132" t="s">
        <v>956</v>
      </c>
      <c r="C39" s="3761">
        <f>Table3!C46</f>
        <v>1478.1585285008669</v>
      </c>
      <c r="D39" s="3759"/>
      <c r="E39" s="3759"/>
      <c r="F39" s="3736"/>
      <c r="G39" s="3736"/>
      <c r="H39" s="3736"/>
      <c r="I39" s="3736"/>
      <c r="J39" s="3736"/>
      <c r="K39" s="3760"/>
      <c r="L39" s="3760"/>
      <c r="M39" s="3760"/>
      <c r="N39" s="3738"/>
      <c r="O39" s="3721">
        <f t="shared" si="2"/>
        <v>1478.1585285008669</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-78758.785798327925</v>
      </c>
      <c r="D42" s="3765">
        <f>Table4!D10</f>
        <v>506.72538151669215</v>
      </c>
      <c r="E42" s="3766">
        <f>Table4!E10</f>
        <v>12.599288192913253</v>
      </c>
      <c r="F42" s="3750"/>
      <c r="G42" s="3750"/>
      <c r="H42" s="3750"/>
      <c r="I42" s="3750"/>
      <c r="J42" s="3750"/>
      <c r="K42" s="3767">
        <f>Table4!F10</f>
        <v>683.24165966991018</v>
      </c>
      <c r="L42" s="3767">
        <f>Table4!G10</f>
        <v>17638.240060416934</v>
      </c>
      <c r="M42" s="3767">
        <f>Table4!H10</f>
        <v>391.67352724773224</v>
      </c>
      <c r="N42" s="3768" t="str">
        <f>N50</f>
        <v>NO</v>
      </c>
      <c r="O42" s="3715">
        <f t="shared" si="2"/>
        <v>-61231.663744738529</v>
      </c>
    </row>
    <row r="43" spans="2:15" ht="18" customHeight="1" x14ac:dyDescent="0.25">
      <c r="B43" s="1131" t="s">
        <v>1947</v>
      </c>
      <c r="C43" s="3769">
        <f>Table4!C11</f>
        <v>-80293.884304624618</v>
      </c>
      <c r="D43" s="3770">
        <f>Table4!D11</f>
        <v>208.99923353828316</v>
      </c>
      <c r="E43" s="3771">
        <f>Table4!E11</f>
        <v>4.741209799910572</v>
      </c>
      <c r="F43" s="3736"/>
      <c r="G43" s="3736"/>
      <c r="H43" s="3736"/>
      <c r="I43" s="3736"/>
      <c r="J43" s="3736"/>
      <c r="K43" s="3756">
        <f>Table4!F11</f>
        <v>228.71514480290611</v>
      </c>
      <c r="L43" s="3756">
        <f>Table4!G11</f>
        <v>6060.0519169605395</v>
      </c>
      <c r="M43" s="3756">
        <f>Table4!H11</f>
        <v>182.40813323811417</v>
      </c>
      <c r="N43" s="3772"/>
      <c r="O43" s="3773">
        <f t="shared" si="2"/>
        <v>-73185.485168576386</v>
      </c>
    </row>
    <row r="44" spans="2:15" ht="18" customHeight="1" x14ac:dyDescent="0.25">
      <c r="B44" s="1131" t="s">
        <v>1948</v>
      </c>
      <c r="C44" s="3769">
        <f>Table4!C14</f>
        <v>-8911.0867459891688</v>
      </c>
      <c r="D44" s="3774">
        <f>Table4!D14</f>
        <v>0.55681991020944188</v>
      </c>
      <c r="E44" s="3774">
        <f>Table4!E14</f>
        <v>0.10302905575741669</v>
      </c>
      <c r="F44" s="3754"/>
      <c r="G44" s="3754"/>
      <c r="H44" s="3754"/>
      <c r="I44" s="3754"/>
      <c r="J44" s="3754"/>
      <c r="K44" s="3756">
        <f>Table4!F14</f>
        <v>0.41927213477080005</v>
      </c>
      <c r="L44" s="3756">
        <f>Table4!G14</f>
        <v>16.421031611269193</v>
      </c>
      <c r="M44" s="3756">
        <f>Table4!H14</f>
        <v>1.9849598650984737</v>
      </c>
      <c r="N44" s="3775"/>
      <c r="O44" s="3717">
        <f t="shared" si="2"/>
        <v>-8868.1930887275885</v>
      </c>
    </row>
    <row r="45" spans="2:15" ht="18" customHeight="1" x14ac:dyDescent="0.25">
      <c r="B45" s="1131" t="s">
        <v>1949</v>
      </c>
      <c r="C45" s="3769">
        <f>Table4!C17</f>
        <v>12423.756939155177</v>
      </c>
      <c r="D45" s="3774">
        <f>Table4!D17</f>
        <v>229.90962483655585</v>
      </c>
      <c r="E45" s="3774">
        <f>Table4!E17</f>
        <v>7.1758066280757387</v>
      </c>
      <c r="F45" s="3754"/>
      <c r="G45" s="3754"/>
      <c r="H45" s="3754"/>
      <c r="I45" s="3754"/>
      <c r="J45" s="3754"/>
      <c r="K45" s="3756">
        <f>Table4!F17</f>
        <v>430.99914624494511</v>
      </c>
      <c r="L45" s="3756">
        <f>Table4!G17</f>
        <v>11000.60550796662</v>
      </c>
      <c r="M45" s="3756">
        <f>Table4!H17</f>
        <v>204.73287953398608</v>
      </c>
      <c r="N45" s="3775"/>
      <c r="O45" s="3717">
        <f t="shared" si="2"/>
        <v>20762.81519101881</v>
      </c>
    </row>
    <row r="46" spans="2:15" ht="18" customHeight="1" x14ac:dyDescent="0.25">
      <c r="B46" s="1131" t="s">
        <v>1950</v>
      </c>
      <c r="C46" s="3769">
        <f>Table4!C20</f>
        <v>-1022.9871660343518</v>
      </c>
      <c r="D46" s="3774">
        <f>Table4!D20</f>
        <v>66.642798890522485</v>
      </c>
      <c r="E46" s="3774">
        <f>Table4!E20</f>
        <v>0.31554565155694314</v>
      </c>
      <c r="F46" s="3754"/>
      <c r="G46" s="3754"/>
      <c r="H46" s="3754"/>
      <c r="I46" s="3754"/>
      <c r="J46" s="3754"/>
      <c r="K46" s="3756">
        <f>Table4!F20</f>
        <v>22.64358220662244</v>
      </c>
      <c r="L46" s="3756">
        <f>Table4!G20</f>
        <v>542.96863789265956</v>
      </c>
      <c r="M46" s="3756">
        <f>Table4!H20</f>
        <v>0.34840487598112319</v>
      </c>
      <c r="N46" s="3775"/>
      <c r="O46" s="3717">
        <f t="shared" si="2"/>
        <v>926.63080056286765</v>
      </c>
    </row>
    <row r="47" spans="2:15" ht="18" customHeight="1" x14ac:dyDescent="0.25">
      <c r="B47" s="1131" t="s">
        <v>1951</v>
      </c>
      <c r="C47" s="3769">
        <f>Table4!C23</f>
        <v>3465.1997592324474</v>
      </c>
      <c r="D47" s="3774">
        <f>Table4!D23</f>
        <v>0.61690434112117654</v>
      </c>
      <c r="E47" s="3776">
        <f>Table4!E23</f>
        <v>3.6101538645439739E-2</v>
      </c>
      <c r="F47" s="3754"/>
      <c r="G47" s="3754"/>
      <c r="H47" s="3754"/>
      <c r="I47" s="3754"/>
      <c r="J47" s="3754"/>
      <c r="K47" s="3756">
        <f>Table4!F23</f>
        <v>0.46451428066564771</v>
      </c>
      <c r="L47" s="3756">
        <f>Table4!G23</f>
        <v>18.1929659858421</v>
      </c>
      <c r="M47" s="3756">
        <f>Table4!H23</f>
        <v>2.1991497345523419</v>
      </c>
      <c r="N47" s="1842"/>
      <c r="O47" s="3717">
        <f t="shared" si="2"/>
        <v>3492.0399885248821</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-4419.7842800674098</v>
      </c>
      <c r="D49" s="3736"/>
      <c r="E49" s="3736"/>
      <c r="F49" s="3736"/>
      <c r="G49" s="3736"/>
      <c r="H49" s="3736"/>
      <c r="I49" s="3736"/>
      <c r="J49" s="3736"/>
      <c r="K49" s="3736"/>
      <c r="L49" s="3736"/>
      <c r="M49" s="3736"/>
      <c r="N49" s="3781"/>
      <c r="O49" s="3721">
        <f t="shared" si="2"/>
        <v>-4419.7842800674098</v>
      </c>
    </row>
    <row r="50" spans="2:15" ht="18" customHeight="1" thickBot="1" x14ac:dyDescent="0.3">
      <c r="B50" s="1375" t="s">
        <v>1954</v>
      </c>
      <c r="C50" s="3782" t="str">
        <f>Table4!C30</f>
        <v>NO</v>
      </c>
      <c r="D50" s="3783" t="str">
        <f>Table4!D30</f>
        <v>NO</v>
      </c>
      <c r="E50" s="3783">
        <f>Table4!E30</f>
        <v>0.22759551896714286</v>
      </c>
      <c r="F50" s="3762"/>
      <c r="G50" s="3762"/>
      <c r="H50" s="3762"/>
      <c r="I50" s="3762"/>
      <c r="J50" s="3762"/>
      <c r="K50" s="3784" t="str">
        <f>Table4!F30</f>
        <v>NO</v>
      </c>
      <c r="L50" s="3784" t="str">
        <f>Table4!G30</f>
        <v>NO</v>
      </c>
      <c r="M50" s="3784" t="str">
        <f>Table4!H30</f>
        <v>NO</v>
      </c>
      <c r="N50" s="3785" t="s">
        <v>199</v>
      </c>
      <c r="O50" s="3747">
        <f t="shared" si="2"/>
        <v>60.312812526292859</v>
      </c>
    </row>
    <row r="51" spans="2:15" ht="18" customHeight="1" x14ac:dyDescent="0.25">
      <c r="B51" s="1376" t="s">
        <v>1955</v>
      </c>
      <c r="C51" s="3786">
        <f>Table5!C10</f>
        <v>31.466299785649113</v>
      </c>
      <c r="D51" s="3748">
        <f>Table5!D10</f>
        <v>469.3036772918469</v>
      </c>
      <c r="E51" s="3749">
        <f>Table5!E10</f>
        <v>1.3682815925931888</v>
      </c>
      <c r="F51" s="3750"/>
      <c r="G51" s="3750"/>
      <c r="H51" s="3750"/>
      <c r="I51" s="3750"/>
      <c r="J51" s="3750"/>
      <c r="K51" s="3751" t="str">
        <f>Table5!F10</f>
        <v>NO</v>
      </c>
      <c r="L51" s="3751" t="str">
        <f>Table5!G10</f>
        <v>NO</v>
      </c>
      <c r="M51" s="3751">
        <f>Table5!H10</f>
        <v>236.28423434103914</v>
      </c>
      <c r="N51" s="3752" t="str">
        <f>Table5!I10</f>
        <v>NO</v>
      </c>
      <c r="O51" s="3787">
        <f t="shared" si="2"/>
        <v>13534.563885994557</v>
      </c>
    </row>
    <row r="52" spans="2:15" ht="18" customHeight="1" x14ac:dyDescent="0.25">
      <c r="B52" s="1131" t="s">
        <v>1956</v>
      </c>
      <c r="C52" s="3758"/>
      <c r="D52" s="3753">
        <f>Table5!D11</f>
        <v>366.23023347098763</v>
      </c>
      <c r="E52" s="3788"/>
      <c r="F52" s="3750"/>
      <c r="G52" s="3750"/>
      <c r="H52" s="3750"/>
      <c r="I52" s="3750"/>
      <c r="J52" s="3750"/>
      <c r="K52" s="3756" t="str">
        <f>Table5!F11</f>
        <v>NO</v>
      </c>
      <c r="L52" s="3756" t="str">
        <f>Table5!G11</f>
        <v>NO</v>
      </c>
      <c r="M52" s="3756">
        <f>Table5!H11</f>
        <v>3.0172731887350763</v>
      </c>
      <c r="N52" s="3755"/>
      <c r="O52" s="3787">
        <f t="shared" si="2"/>
        <v>10254.446537187654</v>
      </c>
    </row>
    <row r="53" spans="2:15" ht="18" customHeight="1" x14ac:dyDescent="0.25">
      <c r="B53" s="1131" t="s">
        <v>1957</v>
      </c>
      <c r="C53" s="3758"/>
      <c r="D53" s="3753">
        <f>Table5!D15</f>
        <v>4.5475882237186438</v>
      </c>
      <c r="E53" s="3753">
        <f>Table5!E15</f>
        <v>0.58209129263598647</v>
      </c>
      <c r="F53" s="3754"/>
      <c r="G53" s="3754"/>
      <c r="H53" s="3754"/>
      <c r="I53" s="3754"/>
      <c r="J53" s="3754"/>
      <c r="K53" s="3756" t="str">
        <f>Table5!F15</f>
        <v>NA,NE</v>
      </c>
      <c r="L53" s="3756" t="str">
        <f>Table5!G15</f>
        <v>NA,NE</v>
      </c>
      <c r="M53" s="3756" t="str">
        <f>Table5!H15</f>
        <v>NA,NE</v>
      </c>
      <c r="N53" s="3755"/>
      <c r="O53" s="3716">
        <f t="shared" si="2"/>
        <v>281.58666281265846</v>
      </c>
    </row>
    <row r="54" spans="2:15" ht="18" customHeight="1" x14ac:dyDescent="0.25">
      <c r="B54" s="1131" t="s">
        <v>1958</v>
      </c>
      <c r="C54" s="3817">
        <f>Table5!C18</f>
        <v>31.466299785649113</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31.466299785649113</v>
      </c>
    </row>
    <row r="55" spans="2:15" ht="18" customHeight="1" x14ac:dyDescent="0.25">
      <c r="B55" s="1131" t="s">
        <v>1959</v>
      </c>
      <c r="C55" s="3735"/>
      <c r="D55" s="3722">
        <f>Table5!D21</f>
        <v>98.525855597140605</v>
      </c>
      <c r="E55" s="3722">
        <f>Table5!E21</f>
        <v>0.78619029995720235</v>
      </c>
      <c r="F55" s="3754"/>
      <c r="G55" s="3754"/>
      <c r="H55" s="3754"/>
      <c r="I55" s="3754"/>
      <c r="J55" s="3754"/>
      <c r="K55" s="3756" t="str">
        <f>Table5!F21</f>
        <v>NO</v>
      </c>
      <c r="L55" s="3756" t="str">
        <f>Table5!G21</f>
        <v>NO</v>
      </c>
      <c r="M55" s="3756">
        <f>Table5!H21</f>
        <v>233.26696115230405</v>
      </c>
      <c r="N55" s="3755"/>
      <c r="O55" s="3791">
        <f t="shared" si="2"/>
        <v>2967.0643862085954</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13888.5497904</v>
      </c>
      <c r="D61" s="3802">
        <f>Table1!D52</f>
        <v>0.23124189231627892</v>
      </c>
      <c r="E61" s="3802">
        <f>Table1!E52</f>
        <v>0.1159477610636668</v>
      </c>
      <c r="F61" s="615"/>
      <c r="G61" s="615"/>
      <c r="H61" s="615"/>
      <c r="I61" s="615"/>
      <c r="J61" s="615"/>
      <c r="K61" s="3802">
        <f>Table1!F52</f>
        <v>118.04663101567547</v>
      </c>
      <c r="L61" s="3802">
        <f>Table1!G52</f>
        <v>20.347635114233427</v>
      </c>
      <c r="M61" s="3802">
        <f>Table1!H52</f>
        <v>10.882190292176098</v>
      </c>
      <c r="N61" s="3803">
        <f>Table1!I52</f>
        <v>33.195850388410882</v>
      </c>
      <c r="O61" s="3787">
        <f t="shared" ref="O61:O67" si="4">IF(SUM(C61:J61)=0,"NO",SUM(C61,F61:H61)+28*SUM(D61)+265*SUM(E61)+23500*SUM(I61)+16100*SUM(J61))</f>
        <v>13925.750720066728</v>
      </c>
    </row>
    <row r="62" spans="2:15" ht="18" customHeight="1" x14ac:dyDescent="0.25">
      <c r="B62" s="1370" t="s">
        <v>218</v>
      </c>
      <c r="C62" s="3804">
        <f>Table1!C53</f>
        <v>11757.883683840002</v>
      </c>
      <c r="D62" s="620">
        <f>Table1!D53</f>
        <v>2.6988825116279071E-2</v>
      </c>
      <c r="E62" s="620">
        <f>Table1!E53</f>
        <v>5.7589741863666853E-2</v>
      </c>
      <c r="F62" s="615"/>
      <c r="G62" s="615"/>
      <c r="H62" s="615"/>
      <c r="I62" s="615"/>
      <c r="J62" s="2161"/>
      <c r="K62" s="620">
        <f>Table1!F53</f>
        <v>61.608011815675525</v>
      </c>
      <c r="L62" s="620">
        <f>Table1!G53</f>
        <v>18.519928691833428</v>
      </c>
      <c r="M62" s="620">
        <f>Table1!H53</f>
        <v>9.1216026873761002</v>
      </c>
      <c r="N62" s="622">
        <f>Table1!I53</f>
        <v>1.3852679052800008</v>
      </c>
      <c r="O62" s="3716">
        <f t="shared" si="4"/>
        <v>11773.90065253713</v>
      </c>
    </row>
    <row r="63" spans="2:15" ht="18" customHeight="1" x14ac:dyDescent="0.25">
      <c r="B63" s="1379" t="s">
        <v>1963</v>
      </c>
      <c r="C63" s="3804">
        <f>Table1!C54</f>
        <v>2130.6661065599983</v>
      </c>
      <c r="D63" s="617">
        <f>Table1!D54</f>
        <v>0.20425306719999986</v>
      </c>
      <c r="E63" s="617">
        <f>Table1!E54</f>
        <v>5.8358019199999958E-2</v>
      </c>
      <c r="F63" s="615"/>
      <c r="G63" s="615"/>
      <c r="H63" s="615"/>
      <c r="I63" s="615"/>
      <c r="J63" s="615"/>
      <c r="K63" s="617">
        <f>Table1!F54</f>
        <v>56.438619199999955</v>
      </c>
      <c r="L63" s="617">
        <f>Table1!G54</f>
        <v>1.8277064223999995</v>
      </c>
      <c r="M63" s="617">
        <f>Table1!H54</f>
        <v>1.7605876047999987</v>
      </c>
      <c r="N63" s="619">
        <f>Table1!I54</f>
        <v>31.810582483130879</v>
      </c>
      <c r="O63" s="3717">
        <f t="shared" si="4"/>
        <v>2151.8500675295986</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16278.472390810328</v>
      </c>
      <c r="D65" s="3806"/>
      <c r="E65" s="3806"/>
      <c r="F65" s="3807"/>
      <c r="G65" s="3807"/>
      <c r="H65" s="3807"/>
      <c r="I65" s="3807"/>
      <c r="J65" s="3806"/>
      <c r="K65" s="3806"/>
      <c r="L65" s="3806"/>
      <c r="M65" s="3806"/>
      <c r="N65" s="3808"/>
      <c r="O65" s="3773">
        <f t="shared" si="4"/>
        <v>16278.472390810328</v>
      </c>
    </row>
    <row r="66" spans="2:15" ht="18" customHeight="1" x14ac:dyDescent="0.25">
      <c r="B66" s="1382" t="s">
        <v>1964</v>
      </c>
      <c r="C66" s="3809">
        <f>Table1!C57</f>
        <v>2164.8240000000001</v>
      </c>
      <c r="D66" s="3317"/>
      <c r="E66" s="3317"/>
      <c r="F66" s="3317"/>
      <c r="G66" s="3317"/>
      <c r="H66" s="3317"/>
      <c r="I66" s="3317"/>
      <c r="J66" s="3317"/>
      <c r="K66" s="3317"/>
      <c r="L66" s="3317"/>
      <c r="M66" s="3317"/>
      <c r="N66" s="3810"/>
      <c r="O66" s="3717">
        <f t="shared" si="4"/>
        <v>2164.8240000000001</v>
      </c>
    </row>
    <row r="67" spans="2:15" ht="18" customHeight="1" thickBot="1" x14ac:dyDescent="0.3">
      <c r="B67" s="1383" t="s">
        <v>1965</v>
      </c>
      <c r="C67" s="3809">
        <f>Table5!C28</f>
        <v>319218.82531955553</v>
      </c>
      <c r="D67" s="3807"/>
      <c r="E67" s="3807"/>
      <c r="F67" s="3811"/>
      <c r="G67" s="3807"/>
      <c r="H67" s="3807"/>
      <c r="I67" s="3807"/>
      <c r="J67" s="3807"/>
      <c r="K67" s="3807"/>
      <c r="L67" s="3807"/>
      <c r="M67" s="3807"/>
      <c r="N67" s="3812"/>
      <c r="O67" s="3721">
        <f t="shared" si="4"/>
        <v>319218.82531955553</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topLeftCell="A9"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320425.12280077208</v>
      </c>
      <c r="D10" s="3798">
        <f>IFERROR(Summary1!D10*28,Summary1!D10)</f>
        <v>124198.05484448625</v>
      </c>
      <c r="E10" s="3798">
        <f>IFERROR(Summary1!E10*265,Summary1!E10)</f>
        <v>18626.519909535393</v>
      </c>
      <c r="F10" s="3798">
        <f>Summary1!F10</f>
        <v>10949.19171830784</v>
      </c>
      <c r="G10" s="3798">
        <f>Summary1!G10</f>
        <v>243.11647207633368</v>
      </c>
      <c r="H10" s="3798" t="str">
        <f>Summary1!H10</f>
        <v>NO</v>
      </c>
      <c r="I10" s="3827">
        <f>IFERROR(Summary1!I10*23500,Summary1!I10)</f>
        <v>102.28646355522085</v>
      </c>
      <c r="J10" s="4181" t="str">
        <f>IFERROR(Summary1!J10*16100,Summary1!J10)</f>
        <v>NO</v>
      </c>
      <c r="K10" s="3799">
        <f>IF(SUM(C10:J10)=0,"NO",SUM(C10:J10))</f>
        <v>474544.29220873315</v>
      </c>
    </row>
    <row r="11" spans="2:12" ht="18" customHeight="1" x14ac:dyDescent="0.2">
      <c r="B11" s="1549" t="s">
        <v>1921</v>
      </c>
      <c r="C11" s="3767">
        <f>Summary1!C11</f>
        <v>377584.25662637874</v>
      </c>
      <c r="D11" s="3767">
        <f>IFERROR(Summary1!D11*28,Summary1!D11)</f>
        <v>38633.061394457451</v>
      </c>
      <c r="E11" s="3767">
        <f>IFERROR(Summary1!E11*265,Summary1!E11)</f>
        <v>2557.4529565075568</v>
      </c>
      <c r="F11" s="1550"/>
      <c r="G11" s="1550"/>
      <c r="H11" s="1551"/>
      <c r="I11" s="1551"/>
      <c r="J11" s="613"/>
      <c r="K11" s="3828">
        <f t="shared" ref="K11:K55" si="0">IF(SUM(C11:J11)=0,"NO",SUM(C11:J11))</f>
        <v>418774.77097734378</v>
      </c>
      <c r="L11" s="19"/>
    </row>
    <row r="12" spans="2:12" ht="18" customHeight="1" x14ac:dyDescent="0.2">
      <c r="B12" s="606" t="s">
        <v>242</v>
      </c>
      <c r="C12" s="3756">
        <f>Summary1!C12</f>
        <v>360287.65911070595</v>
      </c>
      <c r="D12" s="3756">
        <f>IFERROR(Summary1!D12*28,Summary1!D12)</f>
        <v>2115.4258366369068</v>
      </c>
      <c r="E12" s="3756">
        <f>IFERROR(Summary1!E12*265,Summary1!E12)</f>
        <v>2496.961609184862</v>
      </c>
      <c r="F12" s="615"/>
      <c r="G12" s="615"/>
      <c r="H12" s="615"/>
      <c r="I12" s="69"/>
      <c r="J12" s="69"/>
      <c r="K12" s="3829">
        <f t="shared" si="0"/>
        <v>364900.04655652773</v>
      </c>
      <c r="L12" s="19"/>
    </row>
    <row r="13" spans="2:12" ht="18" customHeight="1" x14ac:dyDescent="0.2">
      <c r="B13" s="1391" t="s">
        <v>1923</v>
      </c>
      <c r="C13" s="3756">
        <f>Summary1!C13</f>
        <v>206098.02671549973</v>
      </c>
      <c r="D13" s="3756">
        <f>IFERROR(Summary1!D13*28,Summary1!D13)</f>
        <v>736.46760583566083</v>
      </c>
      <c r="E13" s="3756">
        <f>IFERROR(Summary1!E13*265,Summary1!E13)</f>
        <v>834.60613131714638</v>
      </c>
      <c r="F13" s="615"/>
      <c r="G13" s="615"/>
      <c r="H13" s="615"/>
      <c r="I13" s="69"/>
      <c r="J13" s="69"/>
      <c r="K13" s="3829">
        <f t="shared" si="0"/>
        <v>207669.10045265255</v>
      </c>
      <c r="L13" s="19"/>
    </row>
    <row r="14" spans="2:12" ht="18" customHeight="1" x14ac:dyDescent="0.2">
      <c r="B14" s="1391" t="s">
        <v>1976</v>
      </c>
      <c r="C14" s="3756">
        <f>Summary1!C14</f>
        <v>41271.375033629491</v>
      </c>
      <c r="D14" s="3756">
        <f>IFERROR(Summary1!D14*28,Summary1!D14)</f>
        <v>64.496913509614259</v>
      </c>
      <c r="E14" s="3756">
        <f>IFERROR(Summary1!E14*265,Summary1!E14)</f>
        <v>389.671999523029</v>
      </c>
      <c r="F14" s="615"/>
      <c r="G14" s="615"/>
      <c r="H14" s="615"/>
      <c r="I14" s="69"/>
      <c r="J14" s="69"/>
      <c r="K14" s="3829">
        <f t="shared" si="0"/>
        <v>41725.543946662132</v>
      </c>
      <c r="L14" s="19"/>
    </row>
    <row r="15" spans="2:12" ht="18" customHeight="1" x14ac:dyDescent="0.2">
      <c r="B15" s="1391" t="s">
        <v>1925</v>
      </c>
      <c r="C15" s="3756">
        <f>Summary1!C15</f>
        <v>91747.348470689438</v>
      </c>
      <c r="D15" s="3756">
        <f>IFERROR(Summary1!D15*28,Summary1!D15)</f>
        <v>333.45176247867482</v>
      </c>
      <c r="E15" s="3756">
        <f>IFERROR(Summary1!E15*265,Summary1!E15)</f>
        <v>1100.2587747889393</v>
      </c>
      <c r="F15" s="615"/>
      <c r="G15" s="615"/>
      <c r="H15" s="615"/>
      <c r="I15" s="69"/>
      <c r="J15" s="69"/>
      <c r="K15" s="3829">
        <f t="shared" si="0"/>
        <v>93181.059007957039</v>
      </c>
      <c r="L15" s="19"/>
    </row>
    <row r="16" spans="2:12" ht="18" customHeight="1" x14ac:dyDescent="0.2">
      <c r="B16" s="1391" t="s">
        <v>1926</v>
      </c>
      <c r="C16" s="3756">
        <f>Summary1!C16</f>
        <v>20231.839330714669</v>
      </c>
      <c r="D16" s="3756">
        <f>IFERROR(Summary1!D16*28,Summary1!D16)</f>
        <v>979.95490496011314</v>
      </c>
      <c r="E16" s="3756">
        <f>IFERROR(Summary1!E16*265,Summary1!E16)</f>
        <v>165.45303538997086</v>
      </c>
      <c r="F16" s="615"/>
      <c r="G16" s="615"/>
      <c r="H16" s="615"/>
      <c r="I16" s="69"/>
      <c r="J16" s="69"/>
      <c r="K16" s="3829">
        <f t="shared" si="0"/>
        <v>21377.247271064753</v>
      </c>
      <c r="L16" s="19"/>
    </row>
    <row r="17" spans="2:12" ht="18" customHeight="1" x14ac:dyDescent="0.2">
      <c r="B17" s="1391" t="s">
        <v>1927</v>
      </c>
      <c r="C17" s="3756">
        <f>Summary1!C17</f>
        <v>939.0695601726469</v>
      </c>
      <c r="D17" s="3756">
        <f>IFERROR(Summary1!D17*28,Summary1!D17)</f>
        <v>1.0546498528437871</v>
      </c>
      <c r="E17" s="3756">
        <f>IFERROR(Summary1!E17*265,Summary1!E17)</f>
        <v>6.9716681657765687</v>
      </c>
      <c r="F17" s="615"/>
      <c r="G17" s="615"/>
      <c r="H17" s="615"/>
      <c r="I17" s="69"/>
      <c r="J17" s="69"/>
      <c r="K17" s="3829">
        <f t="shared" si="0"/>
        <v>947.09587819126727</v>
      </c>
      <c r="L17" s="19"/>
    </row>
    <row r="18" spans="2:12" ht="18" customHeight="1" x14ac:dyDescent="0.2">
      <c r="B18" s="606" t="s">
        <v>201</v>
      </c>
      <c r="C18" s="3756">
        <f>Summary1!C18</f>
        <v>17284.18051567279</v>
      </c>
      <c r="D18" s="3756">
        <f>IFERROR(Summary1!D18*28,Summary1!D18)</f>
        <v>36517.63555782054</v>
      </c>
      <c r="E18" s="3756">
        <f>IFERROR(Summary1!E18*265,Summary1!E18)</f>
        <v>60.491347322694608</v>
      </c>
      <c r="F18" s="615"/>
      <c r="G18" s="615"/>
      <c r="H18" s="615"/>
      <c r="I18" s="69"/>
      <c r="J18" s="69"/>
      <c r="K18" s="3829">
        <f t="shared" si="0"/>
        <v>53862.307420816025</v>
      </c>
      <c r="L18" s="19"/>
    </row>
    <row r="19" spans="2:12" ht="18" customHeight="1" x14ac:dyDescent="0.2">
      <c r="B19" s="1391" t="s">
        <v>1928</v>
      </c>
      <c r="C19" s="3756">
        <f>Summary1!C19</f>
        <v>2380.4751845029359</v>
      </c>
      <c r="D19" s="3756">
        <f>IFERROR(Summary1!D19*28,Summary1!D19)</f>
        <v>28285.102841134201</v>
      </c>
      <c r="E19" s="3756">
        <f>IFERROR(Summary1!E19*265,Summary1!E19)</f>
        <v>0.54312771854129616</v>
      </c>
      <c r="F19" s="615"/>
      <c r="G19" s="615"/>
      <c r="H19" s="615"/>
      <c r="I19" s="69"/>
      <c r="J19" s="69"/>
      <c r="K19" s="3829">
        <f t="shared" si="0"/>
        <v>30666.121153355678</v>
      </c>
      <c r="L19" s="19"/>
    </row>
    <row r="20" spans="2:12" ht="18" customHeight="1" x14ac:dyDescent="0.2">
      <c r="B20" s="1392" t="s">
        <v>1929</v>
      </c>
      <c r="C20" s="3756">
        <f>Summary1!C20</f>
        <v>14903.705331169853</v>
      </c>
      <c r="D20" s="3756">
        <f>IFERROR(Summary1!D20*28,Summary1!D20)</f>
        <v>8232.5327166863426</v>
      </c>
      <c r="E20" s="3756">
        <f>IFERROR(Summary1!E20*265,Summary1!E20)</f>
        <v>59.948219604153316</v>
      </c>
      <c r="F20" s="615"/>
      <c r="G20" s="615"/>
      <c r="H20" s="615"/>
      <c r="I20" s="69"/>
      <c r="J20" s="69"/>
      <c r="K20" s="3829">
        <f t="shared" si="0"/>
        <v>23196.186267460351</v>
      </c>
      <c r="L20" s="19"/>
    </row>
    <row r="21" spans="2:12" ht="18" customHeight="1" thickBot="1" x14ac:dyDescent="0.25">
      <c r="B21" s="1406" t="s">
        <v>1977</v>
      </c>
      <c r="C21" s="3784">
        <f>Summary1!C21</f>
        <v>12.417</v>
      </c>
      <c r="D21" s="1948"/>
      <c r="E21" s="1948"/>
      <c r="F21" s="1948"/>
      <c r="G21" s="1948"/>
      <c r="H21" s="1948"/>
      <c r="I21" s="87"/>
      <c r="J21" s="87"/>
      <c r="K21" s="3830">
        <f t="shared" si="0"/>
        <v>12.417</v>
      </c>
      <c r="L21" s="19"/>
    </row>
    <row r="22" spans="2:12" ht="18" customHeight="1" x14ac:dyDescent="0.2">
      <c r="B22" s="1552" t="s">
        <v>1931</v>
      </c>
      <c r="C22" s="3767">
        <f>Summary1!C22</f>
        <v>18771.640519708133</v>
      </c>
      <c r="D22" s="3767">
        <f>IFERROR(Summary1!D22*28,Summary1!D22)</f>
        <v>80.038477842000802</v>
      </c>
      <c r="E22" s="3767">
        <f>IFERROR(Summary1!E22*265,Summary1!E22)</f>
        <v>1745.4865880504299</v>
      </c>
      <c r="F22" s="3767">
        <f>Summary1!F22</f>
        <v>10949.19171830784</v>
      </c>
      <c r="G22" s="3767">
        <f>Summary1!G22</f>
        <v>243.11647207633368</v>
      </c>
      <c r="H22" s="3767" t="str">
        <f>Summary1!H22</f>
        <v>NO</v>
      </c>
      <c r="I22" s="3767">
        <f>IFERROR(Summary1!I22*23500,Summary1!I22)</f>
        <v>102.28646355522085</v>
      </c>
      <c r="J22" s="3831" t="str">
        <f>IFERROR(Summary1!J22*16100,Summary1!J22)</f>
        <v>NO</v>
      </c>
      <c r="K22" s="3828">
        <f t="shared" si="0"/>
        <v>31891.760239539959</v>
      </c>
      <c r="L22" s="19"/>
    </row>
    <row r="23" spans="2:12" ht="18" customHeight="1" x14ac:dyDescent="0.2">
      <c r="B23" s="1393" t="s">
        <v>1932</v>
      </c>
      <c r="C23" s="3756">
        <f>Summary1!C23</f>
        <v>5230.4617644063883</v>
      </c>
      <c r="D23" s="615"/>
      <c r="E23" s="615"/>
      <c r="F23" s="615"/>
      <c r="G23" s="615"/>
      <c r="H23" s="615"/>
      <c r="I23" s="69"/>
      <c r="J23" s="69"/>
      <c r="K23" s="3829">
        <f t="shared" si="0"/>
        <v>5230.4617644063883</v>
      </c>
      <c r="L23" s="19"/>
    </row>
    <row r="24" spans="2:12" ht="18" customHeight="1" x14ac:dyDescent="0.2">
      <c r="B24" s="1393" t="s">
        <v>846</v>
      </c>
      <c r="C24" s="3756">
        <f>Summary1!C24</f>
        <v>2987.1547812315525</v>
      </c>
      <c r="D24" s="3756">
        <f>IFERROR(Summary1!D24*28,Summary1!D24)</f>
        <v>12.140799999999999</v>
      </c>
      <c r="E24" s="3756">
        <f>IFERROR(Summary1!E24*265,Summary1!E24)</f>
        <v>1731.3745968538615</v>
      </c>
      <c r="F24" s="1949" t="str">
        <f>Summary1!F24</f>
        <v>NO</v>
      </c>
      <c r="G24" s="1949" t="str">
        <f>Summary1!G24</f>
        <v>NO</v>
      </c>
      <c r="H24" s="1949" t="str">
        <f>Summary1!H24</f>
        <v>NO</v>
      </c>
      <c r="I24" s="602" t="str">
        <f>IFERROR(Summary1!I24*23500,Summary1!I24)</f>
        <v>NO</v>
      </c>
      <c r="J24" s="602" t="str">
        <f>IFERROR(Summary1!J24*16100,Summary1!J24)</f>
        <v>NO</v>
      </c>
      <c r="K24" s="3829">
        <f t="shared" si="0"/>
        <v>4730.6701780854146</v>
      </c>
      <c r="L24" s="19"/>
    </row>
    <row r="25" spans="2:12" ht="18" customHeight="1" x14ac:dyDescent="0.2">
      <c r="B25" s="1393" t="s">
        <v>637</v>
      </c>
      <c r="C25" s="3756">
        <f>Summary1!C25</f>
        <v>10162.119319579853</v>
      </c>
      <c r="D25" s="3756">
        <f>IFERROR(Summary1!D25*28,Summary1!D25)</f>
        <v>67.897677842000803</v>
      </c>
      <c r="E25" s="3756">
        <f>IFERROR(Summary1!E25*265,Summary1!E25)</f>
        <v>14.111991196568404</v>
      </c>
      <c r="F25" s="1949" t="str">
        <f>Summary1!F25</f>
        <v>NO</v>
      </c>
      <c r="G25" s="3756">
        <f>Summary1!G25</f>
        <v>243.11647207633368</v>
      </c>
      <c r="H25" s="3756" t="str">
        <f>Summary1!H25</f>
        <v>NO</v>
      </c>
      <c r="I25" s="3756" t="str">
        <f>IFERROR(Summary1!I25*23500,Summary1!I25)</f>
        <v>NO</v>
      </c>
      <c r="J25" s="3756" t="str">
        <f>IFERROR(Summary1!J25*16100,Summary1!J25)</f>
        <v>NO</v>
      </c>
      <c r="K25" s="3829">
        <f t="shared" si="0"/>
        <v>10487.245460694756</v>
      </c>
      <c r="L25" s="19"/>
    </row>
    <row r="26" spans="2:12" ht="18" customHeight="1" x14ac:dyDescent="0.2">
      <c r="B26" s="1394" t="s">
        <v>1978</v>
      </c>
      <c r="C26" s="3756">
        <f>Summary1!C26</f>
        <v>178.35814491499997</v>
      </c>
      <c r="D26" s="3756" t="str">
        <f>IFERROR(Summary1!D26*28,Summary1!D26)</f>
        <v>NO</v>
      </c>
      <c r="E26" s="3756" t="str">
        <f>IFERROR(Summary1!E26*265,Summary1!E26)</f>
        <v>NO</v>
      </c>
      <c r="F26" s="615"/>
      <c r="G26" s="615"/>
      <c r="H26" s="615"/>
      <c r="I26" s="69"/>
      <c r="J26" s="69"/>
      <c r="K26" s="3829">
        <f t="shared" si="0"/>
        <v>178.35814491499997</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10949.19171830784</v>
      </c>
      <c r="G28" s="3756" t="str">
        <f>Summary1!G28</f>
        <v>NO</v>
      </c>
      <c r="H28" s="3756" t="str">
        <f>Summary1!H28</f>
        <v>NO</v>
      </c>
      <c r="I28" s="3756" t="str">
        <f>IFERROR(Summary1!I28*23500,Summary1!I28)</f>
        <v>NO</v>
      </c>
      <c r="J28" s="3756" t="str">
        <f>IFERROR(Summary1!J28*16100,Summary1!J28)</f>
        <v>NO</v>
      </c>
      <c r="K28" s="3829">
        <f t="shared" si="0"/>
        <v>10949.19171830784</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102.28646355522085</v>
      </c>
      <c r="J29" s="3756" t="str">
        <f>IFERROR(Summary1!J29*16100,Summary1!J29)</f>
        <v>NO</v>
      </c>
      <c r="K29" s="3829">
        <f t="shared" si="0"/>
        <v>102.28646355522085</v>
      </c>
      <c r="L29" s="19"/>
    </row>
    <row r="30" spans="2:12" ht="18" customHeight="1" thickBot="1" x14ac:dyDescent="0.25">
      <c r="B30" s="1406" t="s">
        <v>1982</v>
      </c>
      <c r="C30" s="3784">
        <f>Summary1!C30</f>
        <v>213.54650957533741</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213.54650957533741</v>
      </c>
      <c r="L30" s="19"/>
    </row>
    <row r="31" spans="2:12" ht="18" customHeight="1" x14ac:dyDescent="0.2">
      <c r="B31" s="780" t="s">
        <v>1937</v>
      </c>
      <c r="C31" s="3767">
        <f>Summary1!C31</f>
        <v>2796.5451532274419</v>
      </c>
      <c r="D31" s="3767">
        <f>IFERROR(Summary1!D31*28,Summary1!D31)</f>
        <v>58156.141325547695</v>
      </c>
      <c r="E31" s="3767">
        <f>IFERROR(Summary1!E31*265,Summary1!E31)</f>
        <v>10622.174371818199</v>
      </c>
      <c r="F31" s="1550"/>
      <c r="G31" s="1550"/>
      <c r="H31" s="1550"/>
      <c r="I31" s="1553"/>
      <c r="J31" s="613"/>
      <c r="K31" s="3828">
        <f t="shared" si="0"/>
        <v>71574.860850593337</v>
      </c>
      <c r="L31" s="19"/>
    </row>
    <row r="32" spans="2:12" ht="18" customHeight="1" x14ac:dyDescent="0.2">
      <c r="B32" s="606" t="s">
        <v>1938</v>
      </c>
      <c r="C32" s="615"/>
      <c r="D32" s="3756">
        <f>IFERROR(Summary1!D32*28,Summary1!D32)</f>
        <v>51795.592178724335</v>
      </c>
      <c r="E32" s="615"/>
      <c r="F32" s="615"/>
      <c r="G32" s="615"/>
      <c r="H32" s="615"/>
      <c r="I32" s="69"/>
      <c r="J32" s="69"/>
      <c r="K32" s="3829">
        <f t="shared" si="0"/>
        <v>51795.592178724335</v>
      </c>
      <c r="L32" s="19"/>
    </row>
    <row r="33" spans="2:12" ht="18" customHeight="1" x14ac:dyDescent="0.2">
      <c r="B33" s="606" t="s">
        <v>1939</v>
      </c>
      <c r="C33" s="615"/>
      <c r="D33" s="3756">
        <f>IFERROR(Summary1!D33*28,Summary1!D33)</f>
        <v>6177.0629392781184</v>
      </c>
      <c r="E33" s="3756">
        <f>IFERROR(Summary1!E33*265,Summary1!E33)</f>
        <v>629.22205007827506</v>
      </c>
      <c r="F33" s="615"/>
      <c r="G33" s="615"/>
      <c r="H33" s="615"/>
      <c r="I33" s="69"/>
      <c r="J33" s="69"/>
      <c r="K33" s="3829">
        <f t="shared" si="0"/>
        <v>6806.2849893563935</v>
      </c>
      <c r="L33" s="19"/>
    </row>
    <row r="34" spans="2:12" ht="18" customHeight="1" x14ac:dyDescent="0.2">
      <c r="B34" s="606" t="s">
        <v>1940</v>
      </c>
      <c r="C34" s="615"/>
      <c r="D34" s="3756">
        <f>IFERROR(Summary1!D34*28,Summary1!D34)</f>
        <v>23.157966502413792</v>
      </c>
      <c r="E34" s="615"/>
      <c r="F34" s="615"/>
      <c r="G34" s="615"/>
      <c r="H34" s="615"/>
      <c r="I34" s="69"/>
      <c r="J34" s="69"/>
      <c r="K34" s="3829">
        <f t="shared" si="0"/>
        <v>23.157966502413792</v>
      </c>
      <c r="L34" s="19"/>
    </row>
    <row r="35" spans="2:12" ht="18" customHeight="1" x14ac:dyDescent="0.2">
      <c r="B35" s="606" t="s">
        <v>1941</v>
      </c>
      <c r="C35" s="1950"/>
      <c r="D35" s="3756" t="str">
        <f>IFERROR(Summary1!D35*28,Summary1!D35)</f>
        <v>NE</v>
      </c>
      <c r="E35" s="3756">
        <f>IFERROR(Summary1!E35*265,Summary1!E35)</f>
        <v>9929.1434866176587</v>
      </c>
      <c r="F35" s="615"/>
      <c r="G35" s="615"/>
      <c r="H35" s="615"/>
      <c r="I35" s="69"/>
      <c r="J35" s="69"/>
      <c r="K35" s="3829">
        <f t="shared" si="0"/>
        <v>9929.1434866176587</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160.32824104282207</v>
      </c>
      <c r="E37" s="3756">
        <f>IFERROR(Summary1!E37*265,Summary1!E37)</f>
        <v>63.808835122263027</v>
      </c>
      <c r="F37" s="615"/>
      <c r="G37" s="615"/>
      <c r="H37" s="615"/>
      <c r="I37" s="69"/>
      <c r="J37" s="69"/>
      <c r="K37" s="3829">
        <f t="shared" si="0"/>
        <v>224.13707616508509</v>
      </c>
      <c r="L37" s="19"/>
    </row>
    <row r="38" spans="2:12" ht="18" customHeight="1" x14ac:dyDescent="0.2">
      <c r="B38" s="606" t="s">
        <v>955</v>
      </c>
      <c r="C38" s="1949">
        <f>Summary1!C38</f>
        <v>1318.3866247265748</v>
      </c>
      <c r="D38" s="3832"/>
      <c r="E38" s="3832"/>
      <c r="F38" s="615"/>
      <c r="G38" s="615"/>
      <c r="H38" s="615"/>
      <c r="I38" s="69"/>
      <c r="J38" s="69"/>
      <c r="K38" s="3829">
        <f t="shared" si="0"/>
        <v>1318.3866247265748</v>
      </c>
      <c r="L38" s="19"/>
    </row>
    <row r="39" spans="2:12" ht="18" customHeight="1" x14ac:dyDescent="0.2">
      <c r="B39" s="606" t="s">
        <v>956</v>
      </c>
      <c r="C39" s="1949">
        <f>Summary1!C39</f>
        <v>1478.1585285008669</v>
      </c>
      <c r="D39" s="3832"/>
      <c r="E39" s="3832"/>
      <c r="F39" s="615"/>
      <c r="G39" s="615"/>
      <c r="H39" s="615"/>
      <c r="I39" s="69"/>
      <c r="J39" s="69"/>
      <c r="K39" s="3829">
        <f t="shared" si="0"/>
        <v>1478.1585285008669</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-78758.785798327925</v>
      </c>
      <c r="D42" s="1952">
        <f>IFERROR(Summary1!D42*28,Summary1!D42)</f>
        <v>14188.31068246738</v>
      </c>
      <c r="E42" s="1952">
        <f>IFERROR(Summary1!E42*265,Summary1!E42)</f>
        <v>3338.8113711220121</v>
      </c>
      <c r="F42" s="1550"/>
      <c r="G42" s="1550"/>
      <c r="H42" s="1550"/>
      <c r="I42" s="1553"/>
      <c r="J42" s="613"/>
      <c r="K42" s="3828">
        <f t="shared" si="0"/>
        <v>-61231.663744738529</v>
      </c>
      <c r="L42" s="19"/>
    </row>
    <row r="43" spans="2:12" ht="18" customHeight="1" x14ac:dyDescent="0.2">
      <c r="B43" s="606" t="s">
        <v>1252</v>
      </c>
      <c r="C43" s="1949">
        <f>Summary1!C43</f>
        <v>-80293.884304624618</v>
      </c>
      <c r="D43" s="1949">
        <f>IFERROR(Summary1!D43*28,Summary1!D43)</f>
        <v>5851.9785390719289</v>
      </c>
      <c r="E43" s="1949">
        <f>IFERROR(Summary1!E43*265,Summary1!E43)</f>
        <v>1256.4205969763016</v>
      </c>
      <c r="F43" s="627"/>
      <c r="G43" s="627"/>
      <c r="H43" s="627"/>
      <c r="I43" s="614"/>
      <c r="J43" s="69"/>
      <c r="K43" s="3829">
        <f t="shared" si="0"/>
        <v>-73185.485168576386</v>
      </c>
      <c r="L43" s="19"/>
    </row>
    <row r="44" spans="2:12" ht="18" customHeight="1" x14ac:dyDescent="0.2">
      <c r="B44" s="606" t="s">
        <v>1255</v>
      </c>
      <c r="C44" s="1949">
        <f>Summary1!C44</f>
        <v>-8911.0867459891688</v>
      </c>
      <c r="D44" s="1949">
        <f>IFERROR(Summary1!D44*28,Summary1!D44)</f>
        <v>15.590957485864372</v>
      </c>
      <c r="E44" s="1949">
        <f>IFERROR(Summary1!E44*265,Summary1!E44)</f>
        <v>27.302699775715425</v>
      </c>
      <c r="F44" s="627"/>
      <c r="G44" s="627"/>
      <c r="H44" s="627"/>
      <c r="I44" s="614"/>
      <c r="J44" s="69"/>
      <c r="K44" s="3829">
        <f t="shared" si="0"/>
        <v>-8868.1930887275885</v>
      </c>
      <c r="L44" s="19"/>
    </row>
    <row r="45" spans="2:12" ht="18" customHeight="1" x14ac:dyDescent="0.2">
      <c r="B45" s="606" t="s">
        <v>1258</v>
      </c>
      <c r="C45" s="1949">
        <f>Summary1!C45</f>
        <v>12423.756939155177</v>
      </c>
      <c r="D45" s="1949">
        <f>IFERROR(Summary1!D45*28,Summary1!D45)</f>
        <v>6437.4694954235638</v>
      </c>
      <c r="E45" s="1949">
        <f>IFERROR(Summary1!E45*265,Summary1!E45)</f>
        <v>1901.5887564400707</v>
      </c>
      <c r="F45" s="627"/>
      <c r="G45" s="627"/>
      <c r="H45" s="627"/>
      <c r="I45" s="614"/>
      <c r="J45" s="69"/>
      <c r="K45" s="3829">
        <f t="shared" si="0"/>
        <v>20762.81519101881</v>
      </c>
      <c r="L45" s="19"/>
    </row>
    <row r="46" spans="2:12" ht="18" customHeight="1" x14ac:dyDescent="0.2">
      <c r="B46" s="606" t="s">
        <v>1984</v>
      </c>
      <c r="C46" s="1949">
        <f>Summary1!C46</f>
        <v>-1022.9871660343518</v>
      </c>
      <c r="D46" s="1949">
        <f>IFERROR(Summary1!D46*28,Summary1!D46)</f>
        <v>1865.9983689346295</v>
      </c>
      <c r="E46" s="1949">
        <f>IFERROR(Summary1!E46*265,Summary1!E46)</f>
        <v>83.619597662589939</v>
      </c>
      <c r="F46" s="627"/>
      <c r="G46" s="627"/>
      <c r="H46" s="627"/>
      <c r="I46" s="614"/>
      <c r="J46" s="69"/>
      <c r="K46" s="3829">
        <f t="shared" si="0"/>
        <v>926.63080056286765</v>
      </c>
      <c r="L46" s="19"/>
    </row>
    <row r="47" spans="2:12" ht="18" customHeight="1" x14ac:dyDescent="0.2">
      <c r="B47" s="606" t="s">
        <v>1985</v>
      </c>
      <c r="C47" s="1949">
        <f>Summary1!C47</f>
        <v>3465.1997592324474</v>
      </c>
      <c r="D47" s="1949">
        <f>IFERROR(Summary1!D47*28,Summary1!D47)</f>
        <v>17.273321551392943</v>
      </c>
      <c r="E47" s="1949">
        <f>IFERROR(Summary1!E47*265,Summary1!E47)</f>
        <v>9.5669077410415309</v>
      </c>
      <c r="F47" s="627"/>
      <c r="G47" s="627"/>
      <c r="H47" s="627"/>
      <c r="I47" s="614"/>
      <c r="J47" s="69"/>
      <c r="K47" s="3829">
        <f t="shared" si="0"/>
        <v>3492.0399885248821</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-4419.7842800674098</v>
      </c>
      <c r="D49" s="3833"/>
      <c r="E49" s="3833"/>
      <c r="F49" s="627"/>
      <c r="G49" s="627"/>
      <c r="H49" s="627"/>
      <c r="I49" s="614"/>
      <c r="J49" s="69"/>
      <c r="K49" s="3829">
        <f t="shared" si="0"/>
        <v>-4419.7842800674098</v>
      </c>
      <c r="L49" s="19"/>
    </row>
    <row r="50" spans="2:12" ht="18" customHeight="1" thickBot="1" x14ac:dyDescent="0.25">
      <c r="B50" s="1554" t="s">
        <v>1988</v>
      </c>
      <c r="C50" s="1951" t="str">
        <f>Summary1!C50</f>
        <v>NO</v>
      </c>
      <c r="D50" s="1951" t="str">
        <f>IFERROR(Summary1!D50*28,Summary1!D50)</f>
        <v>NO</v>
      </c>
      <c r="E50" s="1951">
        <f>IFERROR(Summary1!E50*265,Summary1!E50)</f>
        <v>60.312812526292859</v>
      </c>
      <c r="F50" s="1953"/>
      <c r="G50" s="1953"/>
      <c r="H50" s="1953"/>
      <c r="I50" s="1555"/>
      <c r="J50" s="87"/>
      <c r="K50" s="3830">
        <f t="shared" si="0"/>
        <v>60.312812526292859</v>
      </c>
      <c r="L50" s="19"/>
    </row>
    <row r="51" spans="2:12" ht="18" customHeight="1" x14ac:dyDescent="0.2">
      <c r="B51" s="1549" t="s">
        <v>1955</v>
      </c>
      <c r="C51" s="1952">
        <f>Summary1!C51</f>
        <v>31.466299785649113</v>
      </c>
      <c r="D51" s="1952">
        <f>IFERROR(Summary1!D51*28,Summary1!D51)</f>
        <v>13140.502964171714</v>
      </c>
      <c r="E51" s="1952">
        <f>IFERROR(Summary1!E51*265,Summary1!E51)</f>
        <v>362.59462203719505</v>
      </c>
      <c r="F51" s="1550"/>
      <c r="G51" s="1550"/>
      <c r="H51" s="1550"/>
      <c r="I51" s="1553"/>
      <c r="J51" s="613"/>
      <c r="K51" s="3828">
        <f t="shared" si="0"/>
        <v>13534.563885994557</v>
      </c>
      <c r="L51" s="19"/>
    </row>
    <row r="52" spans="2:12" ht="18" customHeight="1" x14ac:dyDescent="0.2">
      <c r="B52" s="606" t="s">
        <v>1989</v>
      </c>
      <c r="C52" s="615"/>
      <c r="D52" s="1949">
        <f>IFERROR(Summary1!D52*28,Summary1!D52)</f>
        <v>10254.446537187654</v>
      </c>
      <c r="E52" s="627"/>
      <c r="F52" s="615"/>
      <c r="G52" s="615"/>
      <c r="H52" s="615"/>
      <c r="I52" s="69"/>
      <c r="J52" s="69"/>
      <c r="K52" s="3829">
        <f t="shared" si="0"/>
        <v>10254.446537187654</v>
      </c>
      <c r="L52" s="19"/>
    </row>
    <row r="53" spans="2:12" ht="18" customHeight="1" x14ac:dyDescent="0.2">
      <c r="B53" s="1395" t="s">
        <v>1990</v>
      </c>
      <c r="C53" s="615"/>
      <c r="D53" s="1949">
        <f>IFERROR(Summary1!D53*28,Summary1!D53)</f>
        <v>127.33247026412202</v>
      </c>
      <c r="E53" s="1949">
        <f>IFERROR(Summary1!E53*265,Summary1!E53)</f>
        <v>154.25419254853642</v>
      </c>
      <c r="F53" s="615"/>
      <c r="G53" s="615"/>
      <c r="H53" s="615"/>
      <c r="I53" s="69"/>
      <c r="J53" s="69"/>
      <c r="K53" s="3829">
        <f t="shared" si="0"/>
        <v>281.58666281265846</v>
      </c>
      <c r="L53" s="19"/>
    </row>
    <row r="54" spans="2:12" ht="18" customHeight="1" x14ac:dyDescent="0.2">
      <c r="B54" s="1396" t="s">
        <v>1991</v>
      </c>
      <c r="C54" s="1949">
        <f>Summary1!C54</f>
        <v>31.466299785649113</v>
      </c>
      <c r="D54" s="1949" t="str">
        <f>IFERROR(Summary1!D54*28,Summary1!D54)</f>
        <v>NO,NE</v>
      </c>
      <c r="E54" s="1949" t="str">
        <f>IFERROR(Summary1!E54*265,Summary1!E54)</f>
        <v>NO,NE</v>
      </c>
      <c r="F54" s="615"/>
      <c r="G54" s="615"/>
      <c r="H54" s="615"/>
      <c r="I54" s="69"/>
      <c r="J54" s="69"/>
      <c r="K54" s="3829">
        <f t="shared" si="0"/>
        <v>31.466299785649113</v>
      </c>
      <c r="L54" s="19"/>
    </row>
    <row r="55" spans="2:12" ht="18" customHeight="1" x14ac:dyDescent="0.2">
      <c r="B55" s="606" t="s">
        <v>1992</v>
      </c>
      <c r="C55" s="615"/>
      <c r="D55" s="1949">
        <f>IFERROR(Summary1!D55*28,Summary1!D55)</f>
        <v>2758.7239567199367</v>
      </c>
      <c r="E55" s="1949">
        <f>IFERROR(Summary1!E55*265,Summary1!E55)</f>
        <v>208.34042948865863</v>
      </c>
      <c r="F55" s="615"/>
      <c r="G55" s="615"/>
      <c r="H55" s="615"/>
      <c r="I55" s="69"/>
      <c r="J55" s="69"/>
      <c r="K55" s="3829">
        <f t="shared" si="0"/>
        <v>2967.0643862085954</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13888.5497904</v>
      </c>
      <c r="D60" s="617">
        <f>IFERROR(Summary1!D61*28,Summary1!D61)</f>
        <v>6.47477298485581</v>
      </c>
      <c r="E60" s="617">
        <f>IFERROR(Summary1!E61*265,Summary1!E61)</f>
        <v>30.726156681871704</v>
      </c>
      <c r="F60" s="1957"/>
      <c r="G60" s="1957"/>
      <c r="H60" s="1958"/>
      <c r="I60" s="618"/>
      <c r="J60" s="618"/>
      <c r="K60" s="619">
        <f t="shared" ref="K60:K66" si="2">IF(SUM(C60:J60)=0,"NO",SUM(C60:J60))</f>
        <v>13925.750720066728</v>
      </c>
    </row>
    <row r="61" spans="2:12" ht="18" customHeight="1" x14ac:dyDescent="0.2">
      <c r="B61" s="1385" t="s">
        <v>218</v>
      </c>
      <c r="C61" s="617">
        <f>Summary1!C62</f>
        <v>11757.883683840002</v>
      </c>
      <c r="D61" s="617">
        <f>IFERROR(Summary1!D62*28,Summary1!D62)</f>
        <v>0.75568710325581401</v>
      </c>
      <c r="E61" s="617">
        <f>IFERROR(Summary1!E62*265,Summary1!E62)</f>
        <v>15.261281593871717</v>
      </c>
      <c r="F61" s="615"/>
      <c r="G61" s="615"/>
      <c r="H61" s="615"/>
      <c r="I61" s="621"/>
      <c r="J61" s="621"/>
      <c r="K61" s="622">
        <f t="shared" si="2"/>
        <v>11773.90065253713</v>
      </c>
    </row>
    <row r="62" spans="2:12" ht="18" customHeight="1" x14ac:dyDescent="0.2">
      <c r="B62" s="1386" t="s">
        <v>1963</v>
      </c>
      <c r="C62" s="617">
        <f>Summary1!C63</f>
        <v>2130.6661065599983</v>
      </c>
      <c r="D62" s="617">
        <f>IFERROR(Summary1!D63*28,Summary1!D63)</f>
        <v>5.7190858815999963</v>
      </c>
      <c r="E62" s="617">
        <f>IFERROR(Summary1!E63*265,Summary1!E63)</f>
        <v>15.464875087999989</v>
      </c>
      <c r="F62" s="615"/>
      <c r="G62" s="615"/>
      <c r="H62" s="615"/>
      <c r="I62" s="623"/>
      <c r="J62" s="623"/>
      <c r="K62" s="619">
        <f t="shared" si="2"/>
        <v>2151.8500675295986</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16278.472390810328</v>
      </c>
      <c r="D64" s="627"/>
      <c r="E64" s="627"/>
      <c r="F64" s="627"/>
      <c r="G64" s="627"/>
      <c r="H64" s="627"/>
      <c r="I64" s="614"/>
      <c r="J64" s="614"/>
      <c r="K64" s="628">
        <f t="shared" si="2"/>
        <v>16278.472390810328</v>
      </c>
    </row>
    <row r="65" spans="2:14" ht="18" customHeight="1" x14ac:dyDescent="0.2">
      <c r="B65" s="1388" t="s">
        <v>1964</v>
      </c>
      <c r="C65" s="624">
        <f>Summary1!C66</f>
        <v>2164.8240000000001</v>
      </c>
      <c r="D65" s="627"/>
      <c r="E65" s="627"/>
      <c r="F65" s="627"/>
      <c r="G65" s="627"/>
      <c r="H65" s="627"/>
      <c r="I65" s="614"/>
      <c r="J65" s="614"/>
      <c r="K65" s="628">
        <f t="shared" si="2"/>
        <v>2164.8240000000001</v>
      </c>
    </row>
    <row r="66" spans="2:14" ht="18" customHeight="1" x14ac:dyDescent="0.2">
      <c r="B66" s="1389" t="s">
        <v>1965</v>
      </c>
      <c r="C66" s="629">
        <f>Summary1!C67</f>
        <v>319218.82531955553</v>
      </c>
      <c r="D66" s="631"/>
      <c r="E66" s="631"/>
      <c r="F66" s="631"/>
      <c r="G66" s="631"/>
      <c r="H66" s="631"/>
      <c r="I66" s="630"/>
      <c r="J66" s="630"/>
      <c r="K66" s="632">
        <f t="shared" si="2"/>
        <v>319218.82531955553</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535775.95595347171</v>
      </c>
      <c r="N71" s="1122"/>
    </row>
    <row r="72" spans="2:14" s="636" customFormat="1" ht="18" customHeight="1" x14ac:dyDescent="0.25">
      <c r="B72" s="640"/>
      <c r="C72" s="641"/>
      <c r="D72" s="641"/>
      <c r="E72" s="641"/>
      <c r="F72" s="641"/>
      <c r="G72" s="641"/>
      <c r="H72" s="641"/>
      <c r="I72" s="641"/>
      <c r="J72" s="2573" t="s">
        <v>1999</v>
      </c>
      <c r="K72" s="628">
        <f>K10</f>
        <v>474544.29220873315</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755715.90915350267</v>
      </c>
      <c r="D10" s="3055" t="s">
        <v>97</v>
      </c>
      <c r="E10" s="615"/>
      <c r="F10" s="615"/>
      <c r="G10" s="615"/>
      <c r="H10" s="4219">
        <f>IF(SUM(H11:H15)=0,"NO",SUM(H11:H15))</f>
        <v>41271.375033629483</v>
      </c>
      <c r="I10" s="4219">
        <f t="shared" ref="I10:K10" si="0">IF(SUM(I11:I16)=0,"NO",SUM(I11:I16))</f>
        <v>2.3034611967719374</v>
      </c>
      <c r="J10" s="4226">
        <f t="shared" si="0"/>
        <v>1.4704603755586003</v>
      </c>
      <c r="K10" s="3044" t="str">
        <f t="shared" si="0"/>
        <v>NO</v>
      </c>
    </row>
    <row r="11" spans="2:11" ht="18" customHeight="1" x14ac:dyDescent="0.2">
      <c r="B11" s="282" t="s">
        <v>243</v>
      </c>
      <c r="C11" s="1938">
        <f>IF(SUM(C18,C25,C32,C39,C46,C53,C68,C75,C82,C89,C96,C103,C120,C110:C113)=0,"NO",SUM(C18,C25,C32,C39,C46,C53,C68,C75,C82,C89,C96,C103,C120,C110:C113))</f>
        <v>242578.97339389453</v>
      </c>
      <c r="D11" s="3056" t="s">
        <v>97</v>
      </c>
      <c r="E11" s="1938">
        <f>IFERROR(H11*1000/$C11,"NA")</f>
        <v>69.023340846010655</v>
      </c>
      <c r="F11" s="1938">
        <f t="shared" ref="F11:G16" si="1">IFERROR(I11*1000000/$C11,"NA")</f>
        <v>4.0817072521022082</v>
      </c>
      <c r="G11" s="1938">
        <f t="shared" si="1"/>
        <v>2.6582204141041825</v>
      </c>
      <c r="H11" s="1938">
        <f>IF(SUM(H18,H25,H32,H39,H46,H53,H68,H75,H82,H89,H96,H103,H120,H110:H113)=0,"NO",SUM(H18,H25,H32,H39,H46,H53,H68,H75,H82,H89,H96,H103,H120,H110:H113))</f>
        <v>16743.611162642133</v>
      </c>
      <c r="I11" s="1938">
        <f>IF(SUM(I18,I25,I32,I39,I46,I53,I68,I75,I82,I89,I96,I103,I120,I110:I113)=0,"NO",SUM(I18,I25,I32,I39,I46,I53,I68,I75,I82,I89,I96,I103,I120,I110:I113))</f>
        <v>0.99013635490936802</v>
      </c>
      <c r="J11" s="1938">
        <f>IF(SUM(J18,J25,J32,J39,J46,J53,J68,J75,J82,J89,J96,J103,J120,J110:J113)=0,"NO",SUM(J18,J25,J32,J39,J46,J53,J68,J75,J82,J89,J96,J103,J120,J110:J113))</f>
        <v>0.64482837910808577</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111287.17626201149</v>
      </c>
      <c r="D12" s="3056" t="s">
        <v>97</v>
      </c>
      <c r="E12" s="1938">
        <f t="shared" ref="E12:E16" si="2">IFERROR(H12*1000/$C12,"NA")</f>
        <v>81.782059524004737</v>
      </c>
      <c r="F12" s="1938">
        <f t="shared" si="1"/>
        <v>0.94443754130566393</v>
      </c>
      <c r="G12" s="1938">
        <f t="shared" si="1"/>
        <v>0.69624966061588989</v>
      </c>
      <c r="H12" s="1938">
        <f>IF(SUM(H19,H26,H33,H40,H47,H54,H69,H76,H83,H90,H97,H104,H121)=0,"NO",SUM(H19,H26,H33,H40,H47,H54,H69,H76,H83,H90,H97,H104,H121))</f>
        <v>9101.2944733182303</v>
      </c>
      <c r="I12" s="1938">
        <f>IF(SUM(I19,I26,I33,I40,I47,I54,I69,I76,I83,I90,I97,I104,I121)=0,"NO",SUM(I19,I26,I33,I40,I47,I54,I69,I76,I83,I90,I97,I104,I121))</f>
        <v>0.10510378712774417</v>
      </c>
      <c r="J12" s="1938">
        <f>IF(SUM(J19,J26,J33,J40,J47,J54,J69,J76,J83,J90,J97,J104,J121)=0,"NO",SUM(J19,J26,J33,J40,J47,J54,J69,J76,J83,J90,J97,J104,J121))</f>
        <v>7.7483658703326214E-2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300050.06571721088</v>
      </c>
      <c r="D13" s="3056" t="s">
        <v>97</v>
      </c>
      <c r="E13" s="1938">
        <f t="shared" si="2"/>
        <v>51.412984565742946</v>
      </c>
      <c r="F13" s="1938">
        <f t="shared" si="1"/>
        <v>0.96977942330519928</v>
      </c>
      <c r="G13" s="1938">
        <f t="shared" si="1"/>
        <v>0.54344302302213809</v>
      </c>
      <c r="H13" s="1938">
        <f t="shared" ref="H13:K14" si="3">IF(SUM(H20,H27,H34,H41,H48,H55,H70,H77,H84,H91,H98,H105,H122,H115)=0,"NO",SUM(H20,H27,H34,H41,H48,H55,H70,H77,H84,H91,H98,H105,H122,H115))</f>
        <v>15426.46939766912</v>
      </c>
      <c r="I13" s="1938">
        <f t="shared" si="3"/>
        <v>0.29098237969392393</v>
      </c>
      <c r="J13" s="1938">
        <f t="shared" si="3"/>
        <v>0.16306011477135227</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101799.69378038573</v>
      </c>
      <c r="D16" s="3071" t="s">
        <v>97</v>
      </c>
      <c r="E16" s="1938">
        <f t="shared" si="2"/>
        <v>94.03112482212002</v>
      </c>
      <c r="F16" s="1938">
        <f t="shared" si="1"/>
        <v>9.0102301979382791</v>
      </c>
      <c r="G16" s="1938">
        <f t="shared" si="1"/>
        <v>5.7474458050734123</v>
      </c>
      <c r="H16" s="1938">
        <f>IF(SUM(H23,H30,H37,H44,H51,H58,H73,H80,H87,H94,H101,H108,H125,H117)=0,"NO",SUM(H23,H30,H37,H44,H51,H58,H73,H80,H87,H94,H101,H108,H125,H117))</f>
        <v>9572.3397127170447</v>
      </c>
      <c r="I16" s="1938">
        <f>IF(SUM(I23,I30,I37,I44,I51,I58,I73,I80,I87,I94,I101,I108,I125,I117)=0,"NO",SUM(I23,I30,I37,I44,I51,I58,I73,I80,I87,I94,I101,I108,I125,I117))</f>
        <v>0.91723867504090117</v>
      </c>
      <c r="J16" s="1938">
        <f>IF(SUM(J23,J30,J37,J44,J51,J58,J73,J80,J87,J94,J101,J108,J125,J117)=0,"NO",SUM(J23,J30,J37,J44,J51,J58,J73,J80,J87,J94,J101,J108,J125,J117))</f>
        <v>0.58508822297583596</v>
      </c>
      <c r="K16" s="3044" t="str">
        <f>IF(SUM(K23,K30,K37,K44,K51,K58,K73,K80,K87,K94,K101,K108,K125,K117)=0,"NO",SUM(K23,K30,K37,K44,K51,K58,K73,K80,K87,K94,K101,K108,K125,K117))</f>
        <v>NO</v>
      </c>
    </row>
    <row r="17" spans="2:11" ht="18" customHeight="1" x14ac:dyDescent="0.2">
      <c r="B17" s="1240" t="s">
        <v>264</v>
      </c>
      <c r="C17" s="1938">
        <f>IF(SUM(C18:C23)=0,"NO",SUM(C18:C23))</f>
        <v>34491.062571712748</v>
      </c>
      <c r="D17" s="3055" t="s">
        <v>97</v>
      </c>
      <c r="E17" s="615"/>
      <c r="F17" s="615"/>
      <c r="G17" s="615"/>
      <c r="H17" s="1938">
        <f>IF(SUM(H18:H22)=0,"NO",SUM(H18:H22))</f>
        <v>1606.5749279621623</v>
      </c>
      <c r="I17" s="1938">
        <f t="shared" ref="I17:K17" si="4">IF(SUM(I18:I23)=0,"NO",SUM(I18:I23))</f>
        <v>3.479951692044967E-2</v>
      </c>
      <c r="J17" s="1938">
        <f t="shared" si="4"/>
        <v>2.0136977226663286E-2</v>
      </c>
      <c r="K17" s="3044" t="str">
        <f t="shared" si="4"/>
        <v>NO</v>
      </c>
    </row>
    <row r="18" spans="2:11" ht="18" customHeight="1" x14ac:dyDescent="0.2">
      <c r="B18" s="282" t="s">
        <v>243</v>
      </c>
      <c r="C18" s="699">
        <v>1726.9748276687994</v>
      </c>
      <c r="D18" s="3056" t="s">
        <v>97</v>
      </c>
      <c r="E18" s="1938">
        <f>IFERROR(H18*1000/$C18,"NA")</f>
        <v>82.482784031619261</v>
      </c>
      <c r="F18" s="1938">
        <f t="shared" ref="F18:G23" si="5">IFERROR(I18*1000000/$C18,"NA")</f>
        <v>2.0362791853950744</v>
      </c>
      <c r="G18" s="1938">
        <f t="shared" si="5"/>
        <v>0.97635694012242047</v>
      </c>
      <c r="H18" s="699">
        <v>142.44569173864849</v>
      </c>
      <c r="I18" s="699">
        <v>3.5166028952832223E-3</v>
      </c>
      <c r="J18" s="699">
        <v>1.6861438584111533E-3</v>
      </c>
      <c r="K18" s="3072" t="s">
        <v>199</v>
      </c>
    </row>
    <row r="19" spans="2:11" ht="18" customHeight="1" x14ac:dyDescent="0.2">
      <c r="B19" s="282" t="s">
        <v>245</v>
      </c>
      <c r="C19" s="699">
        <v>18491.067744043943</v>
      </c>
      <c r="D19" s="3056" t="s">
        <v>97</v>
      </c>
      <c r="E19" s="1938">
        <f t="shared" ref="E19:E23" si="6">IFERROR(H19*1000/$C19,"NA")</f>
        <v>39.496145254459883</v>
      </c>
      <c r="F19" s="1938">
        <f t="shared" si="5"/>
        <v>0.95491683588203069</v>
      </c>
      <c r="G19" s="1938">
        <f t="shared" si="5"/>
        <v>0.56772585224351058</v>
      </c>
      <c r="H19" s="699">
        <v>730.32589752881745</v>
      </c>
      <c r="I19" s="699">
        <v>1.7657431902222721E-2</v>
      </c>
      <c r="J19" s="699">
        <v>1.0497857193879835E-2</v>
      </c>
      <c r="K19" s="3072" t="s">
        <v>199</v>
      </c>
    </row>
    <row r="20" spans="2:11" ht="18" customHeight="1" x14ac:dyDescent="0.2">
      <c r="B20" s="282" t="s">
        <v>246</v>
      </c>
      <c r="C20" s="699">
        <v>14273.020000000002</v>
      </c>
      <c r="D20" s="3056" t="s">
        <v>97</v>
      </c>
      <c r="E20" s="1938">
        <f t="shared" si="6"/>
        <v>51.411918339265007</v>
      </c>
      <c r="F20" s="1938">
        <f t="shared" si="5"/>
        <v>0.9546320346320345</v>
      </c>
      <c r="G20" s="1938">
        <f t="shared" si="5"/>
        <v>0.55720346320346315</v>
      </c>
      <c r="H20" s="699">
        <v>733.80333869469632</v>
      </c>
      <c r="I20" s="699">
        <v>1.3625482122943724E-2</v>
      </c>
      <c r="J20" s="699">
        <v>7.9529761743722949E-3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185389.09033549539</v>
      </c>
      <c r="D24" s="3056" t="s">
        <v>97</v>
      </c>
      <c r="E24" s="615"/>
      <c r="F24" s="615"/>
      <c r="G24" s="615"/>
      <c r="H24" s="1938">
        <f>IF(SUM(H25:H29)=0,"NO",SUM(H25:H29))</f>
        <v>11679.21587987418</v>
      </c>
      <c r="I24" s="1938">
        <f t="shared" ref="I24:K24" si="7">IF(SUM(I25:I30)=0,"NO",SUM(I25:I30))</f>
        <v>0.18197211027939855</v>
      </c>
      <c r="J24" s="1938">
        <f t="shared" si="7"/>
        <v>0.11802206266193863</v>
      </c>
      <c r="K24" s="3044" t="str">
        <f t="shared" si="7"/>
        <v>NO</v>
      </c>
    </row>
    <row r="25" spans="2:11" ht="18" customHeight="1" x14ac:dyDescent="0.2">
      <c r="B25" s="282" t="s">
        <v>243</v>
      </c>
      <c r="C25" s="699">
        <v>4517.2283557378978</v>
      </c>
      <c r="D25" s="3056" t="s">
        <v>97</v>
      </c>
      <c r="E25" s="1938">
        <f>IFERROR(H25*1000/$C25,"NA")</f>
        <v>69.893674399885569</v>
      </c>
      <c r="F25" s="1938">
        <f t="shared" ref="F25:G30" si="8">IFERROR(I25*1000000/$C25,"NA")</f>
        <v>1.5332115503564208</v>
      </c>
      <c r="G25" s="1938">
        <f t="shared" si="8"/>
        <v>1.3937228455245361</v>
      </c>
      <c r="H25" s="699">
        <v>315.72568788587512</v>
      </c>
      <c r="I25" s="699">
        <v>6.9258666906148875E-3</v>
      </c>
      <c r="J25" s="699">
        <v>6.2957643578431446E-3</v>
      </c>
      <c r="K25" s="3072" t="s">
        <v>199</v>
      </c>
    </row>
    <row r="26" spans="2:11" ht="18" customHeight="1" x14ac:dyDescent="0.2">
      <c r="B26" s="282" t="s">
        <v>245</v>
      </c>
      <c r="C26" s="699">
        <v>52967.443048367539</v>
      </c>
      <c r="D26" s="3056" t="s">
        <v>97</v>
      </c>
      <c r="E26" s="1938">
        <f t="shared" ref="E26:E30" si="9">IFERROR(H26*1000/$C26,"NA")</f>
        <v>90.644664886135729</v>
      </c>
      <c r="F26" s="1938">
        <f t="shared" si="8"/>
        <v>0.95238095238095244</v>
      </c>
      <c r="G26" s="1938">
        <f t="shared" si="8"/>
        <v>0.70609523809523811</v>
      </c>
      <c r="H26" s="699">
        <v>4801.2161249947549</v>
      </c>
      <c r="I26" s="699">
        <v>5.0445183855588133E-2</v>
      </c>
      <c r="J26" s="699">
        <v>3.7400059310533043E-2</v>
      </c>
      <c r="K26" s="3072" t="s">
        <v>199</v>
      </c>
    </row>
    <row r="27" spans="2:11" ht="18" customHeight="1" x14ac:dyDescent="0.2">
      <c r="B27" s="282" t="s">
        <v>246</v>
      </c>
      <c r="C27" s="699">
        <v>127641.10500000004</v>
      </c>
      <c r="D27" s="3056" t="s">
        <v>97</v>
      </c>
      <c r="E27" s="1938">
        <f t="shared" si="9"/>
        <v>51.411918339264993</v>
      </c>
      <c r="F27" s="1938">
        <f t="shared" si="8"/>
        <v>0.95727272727272716</v>
      </c>
      <c r="G27" s="1938">
        <f t="shared" si="8"/>
        <v>0.57027272727272704</v>
      </c>
      <c r="H27" s="699">
        <v>6562.2740669935502</v>
      </c>
      <c r="I27" s="699">
        <v>0.12218734869545457</v>
      </c>
      <c r="J27" s="699">
        <v>7.279024106045455E-2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263.31393138992235</v>
      </c>
      <c r="D30" s="3056" t="s">
        <v>97</v>
      </c>
      <c r="E30" s="1938">
        <f t="shared" si="9"/>
        <v>93.999999999999986</v>
      </c>
      <c r="F30" s="1938">
        <f t="shared" si="8"/>
        <v>9.1666666666666661</v>
      </c>
      <c r="G30" s="1938">
        <f t="shared" si="8"/>
        <v>5.8333333333333321</v>
      </c>
      <c r="H30" s="699">
        <v>24.751509550652695</v>
      </c>
      <c r="I30" s="699">
        <v>2.4137110377409547E-3</v>
      </c>
      <c r="J30" s="699">
        <v>1.5359979331078801E-3</v>
      </c>
      <c r="K30" s="3072" t="s">
        <v>199</v>
      </c>
    </row>
    <row r="31" spans="2:11" ht="18" customHeight="1" x14ac:dyDescent="0.2">
      <c r="B31" s="1240" t="s">
        <v>266</v>
      </c>
      <c r="C31" s="1938">
        <f>IF(SUM(C32:C37)=0,"NO",SUM(C32:C37))</f>
        <v>120703.52337209001</v>
      </c>
      <c r="D31" s="3056" t="s">
        <v>97</v>
      </c>
      <c r="E31" s="615"/>
      <c r="F31" s="615"/>
      <c r="G31" s="615"/>
      <c r="H31" s="1938">
        <f>IF(SUM(H32:H36)=0,"NO",SUM(H32:H36))</f>
        <v>7359.8860280016916</v>
      </c>
      <c r="I31" s="1938">
        <f t="shared" ref="I31:K31" si="10">IF(SUM(I32:I37)=0,"NO",SUM(I32:I37))</f>
        <v>0.20413344161439104</v>
      </c>
      <c r="J31" s="1938">
        <f t="shared" si="10"/>
        <v>7.6304426836680428E-2</v>
      </c>
      <c r="K31" s="3044" t="str">
        <f t="shared" si="10"/>
        <v>NO</v>
      </c>
    </row>
    <row r="32" spans="2:11" ht="18" customHeight="1" x14ac:dyDescent="0.2">
      <c r="B32" s="282" t="s">
        <v>243</v>
      </c>
      <c r="C32" s="699">
        <v>64350.644304089998</v>
      </c>
      <c r="D32" s="3056" t="s">
        <v>97</v>
      </c>
      <c r="E32" s="1938">
        <f>IFERROR(H32*1000/$C32,"NA")</f>
        <v>67.356568481257696</v>
      </c>
      <c r="F32" s="1938">
        <f t="shared" ref="F32:G37" si="11">IFERROR(I32*1000000/$C32,"NA")</f>
        <v>2.2796047000543549</v>
      </c>
      <c r="G32" s="1938">
        <f t="shared" si="11"/>
        <v>0.69381144097021563</v>
      </c>
      <c r="H32" s="699">
        <v>4334.4385798814928</v>
      </c>
      <c r="I32" s="699">
        <v>0.14669403120712957</v>
      </c>
      <c r="J32" s="699">
        <v>4.4647213251982482E-2</v>
      </c>
      <c r="K32" s="3072" t="s">
        <v>199</v>
      </c>
    </row>
    <row r="33" spans="2:11" ht="18" customHeight="1" x14ac:dyDescent="0.2">
      <c r="B33" s="282" t="s">
        <v>245</v>
      </c>
      <c r="C33" s="699">
        <v>5081.5074510000004</v>
      </c>
      <c r="D33" s="3056" t="s">
        <v>97</v>
      </c>
      <c r="E33" s="1938">
        <f t="shared" ref="E33:E37" si="12">IFERROR(H33*1000/$C33,"NA")</f>
        <v>83.195273494162166</v>
      </c>
      <c r="F33" s="1938">
        <f t="shared" si="11"/>
        <v>0.85402328517284976</v>
      </c>
      <c r="G33" s="1938">
        <f t="shared" si="11"/>
        <v>0.62325022704801014</v>
      </c>
      <c r="H33" s="699">
        <v>422.75740214856791</v>
      </c>
      <c r="I33" s="699">
        <v>4.339725686933334E-3</v>
      </c>
      <c r="J33" s="699">
        <v>3.1670506725819053E-3</v>
      </c>
      <c r="K33" s="3072" t="s">
        <v>199</v>
      </c>
    </row>
    <row r="34" spans="2:11" ht="18" customHeight="1" x14ac:dyDescent="0.2">
      <c r="B34" s="282" t="s">
        <v>246</v>
      </c>
      <c r="C34" s="699">
        <v>50618.068692000008</v>
      </c>
      <c r="D34" s="3056" t="s">
        <v>97</v>
      </c>
      <c r="E34" s="1938">
        <f t="shared" si="12"/>
        <v>51.418201310848822</v>
      </c>
      <c r="F34" s="1938">
        <f t="shared" si="11"/>
        <v>0.95525243833561657</v>
      </c>
      <c r="G34" s="1938">
        <f t="shared" si="11"/>
        <v>0.49825329881301367</v>
      </c>
      <c r="H34" s="699">
        <v>2602.6900459716308</v>
      </c>
      <c r="I34" s="699">
        <v>4.8353033541872738E-2</v>
      </c>
      <c r="J34" s="699">
        <v>2.5220619705332729E-2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653.30292500000007</v>
      </c>
      <c r="D37" s="3056" t="s">
        <v>97</v>
      </c>
      <c r="E37" s="1938">
        <f t="shared" si="12"/>
        <v>88.367861453529471</v>
      </c>
      <c r="F37" s="1938">
        <f t="shared" si="11"/>
        <v>7.2656205824509605</v>
      </c>
      <c r="G37" s="1938">
        <f t="shared" si="11"/>
        <v>5.0046358001279554</v>
      </c>
      <c r="H37" s="699">
        <v>57.730982363585568</v>
      </c>
      <c r="I37" s="699">
        <v>4.7466511784554164E-3</v>
      </c>
      <c r="J37" s="699">
        <v>3.269543206783309E-3</v>
      </c>
      <c r="K37" s="3072" t="s">
        <v>199</v>
      </c>
    </row>
    <row r="38" spans="2:11" ht="18" customHeight="1" x14ac:dyDescent="0.2">
      <c r="B38" s="1240" t="s">
        <v>267</v>
      </c>
      <c r="C38" s="1938">
        <f>IF(SUM(C39:C44)=0,"NO",SUM(C39:C44))</f>
        <v>41276.49175119579</v>
      </c>
      <c r="D38" s="3056" t="s">
        <v>97</v>
      </c>
      <c r="E38" s="615"/>
      <c r="F38" s="615"/>
      <c r="G38" s="615"/>
      <c r="H38" s="1938">
        <f>IF(SUM(H39:H43)=0,"NO",SUM(H39:H43))</f>
        <v>1019.3691451159342</v>
      </c>
      <c r="I38" s="1938">
        <f t="shared" ref="I38:K38" si="13">IF(SUM(I39:I44)=0,"NO",SUM(I39:I44))</f>
        <v>0.23475123717719604</v>
      </c>
      <c r="J38" s="1938">
        <f t="shared" si="13"/>
        <v>0.15423224782925857</v>
      </c>
      <c r="K38" s="3044" t="str">
        <f t="shared" si="13"/>
        <v>NO</v>
      </c>
    </row>
    <row r="39" spans="2:11" ht="18" customHeight="1" x14ac:dyDescent="0.2">
      <c r="B39" s="282" t="s">
        <v>243</v>
      </c>
      <c r="C39" s="699">
        <v>635.12781430000007</v>
      </c>
      <c r="D39" s="3056" t="s">
        <v>97</v>
      </c>
      <c r="E39" s="1938">
        <f>IFERROR(H39*1000/$C39,"NA")</f>
        <v>68.07621593281884</v>
      </c>
      <c r="F39" s="1938">
        <f t="shared" ref="F39:G44" si="14">IFERROR(I39*1000000/$C39,"NA")</f>
        <v>1.0186444474057634</v>
      </c>
      <c r="G39" s="1938">
        <f t="shared" si="14"/>
        <v>0.97403768794223933</v>
      </c>
      <c r="H39" s="699">
        <v>43.237098231226071</v>
      </c>
      <c r="I39" s="699">
        <v>6.4696942142965382E-4</v>
      </c>
      <c r="J39" s="699">
        <v>6.1863842778857997E-4</v>
      </c>
      <c r="K39" s="3072" t="s">
        <v>199</v>
      </c>
    </row>
    <row r="40" spans="2:11" ht="18" customHeight="1" x14ac:dyDescent="0.2">
      <c r="B40" s="282" t="s">
        <v>245</v>
      </c>
      <c r="C40" s="699">
        <v>3817.7251015000002</v>
      </c>
      <c r="D40" s="3056" t="s">
        <v>97</v>
      </c>
      <c r="E40" s="1938">
        <f t="shared" ref="E40:E44" si="15">IFERROR(H40*1000/$C40,"NA")</f>
        <v>88.771751199049106</v>
      </c>
      <c r="F40" s="1938">
        <f t="shared" si="14"/>
        <v>0.90777666537350099</v>
      </c>
      <c r="G40" s="1938">
        <f t="shared" si="14"/>
        <v>0.63693047532836577</v>
      </c>
      <c r="H40" s="699">
        <v>338.90614285672251</v>
      </c>
      <c r="I40" s="699">
        <v>3.4656417619523807E-3</v>
      </c>
      <c r="J40" s="699">
        <v>2.4316254635714284E-3</v>
      </c>
      <c r="K40" s="3072" t="s">
        <v>199</v>
      </c>
    </row>
    <row r="41" spans="2:11" ht="18" customHeight="1" x14ac:dyDescent="0.2">
      <c r="B41" s="282" t="s">
        <v>246</v>
      </c>
      <c r="C41" s="699">
        <v>12394.517158899997</v>
      </c>
      <c r="D41" s="3056" t="s">
        <v>97</v>
      </c>
      <c r="E41" s="1938">
        <f t="shared" si="15"/>
        <v>51.411918339265014</v>
      </c>
      <c r="F41" s="1938">
        <f t="shared" si="14"/>
        <v>0.9136363636363638</v>
      </c>
      <c r="G41" s="1938">
        <f t="shared" si="14"/>
        <v>0.86863636363636398</v>
      </c>
      <c r="H41" s="699">
        <v>637.22590402798562</v>
      </c>
      <c r="I41" s="699">
        <v>1.1324081586085907E-2</v>
      </c>
      <c r="J41" s="699">
        <v>1.0766328313935409E-2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24429.121676495797</v>
      </c>
      <c r="D44" s="3055" t="s">
        <v>97</v>
      </c>
      <c r="E44" s="1938">
        <f t="shared" si="15"/>
        <v>93.46534104557368</v>
      </c>
      <c r="F44" s="1938">
        <f t="shared" si="14"/>
        <v>8.9775861495151137</v>
      </c>
      <c r="G44" s="1938">
        <f t="shared" si="14"/>
        <v>5.7478798248838592</v>
      </c>
      <c r="H44" s="699">
        <v>2283.2761889374965</v>
      </c>
      <c r="I44" s="699">
        <v>0.2193145444077281</v>
      </c>
      <c r="J44" s="699">
        <v>0.14041565562396316</v>
      </c>
      <c r="K44" s="3072" t="s">
        <v>199</v>
      </c>
    </row>
    <row r="45" spans="2:11" ht="18" customHeight="1" x14ac:dyDescent="0.2">
      <c r="B45" s="1240" t="s">
        <v>268</v>
      </c>
      <c r="C45" s="1938">
        <f>IF(SUM(C46:C51)=0,"NO",SUM(C46:C51))</f>
        <v>116689.02690534001</v>
      </c>
      <c r="D45" s="3055" t="s">
        <v>97</v>
      </c>
      <c r="E45" s="615"/>
      <c r="F45" s="615"/>
      <c r="G45" s="615"/>
      <c r="H45" s="1938">
        <f>IF(SUM(H46:H50)=0,"NO",SUM(H46:H50))</f>
        <v>2506.4856054644688</v>
      </c>
      <c r="I45" s="1938">
        <f t="shared" ref="I45:K45" si="16">IF(SUM(I46:I51)=0,"NO",SUM(I46:I51))</f>
        <v>0.73223814985146329</v>
      </c>
      <c r="J45" s="1938">
        <f t="shared" si="16"/>
        <v>0.46837967322689772</v>
      </c>
      <c r="K45" s="3044" t="str">
        <f t="shared" si="16"/>
        <v>NO</v>
      </c>
    </row>
    <row r="46" spans="2:11" ht="18" customHeight="1" x14ac:dyDescent="0.2">
      <c r="B46" s="282" t="s">
        <v>243</v>
      </c>
      <c r="C46" s="699">
        <v>3174.5881093400003</v>
      </c>
      <c r="D46" s="3055" t="s">
        <v>97</v>
      </c>
      <c r="E46" s="1938">
        <f>IFERROR(H46*1000/$C46,"NA")</f>
        <v>67.379499664977999</v>
      </c>
      <c r="F46" s="1938">
        <f t="shared" ref="F46:G51" si="17">IFERROR(I46*1000000/$C46,"NA")</f>
        <v>8.0490117402535368</v>
      </c>
      <c r="G46" s="1938">
        <f t="shared" si="17"/>
        <v>2.722434474616183</v>
      </c>
      <c r="H46" s="699">
        <v>213.90215844971772</v>
      </c>
      <c r="I46" s="699">
        <v>2.555229696254694E-2</v>
      </c>
      <c r="J46" s="699">
        <v>8.6426081115738261E-3</v>
      </c>
      <c r="K46" s="3072" t="s">
        <v>199</v>
      </c>
    </row>
    <row r="47" spans="2:11" ht="18" customHeight="1" x14ac:dyDescent="0.2">
      <c r="B47" s="282" t="s">
        <v>245</v>
      </c>
      <c r="C47" s="699">
        <v>6670.5950000000003</v>
      </c>
      <c r="D47" s="3055" t="s">
        <v>97</v>
      </c>
      <c r="E47" s="1938">
        <f t="shared" ref="E47:E51" si="18">IFERROR(H47*1000/$C47,"NA")</f>
        <v>90.032055360353496</v>
      </c>
      <c r="F47" s="1938">
        <f t="shared" si="17"/>
        <v>0.95238095238095222</v>
      </c>
      <c r="G47" s="1938">
        <f t="shared" si="17"/>
        <v>0.67523809523809508</v>
      </c>
      <c r="H47" s="699">
        <v>600.56737832649731</v>
      </c>
      <c r="I47" s="699">
        <v>6.3529476190476181E-3</v>
      </c>
      <c r="J47" s="699">
        <v>4.5042398619047604E-3</v>
      </c>
      <c r="K47" s="3072" t="s">
        <v>199</v>
      </c>
    </row>
    <row r="48" spans="2:11" ht="18" customHeight="1" x14ac:dyDescent="0.2">
      <c r="B48" s="282" t="s">
        <v>246</v>
      </c>
      <c r="C48" s="699">
        <v>32910.969349999999</v>
      </c>
      <c r="D48" s="3055" t="s">
        <v>97</v>
      </c>
      <c r="E48" s="1938">
        <f t="shared" si="18"/>
        <v>51.411918339265014</v>
      </c>
      <c r="F48" s="1938">
        <f t="shared" si="17"/>
        <v>0.9140909090909094</v>
      </c>
      <c r="G48" s="1938">
        <f t="shared" si="17"/>
        <v>0.86459090909090919</v>
      </c>
      <c r="H48" s="699">
        <v>1692.0160686882539</v>
      </c>
      <c r="I48" s="699">
        <v>3.0083617892204553E-2</v>
      </c>
      <c r="J48" s="699">
        <v>2.8454524909379546E-2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73932.874446000016</v>
      </c>
      <c r="D51" s="3055" t="s">
        <v>97</v>
      </c>
      <c r="E51" s="1938">
        <f t="shared" si="18"/>
        <v>94.425480047915798</v>
      </c>
      <c r="F51" s="1938">
        <f t="shared" si="17"/>
        <v>9.0656462689978188</v>
      </c>
      <c r="G51" s="1938">
        <f t="shared" si="17"/>
        <v>5.7725105853385292</v>
      </c>
      <c r="H51" s="699">
        <v>6981.1471608858383</v>
      </c>
      <c r="I51" s="699">
        <v>0.6702492873776642</v>
      </c>
      <c r="J51" s="699">
        <v>0.42677830034403957</v>
      </c>
      <c r="K51" s="3072" t="s">
        <v>199</v>
      </c>
    </row>
    <row r="52" spans="2:11" ht="18" customHeight="1" x14ac:dyDescent="0.2">
      <c r="B52" s="1240" t="s">
        <v>269</v>
      </c>
      <c r="C52" s="3073">
        <f>IF(SUM(C53:C58)=0,"NO",SUM(C53:C58))</f>
        <v>76708.225878600002</v>
      </c>
      <c r="D52" s="3055" t="s">
        <v>97</v>
      </c>
      <c r="E52" s="615"/>
      <c r="F52" s="615"/>
      <c r="G52" s="615"/>
      <c r="H52" s="1938">
        <f>IF(SUM(H53:H57)=0,"NO",SUM(H53:H57))</f>
        <v>4633.6098756333067</v>
      </c>
      <c r="I52" s="1938">
        <f t="shared" ref="I52:K52" si="19">IF(SUM(I53:I58)=0,"NO",SUM(I53:I58))</f>
        <v>0.27155648708333824</v>
      </c>
      <c r="J52" s="1938">
        <f t="shared" si="19"/>
        <v>4.628988557316556E-2</v>
      </c>
      <c r="K52" s="3044" t="str">
        <f t="shared" si="19"/>
        <v>NO</v>
      </c>
    </row>
    <row r="53" spans="2:11" ht="18" customHeight="1" x14ac:dyDescent="0.2">
      <c r="B53" s="282" t="s">
        <v>243</v>
      </c>
      <c r="C53" s="2173">
        <v>7124.4749691999996</v>
      </c>
      <c r="D53" s="3055" t="s">
        <v>97</v>
      </c>
      <c r="E53" s="1938">
        <f>IFERROR(H53*1000/$C53,"NA")</f>
        <v>64.707272421102886</v>
      </c>
      <c r="F53" s="1938">
        <f t="shared" ref="F53:G58" si="20">IFERROR(I53*1000000/$C53,"NA")</f>
        <v>26.020491655620788</v>
      </c>
      <c r="G53" s="1938">
        <f t="shared" si="20"/>
        <v>1.7240340217393462</v>
      </c>
      <c r="H53" s="699">
        <v>461.00534268935291</v>
      </c>
      <c r="I53" s="699">
        <v>0.18538234148674776</v>
      </c>
      <c r="J53" s="699">
        <v>1.228283723393118E-2</v>
      </c>
      <c r="K53" s="3072" t="s">
        <v>199</v>
      </c>
    </row>
    <row r="54" spans="2:11" ht="18" customHeight="1" x14ac:dyDescent="0.2">
      <c r="B54" s="282" t="s">
        <v>245</v>
      </c>
      <c r="C54" s="699">
        <v>18851.815748099998</v>
      </c>
      <c r="D54" s="3055" t="s">
        <v>97</v>
      </c>
      <c r="E54" s="1938">
        <f t="shared" ref="E54:E58" si="21">IFERROR(H54*1000/$C54,"NA")</f>
        <v>89.779411002960344</v>
      </c>
      <c r="F54" s="1938">
        <f t="shared" si="20"/>
        <v>0.93854680183398742</v>
      </c>
      <c r="G54" s="1938">
        <f t="shared" si="20"/>
        <v>0.81768500584233694</v>
      </c>
      <c r="H54" s="699">
        <v>1692.5049142007501</v>
      </c>
      <c r="I54" s="699">
        <v>1.7693311379142852E-2</v>
      </c>
      <c r="J54" s="699">
        <v>1.5414847070123807E-2</v>
      </c>
      <c r="K54" s="3072" t="s">
        <v>199</v>
      </c>
    </row>
    <row r="55" spans="2:11" ht="18" customHeight="1" x14ac:dyDescent="0.2">
      <c r="B55" s="282" t="s">
        <v>246</v>
      </c>
      <c r="C55" s="699">
        <v>48239.779779800003</v>
      </c>
      <c r="D55" s="3055" t="s">
        <v>97</v>
      </c>
      <c r="E55" s="1938">
        <f t="shared" si="21"/>
        <v>51.411918339264986</v>
      </c>
      <c r="F55" s="1938">
        <f t="shared" si="20"/>
        <v>0.99810862495128716</v>
      </c>
      <c r="G55" s="1938">
        <f t="shared" si="20"/>
        <v>0.11683323793354301</v>
      </c>
      <c r="H55" s="699">
        <v>2480.0996187432042</v>
      </c>
      <c r="I55" s="699">
        <v>4.8148540263969086E-2</v>
      </c>
      <c r="J55" s="699">
        <v>5.6360096688750907E-3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2492.1553814999997</v>
      </c>
      <c r="D58" s="3055" t="s">
        <v>97</v>
      </c>
      <c r="E58" s="3074">
        <f t="shared" si="21"/>
        <v>89.522416902069494</v>
      </c>
      <c r="F58" s="3074">
        <f t="shared" si="20"/>
        <v>8.1585177651486607</v>
      </c>
      <c r="G58" s="3074">
        <f t="shared" si="20"/>
        <v>5.1987896486764411</v>
      </c>
      <c r="H58" s="2215">
        <v>223.10377304737904</v>
      </c>
      <c r="I58" s="699">
        <v>2.0332293953478582E-2</v>
      </c>
      <c r="J58" s="699">
        <v>1.2956191600235485E-2</v>
      </c>
      <c r="K58" s="3072" t="s">
        <v>199</v>
      </c>
    </row>
    <row r="59" spans="2:11" ht="18" customHeight="1" x14ac:dyDescent="0.2">
      <c r="B59" s="1240" t="s">
        <v>270</v>
      </c>
      <c r="C59" s="3073">
        <f>IF(SUM(C60:C65)=0,"NO",SUM(C60:C65))</f>
        <v>180458.48833906872</v>
      </c>
      <c r="D59" s="4224" t="s">
        <v>97</v>
      </c>
      <c r="E59" s="4225"/>
      <c r="F59" s="4225"/>
      <c r="G59" s="4225"/>
      <c r="H59" s="1938">
        <f>IF(SUM(H60:H64)=0,"NO",SUM(H60:H64))</f>
        <v>12466.233571577741</v>
      </c>
      <c r="I59" s="1938">
        <f t="shared" ref="I59:K59" si="22">IF(SUM(I60:I65)=0,"NO",SUM(I60:I65))</f>
        <v>0.64401025384570065</v>
      </c>
      <c r="J59" s="1938">
        <f t="shared" si="22"/>
        <v>0.58709510220399597</v>
      </c>
      <c r="K59" s="3044" t="str">
        <f t="shared" si="22"/>
        <v>NO</v>
      </c>
    </row>
    <row r="60" spans="2:11" ht="18" customHeight="1" x14ac:dyDescent="0.2">
      <c r="B60" s="282" t="s">
        <v>243</v>
      </c>
      <c r="C60" s="4223">
        <f>IF(SUM(C68,C75,C82,C89,C96,C103,C110,C111,C111,C112,C113,C120)=0,"NO",SUM(C68,C75,C82,C89,C96,C103,C110,C111,C111,C112,C113,C120))</f>
        <v>161049.93501355784</v>
      </c>
      <c r="D60" s="4224" t="s">
        <v>97</v>
      </c>
      <c r="E60" s="3074">
        <f t="shared" ref="E60:E65" si="23">IFERROR(H60*1000/$C60,"NA")</f>
        <v>69.747663063758409</v>
      </c>
      <c r="F60" s="3074">
        <f t="shared" ref="F60:F65" si="24">IFERROR(I60*1000000/$C60,"NA")</f>
        <v>3.8585439118202847</v>
      </c>
      <c r="G60" s="3074">
        <f t="shared" ref="G60:G65" si="25">IFERROR(J60*1000000/$C60,"NA")</f>
        <v>3.5433430868414528</v>
      </c>
      <c r="H60" s="3074">
        <f>IF(SUM(H68,H75,H82,H89,H96,H103,H110,H111,H111,H112,H113,H120)=0,"NO",SUM(H68,H75,H82,H89,H96,H103,H110,H111,H111,H112,H113,H120))</f>
        <v>11232.856603765822</v>
      </c>
      <c r="I60" s="3074">
        <f>IF(SUM(I68,I75,I82,I89,I96,I103,I110,I111,I111,I112,I113,I120)=0,"NO",SUM(I68,I75,I82,I89,I96,I103,I110,I111,I111,I112,I113,I120))</f>
        <v>0.62141824624561615</v>
      </c>
      <c r="J60" s="3074">
        <f>IF(SUM(J68,J75,J82,J89,J96,J103,J110,J111,J111,J112,J113,J120)=0,"NO",SUM(J68,J75,J82,J89,J96,J103,J110,J111,J111,J112,J113,J120))</f>
        <v>0.5706551738665554</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5407.0221689999998</v>
      </c>
      <c r="D61" s="4224" t="s">
        <v>97</v>
      </c>
      <c r="E61" s="3074">
        <f t="shared" si="23"/>
        <v>95.249584182372388</v>
      </c>
      <c r="F61" s="3074">
        <f t="shared" si="24"/>
        <v>0.95238095238095266</v>
      </c>
      <c r="G61" s="3074">
        <f t="shared" si="25"/>
        <v>0.75235111001658406</v>
      </c>
      <c r="H61" s="3074">
        <f>IF(SUM(H69,H76,H83,H90,H97,H104,H121)=0,"NO",SUM(H69,H76,H83,H90,H97,H104,H121))</f>
        <v>515.01661326211922</v>
      </c>
      <c r="I61" s="3074">
        <f>IF(SUM(I69,I76,I83,I90,I97,I104,I121)=0,"NO",SUM(I69,I76,I83,I90,I97,I104,I121))</f>
        <v>5.1495449228571438E-3</v>
      </c>
      <c r="J61" s="3074">
        <f>IF(SUM(J69,J76,J83,J90,J97,J104,J121)=0,"NO",SUM(J69,J76,J83,J90,J97,J104,J121))</f>
        <v>4.0679791307314276E-3</v>
      </c>
      <c r="K61" s="3044" t="str">
        <f>IF(SUM(K69,K76,K83,K90,K97,K104,K121)=0,"NO",SUM(K69,K76,K83,K90,K97,K104,K121))</f>
        <v>NO</v>
      </c>
    </row>
    <row r="62" spans="2:11" ht="18" customHeight="1" x14ac:dyDescent="0.2">
      <c r="B62" s="282" t="s">
        <v>246</v>
      </c>
      <c r="C62" s="4223">
        <f>IF(SUM(C70,C77,C84,C91,C98,C105,C115,C122)=0,"NO",SUM(C70,C77,C84,C91,C98,C105,C115,C122))</f>
        <v>13972.605736510857</v>
      </c>
      <c r="D62" s="4224" t="s">
        <v>97</v>
      </c>
      <c r="E62" s="3074">
        <f t="shared" si="23"/>
        <v>51.412053563688588</v>
      </c>
      <c r="F62" s="3074">
        <f t="shared" si="24"/>
        <v>1.2352939685610493</v>
      </c>
      <c r="G62" s="3074">
        <f t="shared" si="25"/>
        <v>0.87595794011568684</v>
      </c>
      <c r="H62" s="3074">
        <f t="shared" ref="H62:K63" si="26">IF(SUM(H70,H77,H84,H91,H98,H105,H115,H122)=0,"NO",SUM(H70,H77,H84,H91,H98,H105,H115,H122))</f>
        <v>718.36035454979867</v>
      </c>
      <c r="I62" s="3074">
        <f t="shared" si="26"/>
        <v>1.7260275591393381E-2</v>
      </c>
      <c r="J62" s="3074">
        <f t="shared" si="26"/>
        <v>1.223941493900268E-2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28.925420000000003</v>
      </c>
      <c r="D65" s="4224" t="s">
        <v>97</v>
      </c>
      <c r="E65" s="3074">
        <f t="shared" si="23"/>
        <v>80.555370746296916</v>
      </c>
      <c r="F65" s="3074">
        <f t="shared" si="24"/>
        <v>6.2985113382603899</v>
      </c>
      <c r="G65" s="3074">
        <f t="shared" si="25"/>
        <v>4.581930623875861</v>
      </c>
      <c r="H65" s="1938">
        <f>IF(SUM(H73,H80,H87,H94,H101,H108,H117,H125)=0,"NO",SUM(H73,H80,H87,H94,H101,H108,H117,H125))</f>
        <v>2.3300979320923521</v>
      </c>
      <c r="I65" s="1938">
        <f>IF(SUM(I73,I80,I87,I94,I101,I108,I117,I125)=0,"NO",SUM(I73,I80,I87,I94,I101,I108,I117,I125))</f>
        <v>1.8218708583394384E-4</v>
      </c>
      <c r="J65" s="1938">
        <f>IF(SUM(J73,J80,J87,J94,J101,J108,J117,J125)=0,"NO",SUM(J73,J80,J87,J94,J101,J108,J117,J125))</f>
        <v>1.3253426770647132E-4</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1291.9291529100001</v>
      </c>
      <c r="D67" s="3055" t="s">
        <v>97</v>
      </c>
      <c r="E67" s="615"/>
      <c r="F67" s="615"/>
      <c r="G67" s="615"/>
      <c r="H67" s="1938">
        <f>IF(SUM(H68:H72)=0,"NO",SUM(H68:H72))</f>
        <v>77.828057692530734</v>
      </c>
      <c r="I67" s="1938">
        <f t="shared" ref="I67:K67" si="27">IF(SUM(I68:I73)=0,"NO",SUM(I68:I73))</f>
        <v>1.3490095355075378E-2</v>
      </c>
      <c r="J67" s="1938">
        <f t="shared" si="27"/>
        <v>2.7730981251621045E-3</v>
      </c>
      <c r="K67" s="3044" t="str">
        <f t="shared" si="27"/>
        <v>NO</v>
      </c>
    </row>
    <row r="68" spans="2:11" ht="18" customHeight="1" x14ac:dyDescent="0.2">
      <c r="B68" s="158" t="s">
        <v>243</v>
      </c>
      <c r="C68" s="699">
        <v>739.29018655999982</v>
      </c>
      <c r="D68" s="3055" t="s">
        <v>97</v>
      </c>
      <c r="E68" s="1938">
        <f>IFERROR(H68*1000/$C68,"NA")</f>
        <v>66.842261917997462</v>
      </c>
      <c r="F68" s="1938">
        <f t="shared" ref="F68:G73" si="28">IFERROR(I68*1000000/$C68,"NA")</f>
        <v>17.552161995750705</v>
      </c>
      <c r="G68" s="1938">
        <f t="shared" si="28"/>
        <v>3.1432889111276703</v>
      </c>
      <c r="H68" s="699">
        <v>49.415828283448711</v>
      </c>
      <c r="I68" s="699">
        <v>1.2976141116369877E-2</v>
      </c>
      <c r="J68" s="699">
        <v>2.3238026455195543E-3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552.63896635000015</v>
      </c>
      <c r="D70" s="3055" t="s">
        <v>97</v>
      </c>
      <c r="E70" s="1938">
        <f t="shared" si="29"/>
        <v>51.411918339264993</v>
      </c>
      <c r="F70" s="1938">
        <f t="shared" si="28"/>
        <v>0.92999999999999972</v>
      </c>
      <c r="G70" s="1938">
        <f t="shared" si="28"/>
        <v>0.81299999999999983</v>
      </c>
      <c r="H70" s="699">
        <v>28.41222940908202</v>
      </c>
      <c r="I70" s="699">
        <v>5.1395423870549998E-4</v>
      </c>
      <c r="J70" s="699">
        <v>4.4929547964255007E-4</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138739.6831361076</v>
      </c>
      <c r="D81" s="3056" t="s">
        <v>97</v>
      </c>
      <c r="E81" s="615"/>
      <c r="F81" s="615"/>
      <c r="G81" s="615"/>
      <c r="H81" s="1938">
        <f>IF(SUM(H82:H86)=0,"NO",SUM(H82:H86))</f>
        <v>9735.1927464206656</v>
      </c>
      <c r="I81" s="1938">
        <f t="shared" ref="I81:K81" si="33">IF(SUM(I82:I87)=0,"NO",SUM(I82:I87))</f>
        <v>0.47361321208650525</v>
      </c>
      <c r="J81" s="1938">
        <f t="shared" si="33"/>
        <v>0.46673440546669748</v>
      </c>
      <c r="K81" s="3044" t="str">
        <f t="shared" si="33"/>
        <v>NO</v>
      </c>
    </row>
    <row r="82" spans="2:11" ht="18" customHeight="1" x14ac:dyDescent="0.2">
      <c r="B82" s="158" t="s">
        <v>243</v>
      </c>
      <c r="C82" s="699">
        <v>129489.1075208</v>
      </c>
      <c r="D82" s="3056" t="s">
        <v>97</v>
      </c>
      <c r="E82" s="1938">
        <f>IFERROR(H82*1000/$C82,"NA")</f>
        <v>69.804412273533288</v>
      </c>
      <c r="F82" s="1938">
        <f t="shared" ref="F82:G87" si="34">IFERROR(I82*1000000/$C82,"NA")</f>
        <v>3.5551700991712778</v>
      </c>
      <c r="G82" s="1938">
        <f t="shared" si="34"/>
        <v>3.5454986404642868</v>
      </c>
      <c r="H82" s="699">
        <v>9038.911046313804</v>
      </c>
      <c r="I82" s="699">
        <v>0.46035580322632275</v>
      </c>
      <c r="J82" s="699">
        <v>0.45910345466993019</v>
      </c>
      <c r="K82" s="3072" t="s">
        <v>199</v>
      </c>
    </row>
    <row r="83" spans="2:11" ht="18" customHeight="1" x14ac:dyDescent="0.2">
      <c r="B83" s="158" t="s">
        <v>245</v>
      </c>
      <c r="C83" s="699">
        <v>5004.7589399999997</v>
      </c>
      <c r="D83" s="3056" t="s">
        <v>97</v>
      </c>
      <c r="E83" s="1938">
        <f t="shared" ref="E83:E87" si="35">IFERROR(H83*1000/$C83,"NA")</f>
        <v>95.671525520491741</v>
      </c>
      <c r="F83" s="1938">
        <f t="shared" si="34"/>
        <v>0.95238095238095266</v>
      </c>
      <c r="G83" s="1938">
        <f t="shared" si="34"/>
        <v>0.75923809523809516</v>
      </c>
      <c r="H83" s="699">
        <v>478.8129226521192</v>
      </c>
      <c r="I83" s="699">
        <v>4.7664370857142865E-3</v>
      </c>
      <c r="J83" s="699">
        <v>3.799803644731428E-3</v>
      </c>
      <c r="K83" s="3072" t="s">
        <v>199</v>
      </c>
    </row>
    <row r="84" spans="2:11" ht="18" customHeight="1" x14ac:dyDescent="0.2">
      <c r="B84" s="158" t="s">
        <v>246</v>
      </c>
      <c r="C84" s="699">
        <v>4229.9292553076002</v>
      </c>
      <c r="D84" s="3056" t="s">
        <v>97</v>
      </c>
      <c r="E84" s="1938">
        <f t="shared" si="35"/>
        <v>51.411918339264972</v>
      </c>
      <c r="F84" s="1938">
        <f t="shared" si="34"/>
        <v>1.9754545454545456</v>
      </c>
      <c r="G84" s="1938">
        <f t="shared" si="34"/>
        <v>0.8848181818181815</v>
      </c>
      <c r="H84" s="699">
        <v>217.46877745474222</v>
      </c>
      <c r="I84" s="699">
        <v>8.3560329743485595E-3</v>
      </c>
      <c r="J84" s="699">
        <v>3.7427183129008054E-3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15.887419999999999</v>
      </c>
      <c r="D87" s="3055" t="s">
        <v>97</v>
      </c>
      <c r="E87" s="1938">
        <f t="shared" si="35"/>
        <v>90.84246359253379</v>
      </c>
      <c r="F87" s="1938">
        <f t="shared" si="34"/>
        <v>8.4934369532408756</v>
      </c>
      <c r="G87" s="1938">
        <f t="shared" si="34"/>
        <v>5.5659659740249054</v>
      </c>
      <c r="H87" s="699">
        <v>1.443252372929293</v>
      </c>
      <c r="I87" s="699">
        <v>1.3493880011965814E-4</v>
      </c>
      <c r="J87" s="699">
        <v>8.8428839135042743E-5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32442.735257385437</v>
      </c>
      <c r="D95" s="3056" t="s">
        <v>97</v>
      </c>
      <c r="E95" s="615"/>
      <c r="F95" s="615"/>
      <c r="G95" s="615"/>
      <c r="H95" s="1938">
        <f>IF(SUM(H96:H100)=0,"NO",SUM(H96:H100))</f>
        <v>2213.4630478010167</v>
      </c>
      <c r="I95" s="1938">
        <f t="shared" ref="I95:K95" si="41">IF(SUM(I96:I101)=0,"NO",SUM(I96:I101))</f>
        <v>0.11531134283482823</v>
      </c>
      <c r="J95" s="1938">
        <f t="shared" si="41"/>
        <v>0.10978400462539459</v>
      </c>
      <c r="K95" s="3044" t="str">
        <f t="shared" si="41"/>
        <v>NO</v>
      </c>
    </row>
    <row r="96" spans="2:11" ht="18" customHeight="1" x14ac:dyDescent="0.2">
      <c r="B96" s="158" t="s">
        <v>243</v>
      </c>
      <c r="C96" s="699">
        <v>29612.663272987822</v>
      </c>
      <c r="D96" s="3056" t="s">
        <v>97</v>
      </c>
      <c r="E96" s="1938">
        <f>IFERROR(H96*1000/$C96,"NA")</f>
        <v>69.856395811693346</v>
      </c>
      <c r="F96" s="1938">
        <f t="shared" ref="F96:G101" si="42">IFERROR(I96*1000000/$C96,"NA")</f>
        <v>3.8059107863528059</v>
      </c>
      <c r="G96" s="1938">
        <f t="shared" si="42"/>
        <v>3.619362372879646</v>
      </c>
      <c r="H96" s="699">
        <v>2068.633926636232</v>
      </c>
      <c r="I96" s="699">
        <v>0.11270315456329794</v>
      </c>
      <c r="J96" s="699">
        <v>0.10717895921100715</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2817.0339843976158</v>
      </c>
      <c r="D98" s="3056" t="s">
        <v>97</v>
      </c>
      <c r="E98" s="1938">
        <f t="shared" si="43"/>
        <v>51.411918339264986</v>
      </c>
      <c r="F98" s="1938">
        <f t="shared" si="42"/>
        <v>0.90909090909090895</v>
      </c>
      <c r="G98" s="1938">
        <f t="shared" si="42"/>
        <v>0.90909090909090895</v>
      </c>
      <c r="H98" s="699">
        <v>144.82912116478451</v>
      </c>
      <c r="I98" s="699">
        <v>2.5609399858160142E-3</v>
      </c>
      <c r="J98" s="699">
        <v>2.5609399858160142E-3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13.038000000000002</v>
      </c>
      <c r="D101" s="3055" t="s">
        <v>97</v>
      </c>
      <c r="E101" s="1938">
        <f t="shared" si="43"/>
        <v>68.020061294911727</v>
      </c>
      <c r="F101" s="1938">
        <f t="shared" si="42"/>
        <v>3.6238906054828735</v>
      </c>
      <c r="G101" s="1938">
        <f t="shared" si="42"/>
        <v>3.3828369820086333</v>
      </c>
      <c r="H101" s="699">
        <v>0.88684555916305918</v>
      </c>
      <c r="I101" s="699">
        <v>4.7248285714285712E-5</v>
      </c>
      <c r="J101" s="699">
        <v>4.4105428571428568E-5</v>
      </c>
      <c r="K101" s="3072" t="s">
        <v>199</v>
      </c>
    </row>
    <row r="102" spans="2:11" ht="18" customHeight="1" x14ac:dyDescent="0.2">
      <c r="B102" s="1241" t="s">
        <v>279</v>
      </c>
      <c r="C102" s="1938">
        <f>IF(SUM(C103:C108)=0,"NO",SUM(C103:C108))</f>
        <v>5227.4533049999991</v>
      </c>
      <c r="D102" s="3055" t="s">
        <v>97</v>
      </c>
      <c r="E102" s="615"/>
      <c r="F102" s="615"/>
      <c r="G102" s="615"/>
      <c r="H102" s="1938">
        <f>IF(SUM(H103:H107)=0,"NO",SUM(H103:H107))</f>
        <v>288.19979188429716</v>
      </c>
      <c r="I102" s="1938">
        <f t="shared" ref="I102:K102" si="47">IF(SUM(I103:I108)=0,"NO",SUM(I103:I108))</f>
        <v>4.9205755611497828E-3</v>
      </c>
      <c r="J102" s="1938">
        <f t="shared" si="47"/>
        <v>4.6774743951829957E-3</v>
      </c>
      <c r="K102" s="3044" t="str">
        <f t="shared" si="47"/>
        <v>NO</v>
      </c>
    </row>
    <row r="103" spans="2:11" ht="18" customHeight="1" x14ac:dyDescent="0.2">
      <c r="B103" s="158" t="s">
        <v>243</v>
      </c>
      <c r="C103" s="699">
        <v>284.32741099999998</v>
      </c>
      <c r="D103" s="3055" t="s">
        <v>97</v>
      </c>
      <c r="E103" s="1938">
        <f>IFERROR(H103*1000/$C103,"NA")</f>
        <v>65.212287082303163</v>
      </c>
      <c r="F103" s="1938">
        <f t="shared" ref="F103:G108" si="48">IFERROR(I103*1000000/$C103,"NA")</f>
        <v>1.3237777488842033</v>
      </c>
      <c r="G103" s="1938">
        <f t="shared" si="48"/>
        <v>2.022877763043827</v>
      </c>
      <c r="H103" s="699">
        <v>18.541640751500001</v>
      </c>
      <c r="I103" s="699">
        <v>3.7638630007965366E-4</v>
      </c>
      <c r="J103" s="699">
        <v>5.7515959713572281E-4</v>
      </c>
      <c r="K103" s="3072" t="s">
        <v>199</v>
      </c>
    </row>
    <row r="104" spans="2:11" ht="18" customHeight="1" x14ac:dyDescent="0.2">
      <c r="B104" s="158" t="s">
        <v>245</v>
      </c>
      <c r="C104" s="699">
        <v>402.26322899999997</v>
      </c>
      <c r="D104" s="3055" t="s">
        <v>97</v>
      </c>
      <c r="E104" s="1938">
        <f t="shared" ref="E104:E108" si="49">IFERROR(H104*1000/$C104,"NA")</f>
        <v>90</v>
      </c>
      <c r="F104" s="1938">
        <f t="shared" si="48"/>
        <v>0.95238095238095233</v>
      </c>
      <c r="G104" s="1938">
        <f t="shared" si="48"/>
        <v>0.66666666666666652</v>
      </c>
      <c r="H104" s="699">
        <v>36.203690609999995</v>
      </c>
      <c r="I104" s="699">
        <v>3.8310783714285709E-4</v>
      </c>
      <c r="J104" s="699">
        <v>2.681754859999999E-4</v>
      </c>
      <c r="K104" s="3072" t="s">
        <v>199</v>
      </c>
    </row>
    <row r="105" spans="2:11" ht="18" customHeight="1" x14ac:dyDescent="0.2">
      <c r="B105" s="158" t="s">
        <v>246</v>
      </c>
      <c r="C105" s="699">
        <v>4540.8626649999997</v>
      </c>
      <c r="D105" s="3055" t="s">
        <v>97</v>
      </c>
      <c r="E105" s="1938">
        <f t="shared" si="49"/>
        <v>51.411918339264993</v>
      </c>
      <c r="F105" s="1938">
        <f t="shared" si="48"/>
        <v>0.91636363636363627</v>
      </c>
      <c r="G105" s="1938">
        <f t="shared" si="48"/>
        <v>0.84436363636363654</v>
      </c>
      <c r="H105" s="699">
        <v>233.45446052279718</v>
      </c>
      <c r="I105" s="699">
        <v>4.1610814239272723E-3</v>
      </c>
      <c r="J105" s="699">
        <v>3.8341393120472729E-3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2756.6874876656566</v>
      </c>
      <c r="D118" s="3055" t="s">
        <v>97</v>
      </c>
      <c r="E118" s="615"/>
      <c r="F118" s="615"/>
      <c r="G118" s="615"/>
      <c r="H118" s="1938">
        <f>H119</f>
        <v>151.54992777922922</v>
      </c>
      <c r="I118" s="1938">
        <f>I119</f>
        <v>3.6675028008141902E-2</v>
      </c>
      <c r="J118" s="1938">
        <f>J119</f>
        <v>3.1261195915587344E-3</v>
      </c>
      <c r="K118" s="3044" t="str">
        <f>K119</f>
        <v>NO</v>
      </c>
    </row>
    <row r="119" spans="2:11" ht="18" customHeight="1" x14ac:dyDescent="0.2">
      <c r="B119" s="3069" t="s">
        <v>286</v>
      </c>
      <c r="C119" s="3077">
        <f>IF(SUM(C120:C125)=0,"NO",SUM(C120:C125))</f>
        <v>2756.6874876656566</v>
      </c>
      <c r="D119" s="3055" t="s">
        <v>97</v>
      </c>
      <c r="E119" s="615"/>
      <c r="F119" s="615"/>
      <c r="G119" s="615"/>
      <c r="H119" s="3077">
        <f>IF(SUM(H120:H124)=0,"NO",SUM(H120:H124))</f>
        <v>151.54992777922922</v>
      </c>
      <c r="I119" s="3077">
        <f t="shared" ref="I119" si="56">IF(SUM(I120:I125)=0,"NO",SUM(I120:I125))</f>
        <v>3.6675028008141902E-2</v>
      </c>
      <c r="J119" s="3077">
        <f t="shared" ref="J119" si="57">IF(SUM(J120:J125)=0,"NO",SUM(J120:J125))</f>
        <v>3.1261195915587344E-3</v>
      </c>
      <c r="K119" s="3078" t="str">
        <f t="shared" ref="K119" si="58">IF(SUM(K120:K125)=0,"NO",SUM(K120:K125))</f>
        <v>NO</v>
      </c>
    </row>
    <row r="120" spans="2:11" ht="18" customHeight="1" x14ac:dyDescent="0.2">
      <c r="B120" s="158" t="s">
        <v>243</v>
      </c>
      <c r="C120" s="699">
        <v>924.54662221001604</v>
      </c>
      <c r="D120" s="3055" t="s">
        <v>97</v>
      </c>
      <c r="E120" s="1938">
        <f>IFERROR(H120*1000/$C120,"NA")</f>
        <v>62.034904896129881</v>
      </c>
      <c r="F120" s="1938">
        <f t="shared" ref="F120:G125" si="59">IFERROR(I120*1000000/$C120,"NA")</f>
        <v>37.863705516403776</v>
      </c>
      <c r="G120" s="1938">
        <f t="shared" si="59"/>
        <v>1.5940761748063756</v>
      </c>
      <c r="H120" s="699">
        <v>57.354161780836471</v>
      </c>
      <c r="I120" s="699">
        <v>3.5006761039545864E-2</v>
      </c>
      <c r="J120" s="699">
        <v>1.4737977429626977E-3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1832.1408654556403</v>
      </c>
      <c r="D122" s="3055" t="s">
        <v>97</v>
      </c>
      <c r="E122" s="1938">
        <f t="shared" si="60"/>
        <v>51.412949612347049</v>
      </c>
      <c r="F122" s="1938">
        <f t="shared" si="59"/>
        <v>0.91055606042669124</v>
      </c>
      <c r="G122" s="1938">
        <f t="shared" si="59"/>
        <v>0.9018530614921445</v>
      </c>
      <c r="H122" s="699">
        <v>94.195765998392744</v>
      </c>
      <c r="I122" s="699">
        <v>1.6682669685960363E-3</v>
      </c>
      <c r="J122" s="699">
        <v>1.6523218485960365E-3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topLeftCell="B1"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4435.6448158745088</v>
      </c>
      <c r="D10" s="695">
        <f t="shared" ref="D10:F10" si="0">SUM(D11:D16)</f>
        <v>19928.859024448444</v>
      </c>
      <c r="E10" s="695">
        <f t="shared" si="0"/>
        <v>1606.3507217437545</v>
      </c>
      <c r="F10" s="695">
        <f t="shared" si="0"/>
        <v>3656.9482185489342</v>
      </c>
      <c r="G10" s="696" t="s">
        <v>199</v>
      </c>
      <c r="H10" s="697" t="s">
        <v>2035</v>
      </c>
      <c r="I10" s="698" t="s">
        <v>2036</v>
      </c>
    </row>
    <row r="11" spans="2:9" ht="18" customHeight="1" x14ac:dyDescent="0.2">
      <c r="B11" s="1561" t="s">
        <v>1921</v>
      </c>
      <c r="C11" s="3696">
        <f>Table1!D10</f>
        <v>1379.7521926591946</v>
      </c>
      <c r="D11" s="3697">
        <f>Table1!G10</f>
        <v>2050.8436367846552</v>
      </c>
      <c r="E11" s="3697">
        <f>Table1!H10</f>
        <v>717.00949091025814</v>
      </c>
      <c r="F11" s="3697">
        <f>Table1!F10</f>
        <v>2952.8918476131266</v>
      </c>
      <c r="G11" s="3698" t="s">
        <v>199</v>
      </c>
      <c r="H11" s="3699" t="s">
        <v>221</v>
      </c>
      <c r="I11" s="3700" t="s">
        <v>221</v>
      </c>
    </row>
    <row r="12" spans="2:9" ht="18" customHeight="1" x14ac:dyDescent="0.2">
      <c r="B12" s="2419" t="s">
        <v>2037</v>
      </c>
      <c r="C12" s="3149">
        <f>'Table2(I)'!D10</f>
        <v>2.858517065785743</v>
      </c>
      <c r="D12" s="699">
        <f>'Table2(I)'!L10</f>
        <v>16.460991508637015</v>
      </c>
      <c r="E12" s="699">
        <f>'Table2(I)'!M10</f>
        <v>248.35679965999566</v>
      </c>
      <c r="F12" s="699">
        <f>'Table2(I)'!K10</f>
        <v>6.9031524665594279</v>
      </c>
      <c r="G12" s="3125" t="s">
        <v>199</v>
      </c>
      <c r="H12" s="3701" t="s">
        <v>199</v>
      </c>
      <c r="I12" s="2921" t="s">
        <v>199</v>
      </c>
    </row>
    <row r="13" spans="2:9" ht="18" customHeight="1" x14ac:dyDescent="0.2">
      <c r="B13" s="2419" t="s">
        <v>2038</v>
      </c>
      <c r="C13" s="3149">
        <f>Table3!D10</f>
        <v>2077.0050473409892</v>
      </c>
      <c r="D13" s="699">
        <f>Table3!G10</f>
        <v>223.31433573821647</v>
      </c>
      <c r="E13" s="699">
        <f>Table3!H10</f>
        <v>13.026669584729296</v>
      </c>
      <c r="F13" s="699">
        <f>Table3!F10</f>
        <v>13.911558799337836</v>
      </c>
      <c r="G13" s="3702"/>
      <c r="H13" s="3701" t="s">
        <v>221</v>
      </c>
      <c r="I13" s="2921" t="s">
        <v>274</v>
      </c>
    </row>
    <row r="14" spans="2:9" ht="18" customHeight="1" x14ac:dyDescent="0.2">
      <c r="B14" s="2419" t="s">
        <v>2039</v>
      </c>
      <c r="C14" s="3149">
        <f>Table4!D10</f>
        <v>506.72538151669215</v>
      </c>
      <c r="D14" s="699">
        <f>Table4!G10</f>
        <v>17638.240060416934</v>
      </c>
      <c r="E14" s="3125">
        <f>Table4!H10</f>
        <v>391.67352724773224</v>
      </c>
      <c r="F14" s="3125">
        <f>Table4!F10</f>
        <v>683.24165966991018</v>
      </c>
      <c r="G14" s="3702"/>
      <c r="H14" s="3703" t="s">
        <v>221</v>
      </c>
      <c r="I14" s="2921" t="s">
        <v>221</v>
      </c>
    </row>
    <row r="15" spans="2:9" ht="18" customHeight="1" x14ac:dyDescent="0.2">
      <c r="B15" s="2419" t="s">
        <v>2040</v>
      </c>
      <c r="C15" s="3149">
        <f>Table5!D10</f>
        <v>469.3036772918469</v>
      </c>
      <c r="D15" s="699" t="str">
        <f>Table5!G10</f>
        <v>NO</v>
      </c>
      <c r="E15" s="3125">
        <f>Table5!H10</f>
        <v>236.28423434103914</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3" t="s">
        <v>2171</v>
      </c>
      <c r="C250" s="4544"/>
      <c r="D250" s="4544"/>
      <c r="E250" s="4544"/>
      <c r="F250" s="4544"/>
      <c r="G250" s="4545"/>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A8"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2020</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340318.55911006802</v>
      </c>
      <c r="D10" s="3840">
        <f>SUM(D11,D22,D30,D41,D50,D56)</f>
        <v>320425.12280077208</v>
      </c>
      <c r="E10" s="3842">
        <f>IF(D10="NO",IF(C10="NO","NA",-C10),IF(C10="NO",D10,D10-C10))</f>
        <v>-19893.436309295939</v>
      </c>
      <c r="F10" s="3840">
        <f>IF(E10="NA","NA",E10/C10*100)</f>
        <v>-5.8455337732144885</v>
      </c>
      <c r="G10" s="3843">
        <f>IF(E10="NA","NA",E10/Table8s2!$G$35*100)</f>
        <v>-3.7130140104726053</v>
      </c>
      <c r="H10" s="3844">
        <f>IF(E10="NA","NA",E10/Table8s2!$G$34*100)</f>
        <v>-4.1921137048563653</v>
      </c>
      <c r="I10" s="4488">
        <f>SUM(I11,I22,I30,I41,I50,I56)</f>
        <v>123085.05439397127</v>
      </c>
      <c r="J10" s="3840">
        <f>SUM(J11,J22,J30,J41,J50,J56)</f>
        <v>124198.05484448624</v>
      </c>
      <c r="K10" s="3842">
        <f t="shared" ref="K10:K12" si="0">IF(J10="NO",IF(I10="NO","NA",-I10),IF(I10="NO",J10,J10-I10))</f>
        <v>1113.00045051497</v>
      </c>
      <c r="L10" s="3840">
        <f t="shared" ref="L10:L12" si="1">IF(K10="NA","NA",K10/I10*100)</f>
        <v>0.90425312479651065</v>
      </c>
      <c r="M10" s="3843">
        <f>IF(K10="NA","NA",K10/Table8s2!$G$35*100)</f>
        <v>0.20773616996945382</v>
      </c>
      <c r="N10" s="3844">
        <f>IF(K10="NA","NA",K10/Table8s2!$G$34*100)</f>
        <v>0.23454089929826938</v>
      </c>
      <c r="O10" s="4488">
        <f>SUM(O11,O22,O30,O41,O50,O56)</f>
        <v>19528.168228383325</v>
      </c>
      <c r="P10" s="3840">
        <f>SUM(P11,P22,P30,P41,P50,P56)</f>
        <v>18626.519909535393</v>
      </c>
      <c r="Q10" s="3842">
        <f t="shared" ref="Q10:Q12" si="2">IF(P10="NO",IF(O10="NO","NA",-O10),IF(O10="NO",P10,P10-O10))</f>
        <v>-901.64831884793239</v>
      </c>
      <c r="R10" s="3840">
        <f t="shared" ref="R10:R12" si="3">IF(Q10="NA","NA",Q10/O10*100)</f>
        <v>-4.6171679202221672</v>
      </c>
      <c r="S10" s="3843">
        <f>IF(Q10="NA","NA",Q10/Table8s2!$G$35*100)</f>
        <v>-0.16828831320796225</v>
      </c>
      <c r="T10" s="3844">
        <f>IF(Q10="NA","NA",Q10/Table8s2!$G$34*100)</f>
        <v>-0.1900029846847959</v>
      </c>
    </row>
    <row r="11" spans="2:20" ht="18" customHeight="1" x14ac:dyDescent="0.2">
      <c r="B11" s="1404" t="s">
        <v>1921</v>
      </c>
      <c r="C11" s="3841">
        <f>SUM(C12,C18,C21)</f>
        <v>377805.58790832112</v>
      </c>
      <c r="D11" s="3841">
        <f>Summary2!C11</f>
        <v>377584.25662637874</v>
      </c>
      <c r="E11" s="3845">
        <f t="shared" ref="E11:E38" si="4">IF(D11="NO",IF(C11="NO","NA",-C11),IF(C11="NO",D11,D11-C11))</f>
        <v>-221.33128194237361</v>
      </c>
      <c r="F11" s="3841">
        <f t="shared" ref="F11:F38" si="5">IF(E11="NA","NA",E11/C11*100)</f>
        <v>-5.8583379660356483E-2</v>
      </c>
      <c r="G11" s="3846">
        <f>IF(E11="NA","NA",E11/Table8s2!$G$35*100)</f>
        <v>-4.1310417065747285E-2</v>
      </c>
      <c r="H11" s="3847">
        <f>IF(E11="NA","NA",E11/Table8s2!$G$34*100)</f>
        <v>-4.6640805837575808E-2</v>
      </c>
      <c r="I11" s="3848">
        <f>SUM(I12,I18,I21)</f>
        <v>38343.903428413774</v>
      </c>
      <c r="J11" s="3841">
        <f>Summary2!D11</f>
        <v>38633.061394457451</v>
      </c>
      <c r="K11" s="3845">
        <f t="shared" si="0"/>
        <v>289.15796604367642</v>
      </c>
      <c r="L11" s="3841">
        <f t="shared" si="1"/>
        <v>0.75411718732163113</v>
      </c>
      <c r="M11" s="3846">
        <f>IF(K11="NA","NA",K11/Table8s2!$G$35*100)</f>
        <v>5.396994076172909E-2</v>
      </c>
      <c r="N11" s="3847">
        <f>IF(K11="NA","NA",K11/Table8s2!$G$34*100)</f>
        <v>6.0933820254756604E-2</v>
      </c>
      <c r="O11" s="3848">
        <f>SUM(O12,O18,O21)</f>
        <v>2559.0786538426437</v>
      </c>
      <c r="P11" s="3841">
        <f>Summary2!E11</f>
        <v>2557.4529565075568</v>
      </c>
      <c r="Q11" s="3845">
        <f t="shared" si="2"/>
        <v>-1.6256973350868975</v>
      </c>
      <c r="R11" s="3841">
        <f t="shared" si="3"/>
        <v>-6.3526665452263223E-2</v>
      </c>
      <c r="S11" s="3846">
        <f>IF(Q11="NA","NA",Q11/Table8s2!$G$35*100)</f>
        <v>-3.0342857252595293E-4</v>
      </c>
      <c r="T11" s="3847">
        <f>IF(Q11="NA","NA",Q11/Table8s2!$G$34*100)</f>
        <v>-3.4258073730487903E-4</v>
      </c>
    </row>
    <row r="12" spans="2:20" ht="18" customHeight="1" x14ac:dyDescent="0.2">
      <c r="B12" s="606" t="s">
        <v>242</v>
      </c>
      <c r="C12" s="3841">
        <f>SUM(C13:C17)</f>
        <v>360521.15590844705</v>
      </c>
      <c r="D12" s="3841">
        <f>Summary2!C12</f>
        <v>360287.65911070595</v>
      </c>
      <c r="E12" s="3841">
        <f t="shared" si="4"/>
        <v>-233.49679774109973</v>
      </c>
      <c r="F12" s="3849">
        <f t="shared" si="5"/>
        <v>-6.4766462082573403E-2</v>
      </c>
      <c r="G12" s="3846">
        <f>IF(E12="NA","NA",E12/Table8s2!$G$35*100)</f>
        <v>-4.3581051957728621E-2</v>
      </c>
      <c r="H12" s="3847">
        <f>IF(E12="NA","NA",E12/Table8s2!$G$34*100)</f>
        <v>-4.9204426557172408E-2</v>
      </c>
      <c r="I12" s="3848">
        <f>SUM(I13:I17)</f>
        <v>2106.5921622329079</v>
      </c>
      <c r="J12" s="3841">
        <f>Summary2!D12</f>
        <v>2115.4258366369068</v>
      </c>
      <c r="K12" s="3841">
        <f t="shared" si="0"/>
        <v>8.8336744039988844</v>
      </c>
      <c r="L12" s="3849">
        <f t="shared" si="1"/>
        <v>0.4193348177387845</v>
      </c>
      <c r="M12" s="3846">
        <f>IF(K12="NA","NA",K12/Table8s2!$G$35*100)</f>
        <v>1.6487627535055017E-3</v>
      </c>
      <c r="N12" s="3847">
        <f>IF(K12="NA","NA",K12/Table8s2!$G$34*100)</f>
        <v>1.8615068285582292E-3</v>
      </c>
      <c r="O12" s="3850">
        <f>SUM(O13:O17)</f>
        <v>2498.5873065199489</v>
      </c>
      <c r="P12" s="3849">
        <f>Summary2!E12</f>
        <v>2496.961609184862</v>
      </c>
      <c r="Q12" s="3841">
        <f t="shared" si="2"/>
        <v>-1.6256973350868975</v>
      </c>
      <c r="R12" s="3849">
        <f t="shared" si="3"/>
        <v>-6.506465997184549E-2</v>
      </c>
      <c r="S12" s="3846">
        <f>IF(Q12="NA","NA",Q12/Table8s2!$G$35*100)</f>
        <v>-3.0342857252595293E-4</v>
      </c>
      <c r="T12" s="3847">
        <f>IF(Q12="NA","NA",Q12/Table8s2!$G$34*100)</f>
        <v>-3.4258073730487903E-4</v>
      </c>
    </row>
    <row r="13" spans="2:20" ht="18" customHeight="1" x14ac:dyDescent="0.2">
      <c r="B13" s="1391" t="s">
        <v>1923</v>
      </c>
      <c r="C13" s="3849">
        <v>206356.38761762789</v>
      </c>
      <c r="D13" s="3841">
        <f>Summary2!C13</f>
        <v>206098.02671549973</v>
      </c>
      <c r="E13" s="3841">
        <f t="shared" si="4"/>
        <v>-258.36090212815907</v>
      </c>
      <c r="F13" s="3849">
        <f t="shared" si="5"/>
        <v>-0.12520131075704521</v>
      </c>
      <c r="G13" s="3846">
        <f>IF(E13="NA","NA",E13/Table8s2!$G$35*100)</f>
        <v>-4.8221817208720701E-2</v>
      </c>
      <c r="H13" s="3847">
        <f>IF(E13="NA","NA",E13/Table8s2!$G$34*100)</f>
        <v>-5.4444001617980978E-2</v>
      </c>
      <c r="I13" s="3848">
        <v>726.85298125290444</v>
      </c>
      <c r="J13" s="3841">
        <f>Summary2!D13</f>
        <v>736.46760583566083</v>
      </c>
      <c r="K13" s="3841">
        <f t="shared" ref="K13" si="6">IF(J13="NO",IF(I13="NO","NA",-I13),IF(I13="NO",J13,J13-I13))</f>
        <v>9.6146245827563916</v>
      </c>
      <c r="L13" s="3849">
        <f t="shared" ref="L13" si="7">IF(K13="NA","NA",K13/I13*100)</f>
        <v>1.3227743203561322</v>
      </c>
      <c r="M13" s="3846">
        <f>IF(K13="NA","NA",K13/Table8s2!$G$35*100)</f>
        <v>1.7945233405717357E-3</v>
      </c>
      <c r="N13" s="3847">
        <f>IF(K13="NA","NA",K13/Table8s2!$G$34*100)</f>
        <v>2.026075276979056E-3</v>
      </c>
      <c r="O13" s="3850">
        <v>835.52580099542831</v>
      </c>
      <c r="P13" s="3849">
        <f>Summary2!E13</f>
        <v>834.60613131714638</v>
      </c>
      <c r="Q13" s="3841">
        <f t="shared" ref="Q13" si="8">IF(P13="NO",IF(O13="NO","NA",-O13),IF(O13="NO",P13,P13-O13))</f>
        <v>-0.91966967828193447</v>
      </c>
      <c r="R13" s="3849">
        <f t="shared" ref="R13" si="9">IF(Q13="NA","NA",Q13/O13*100)</f>
        <v>-0.1100707694707044</v>
      </c>
      <c r="S13" s="3846">
        <f>IF(Q13="NA","NA",Q13/Table8s2!$G$35*100)</f>
        <v>-1.7165191309215846E-4</v>
      </c>
      <c r="T13" s="3847">
        <f>IF(Q13="NA","NA",Q13/Table8s2!$G$34*100)</f>
        <v>-1.9380059846498129E-4</v>
      </c>
    </row>
    <row r="14" spans="2:20" ht="18" customHeight="1" x14ac:dyDescent="0.2">
      <c r="B14" s="1391" t="s">
        <v>1976</v>
      </c>
      <c r="C14" s="3849">
        <v>41250.96272044244</v>
      </c>
      <c r="D14" s="3841">
        <f>Summary2!C14</f>
        <v>41271.375033629491</v>
      </c>
      <c r="E14" s="3841">
        <f t="shared" si="4"/>
        <v>20.412313187051041</v>
      </c>
      <c r="F14" s="3849">
        <f t="shared" si="5"/>
        <v>4.9483240731580454E-2</v>
      </c>
      <c r="G14" s="3846">
        <f>IF(E14="NA","NA",E14/Table8s2!$G$35*100)</f>
        <v>3.8098598789721915E-3</v>
      </c>
      <c r="H14" s="3847">
        <f>IF(E14="NA","NA",E14/Table8s2!$G$34*100)</f>
        <v>4.3014558434668676E-3</v>
      </c>
      <c r="I14" s="3848">
        <v>64.486439646653253</v>
      </c>
      <c r="J14" s="3841">
        <f>Summary2!D14</f>
        <v>64.496913509614259</v>
      </c>
      <c r="K14" s="3841">
        <f t="shared" ref="K14:K20" si="10">IF(J14="NO",IF(I14="NO","NA",-I14),IF(I14="NO",J14,J14-I14))</f>
        <v>1.047386296100683E-2</v>
      </c>
      <c r="L14" s="3849">
        <f t="shared" ref="L14:L20" si="11">IF(K14="NA","NA",K14/I14*100)</f>
        <v>1.6241961904545008E-2</v>
      </c>
      <c r="M14" s="3846">
        <f>IF(K14="NA","NA",K14/Table8s2!$G$35*100)</f>
        <v>1.9548960427623986E-6</v>
      </c>
      <c r="N14" s="3847">
        <f>IF(K14="NA","NA",K14/Table8s2!$G$34*100)</f>
        <v>2.2071412791115809E-6</v>
      </c>
      <c r="O14" s="3850">
        <v>390.03222258579365</v>
      </c>
      <c r="P14" s="3849">
        <f>Summary2!E14</f>
        <v>389.671999523029</v>
      </c>
      <c r="Q14" s="3841">
        <f t="shared" ref="Q14:Q20" si="12">IF(P14="NO",IF(O14="NO","NA",-O14),IF(O14="NO",P14,P14-O14))</f>
        <v>-0.36022306276464633</v>
      </c>
      <c r="R14" s="3849">
        <f t="shared" ref="R14:R20" si="13">IF(Q14="NA","NA",Q14/O14*100)</f>
        <v>-9.2357257145698951E-2</v>
      </c>
      <c r="S14" s="3846">
        <f>IF(Q14="NA","NA",Q14/Table8s2!$G$35*100)</f>
        <v>-6.7233898565602877E-5</v>
      </c>
      <c r="T14" s="3847">
        <f>IF(Q14="NA","NA",Q14/Table8s2!$G$34*100)</f>
        <v>-7.5909260458705203E-5</v>
      </c>
    </row>
    <row r="15" spans="2:20" ht="18" customHeight="1" x14ac:dyDescent="0.2">
      <c r="B15" s="1391" t="s">
        <v>1925</v>
      </c>
      <c r="C15" s="3849">
        <v>91742.898963803222</v>
      </c>
      <c r="D15" s="3841">
        <f>Summary2!C15</f>
        <v>91747.348470689438</v>
      </c>
      <c r="E15" s="3841">
        <f t="shared" si="4"/>
        <v>4.4495068862161133</v>
      </c>
      <c r="F15" s="3849">
        <f t="shared" si="5"/>
        <v>4.8499741521920384E-3</v>
      </c>
      <c r="G15" s="3846">
        <f>IF(E15="NA","NA",E15/Table8s2!$G$35*100)</f>
        <v>8.3047901585985332E-4</v>
      </c>
      <c r="H15" s="3847">
        <f>IF(E15="NA","NA",E15/Table8s2!$G$34*100)</f>
        <v>9.3763784735586956E-4</v>
      </c>
      <c r="I15" s="3848">
        <v>334.17774842141671</v>
      </c>
      <c r="J15" s="3841">
        <f>Summary2!D15</f>
        <v>333.45176247867482</v>
      </c>
      <c r="K15" s="3841">
        <f t="shared" si="10"/>
        <v>-0.72598594274188599</v>
      </c>
      <c r="L15" s="3849">
        <f t="shared" si="11"/>
        <v>-0.21724544682322097</v>
      </c>
      <c r="M15" s="3846">
        <f>IF(K15="NA","NA",K15/Table8s2!$G$35*100)</f>
        <v>-1.3550177731472008E-4</v>
      </c>
      <c r="N15" s="3847">
        <f>IF(K15="NA","NA",K15/Table8s2!$G$34*100)</f>
        <v>-1.5298591820856917E-4</v>
      </c>
      <c r="O15" s="3850">
        <v>1100.6004223731541</v>
      </c>
      <c r="P15" s="3849">
        <f>Summary2!E15</f>
        <v>1100.2587747889393</v>
      </c>
      <c r="Q15" s="3841">
        <f t="shared" si="12"/>
        <v>-0.34164758421479746</v>
      </c>
      <c r="R15" s="3849">
        <f t="shared" si="13"/>
        <v>-3.1041927412504958E-2</v>
      </c>
      <c r="S15" s="3846">
        <f>IF(Q15="NA","NA",Q15/Table8s2!$G$35*100)</f>
        <v>-6.3766875019017664E-5</v>
      </c>
      <c r="T15" s="3847">
        <f>IF(Q15="NA","NA",Q15/Table8s2!$G$34*100)</f>
        <v>-7.1994877996450611E-5</v>
      </c>
    </row>
    <row r="16" spans="2:20" ht="18" customHeight="1" x14ac:dyDescent="0.2">
      <c r="B16" s="1391" t="s">
        <v>1926</v>
      </c>
      <c r="C16" s="3849">
        <v>20231.837046400862</v>
      </c>
      <c r="D16" s="3841">
        <f>Summary2!C16</f>
        <v>20231.839330714669</v>
      </c>
      <c r="E16" s="3841">
        <f t="shared" si="4"/>
        <v>2.2843138067401014E-3</v>
      </c>
      <c r="F16" s="3849">
        <f t="shared" si="5"/>
        <v>1.1290689033828832E-5</v>
      </c>
      <c r="G16" s="3846">
        <f>IF(E16="NA","NA",E16/Table8s2!$G$35*100)</f>
        <v>4.2635616274995319E-7</v>
      </c>
      <c r="H16" s="3847">
        <f>IF(E16="NA","NA",E16/Table8s2!$G$34*100)</f>
        <v>4.8136998890196794E-7</v>
      </c>
      <c r="I16" s="3848">
        <v>980.01936174453317</v>
      </c>
      <c r="J16" s="3841">
        <f>Summary2!D16</f>
        <v>979.95490496011314</v>
      </c>
      <c r="K16" s="3841">
        <f t="shared" si="10"/>
        <v>-6.4456784420030999E-2</v>
      </c>
      <c r="L16" s="3849">
        <f t="shared" si="11"/>
        <v>-6.5770929571525426E-3</v>
      </c>
      <c r="M16" s="3846">
        <f>IF(K16="NA","NA",K16/Table8s2!$G$35*100)</f>
        <v>-1.2030548161744796E-5</v>
      </c>
      <c r="N16" s="3847">
        <f>IF(K16="NA","NA",K16/Table8s2!$G$34*100)</f>
        <v>-1.358288056105815E-5</v>
      </c>
      <c r="O16" s="3850">
        <v>165.45715726445715</v>
      </c>
      <c r="P16" s="3849">
        <f>Summary2!E16</f>
        <v>165.45303538997086</v>
      </c>
      <c r="Q16" s="3841">
        <f t="shared" si="12"/>
        <v>-4.1218744862874246E-3</v>
      </c>
      <c r="R16" s="3849">
        <f t="shared" si="13"/>
        <v>-2.4912034960804137E-3</v>
      </c>
      <c r="S16" s="3846">
        <f>IF(Q16="NA","NA",Q16/Table8s2!$G$35*100)</f>
        <v>-7.6932800744148738E-7</v>
      </c>
      <c r="T16" s="3847">
        <f>IF(Q16="NA","NA",Q16/Table8s2!$G$34*100)</f>
        <v>-8.685963679180396E-7</v>
      </c>
    </row>
    <row r="17" spans="2:20" ht="18" customHeight="1" x14ac:dyDescent="0.2">
      <c r="B17" s="1391" t="s">
        <v>1927</v>
      </c>
      <c r="C17" s="3849">
        <v>939.06956017264702</v>
      </c>
      <c r="D17" s="3841">
        <f>Summary2!C17</f>
        <v>939.0695601726469</v>
      </c>
      <c r="E17" s="3841">
        <f t="shared" si="4"/>
        <v>-1.1368683772161603E-13</v>
      </c>
      <c r="F17" s="3849">
        <f t="shared" si="5"/>
        <v>-1.2106327639958302E-14</v>
      </c>
      <c r="G17" s="3846">
        <f>IF(E17="NA","NA",E17/Table8s2!$G$35*100)</f>
        <v>-2.1219100345646889E-17</v>
      </c>
      <c r="H17" s="3847">
        <f>IF(E17="NA","NA",E17/Table8s2!$G$34*100)</f>
        <v>-2.3957055134404549E-17</v>
      </c>
      <c r="I17" s="3848">
        <v>1.0556311673998571</v>
      </c>
      <c r="J17" s="3841">
        <f>Summary2!D17</f>
        <v>1.0546498528437871</v>
      </c>
      <c r="K17" s="3841">
        <f t="shared" si="10"/>
        <v>-9.8131455606997875E-4</v>
      </c>
      <c r="L17" s="3849">
        <f t="shared" si="11"/>
        <v>-9.295998321905094E-2</v>
      </c>
      <c r="M17" s="3846">
        <f>IF(K17="NA","NA",K17/Table8s2!$G$35*100)</f>
        <v>-1.8315763243306105E-7</v>
      </c>
      <c r="N17" s="3847">
        <f>IF(K17="NA","NA",K17/Table8s2!$G$34*100)</f>
        <v>-2.0679093020011241E-7</v>
      </c>
      <c r="O17" s="3850">
        <v>6.9717033011157916</v>
      </c>
      <c r="P17" s="3849">
        <f>Summary2!E17</f>
        <v>6.9716681657765687</v>
      </c>
      <c r="Q17" s="3841">
        <f t="shared" si="12"/>
        <v>-3.5135339222946982E-5</v>
      </c>
      <c r="R17" s="3849">
        <f t="shared" si="13"/>
        <v>-5.0397066119155871E-4</v>
      </c>
      <c r="S17" s="3846">
        <f>IF(Q17="NA","NA",Q17/Table8s2!$G$35*100)</f>
        <v>-6.557841730769686E-9</v>
      </c>
      <c r="T17" s="3847">
        <f>IF(Q17="NA","NA",Q17/Table8s2!$G$34*100)</f>
        <v>-7.4040168219940038E-9</v>
      </c>
    </row>
    <row r="18" spans="2:20" ht="18" customHeight="1" x14ac:dyDescent="0.2">
      <c r="B18" s="606" t="s">
        <v>201</v>
      </c>
      <c r="C18" s="3849">
        <f>SUM(C19:C20)</f>
        <v>17272.014999874031</v>
      </c>
      <c r="D18" s="3841">
        <f>Summary2!C18</f>
        <v>17284.18051567279</v>
      </c>
      <c r="E18" s="3841">
        <f t="shared" si="4"/>
        <v>12.165515798758861</v>
      </c>
      <c r="F18" s="3849">
        <f t="shared" si="5"/>
        <v>7.0434838082572226E-2</v>
      </c>
      <c r="G18" s="3846">
        <f>IF(E18="NA","NA",E18/Table8s2!$G$35*100)</f>
        <v>2.2706348919874541E-3</v>
      </c>
      <c r="H18" s="3847">
        <f>IF(E18="NA","NA",E18/Table8s2!$G$34*100)</f>
        <v>2.5636207196035E-3</v>
      </c>
      <c r="I18" s="3848">
        <f>SUM(I19:I20)</f>
        <v>36237.31126618087</v>
      </c>
      <c r="J18" s="3841">
        <f>Summary2!D18</f>
        <v>36517.63555782054</v>
      </c>
      <c r="K18" s="3841">
        <f t="shared" si="10"/>
        <v>280.32429163967026</v>
      </c>
      <c r="L18" s="3849">
        <f t="shared" si="11"/>
        <v>0.77357916976938634</v>
      </c>
      <c r="M18" s="3846">
        <f>IF(K18="NA","NA",K18/Table8s2!$G$35*100)</f>
        <v>5.2321178008222231E-2</v>
      </c>
      <c r="N18" s="3847">
        <f>IF(K18="NA","NA",K18/Table8s2!$G$34*100)</f>
        <v>5.9072313426196843E-2</v>
      </c>
      <c r="O18" s="3850">
        <f>SUM(O19:O20)</f>
        <v>60.491347322694615</v>
      </c>
      <c r="P18" s="3849">
        <f>Summary2!E18</f>
        <v>60.491347322694608</v>
      </c>
      <c r="Q18" s="3841">
        <f t="shared" si="12"/>
        <v>-7.1054273576010019E-15</v>
      </c>
      <c r="R18" s="3849">
        <f t="shared" si="13"/>
        <v>-1.1746187962547248E-14</v>
      </c>
      <c r="S18" s="3846">
        <f>IF(Q18="NA","NA",Q18/Table8s2!$G$35*100)</f>
        <v>-1.3261937716029306E-18</v>
      </c>
      <c r="T18" s="3847">
        <f>IF(Q18="NA","NA",Q18/Table8s2!$G$34*100)</f>
        <v>-1.4973159459002843E-18</v>
      </c>
    </row>
    <row r="19" spans="2:20" ht="18" customHeight="1" x14ac:dyDescent="0.2">
      <c r="B19" s="1391" t="s">
        <v>1928</v>
      </c>
      <c r="C19" s="3849">
        <v>2380.4751845029359</v>
      </c>
      <c r="D19" s="3841">
        <f>Summary2!C19</f>
        <v>2380.4751845029359</v>
      </c>
      <c r="E19" s="3841">
        <f t="shared" si="4"/>
        <v>0</v>
      </c>
      <c r="F19" s="3849">
        <f t="shared" si="5"/>
        <v>0</v>
      </c>
      <c r="G19" s="3846">
        <f>IF(E19="NA","NA",E19/Table8s2!$G$35*100)</f>
        <v>0</v>
      </c>
      <c r="H19" s="3847">
        <f>IF(E19="NA","NA",E19/Table8s2!$G$34*100)</f>
        <v>0</v>
      </c>
      <c r="I19" s="3848">
        <v>28285.102841134205</v>
      </c>
      <c r="J19" s="3841">
        <f>Summary2!D19</f>
        <v>28285.102841134201</v>
      </c>
      <c r="K19" s="3841">
        <f t="shared" si="10"/>
        <v>-3.637978807091713E-12</v>
      </c>
      <c r="L19" s="3849">
        <f t="shared" si="11"/>
        <v>-1.2861819267636199E-14</v>
      </c>
      <c r="M19" s="3846">
        <f>IF(K19="NA","NA",K19/Table8s2!$G$35*100)</f>
        <v>-6.7901121106070044E-16</v>
      </c>
      <c r="N19" s="3847">
        <f>IF(K19="NA","NA",K19/Table8s2!$G$34*100)</f>
        <v>-7.6662576430094555E-16</v>
      </c>
      <c r="O19" s="3850">
        <v>0.54312771854129616</v>
      </c>
      <c r="P19" s="3849">
        <f>Summary2!E19</f>
        <v>0.54312771854129616</v>
      </c>
      <c r="Q19" s="3841">
        <f t="shared" si="12"/>
        <v>0</v>
      </c>
      <c r="R19" s="3849">
        <f t="shared" si="13"/>
        <v>0</v>
      </c>
      <c r="S19" s="3846">
        <f>IF(Q19="NA","NA",Q19/Table8s2!$G$35*100)</f>
        <v>0</v>
      </c>
      <c r="T19" s="3847">
        <f>IF(Q19="NA","NA",Q19/Table8s2!$G$34*100)</f>
        <v>0</v>
      </c>
    </row>
    <row r="20" spans="2:20" ht="18" customHeight="1" x14ac:dyDescent="0.2">
      <c r="B20" s="1392" t="s">
        <v>1929</v>
      </c>
      <c r="C20" s="3851">
        <v>14891.539815371096</v>
      </c>
      <c r="D20" s="3852">
        <f>Summary2!C20</f>
        <v>14903.705331169853</v>
      </c>
      <c r="E20" s="3852">
        <f t="shared" si="4"/>
        <v>12.165515798757042</v>
      </c>
      <c r="F20" s="3851">
        <f t="shared" si="5"/>
        <v>8.1694142778974119E-2</v>
      </c>
      <c r="G20" s="3853">
        <f>IF(E20="NA","NA",E20/Table8s2!$G$35*100)</f>
        <v>2.2706348919871145E-3</v>
      </c>
      <c r="H20" s="3854">
        <f>IF(E20="NA","NA",E20/Table8s2!$G$34*100)</f>
        <v>2.5636207196031171E-3</v>
      </c>
      <c r="I20" s="3855">
        <v>7952.2084250466633</v>
      </c>
      <c r="J20" s="3852">
        <f>Summary2!D20</f>
        <v>8232.5327166863426</v>
      </c>
      <c r="K20" s="3841">
        <f t="shared" si="10"/>
        <v>280.32429163967936</v>
      </c>
      <c r="L20" s="3849">
        <f t="shared" si="11"/>
        <v>3.5251124801603075</v>
      </c>
      <c r="M20" s="3846">
        <f>IF(K20="NA","NA",K20/Table8s2!$G$35*100)</f>
        <v>5.2321178008223924E-2</v>
      </c>
      <c r="N20" s="3847">
        <f>IF(K20="NA","NA",K20/Table8s2!$G$34*100)</f>
        <v>5.9072313426198765E-2</v>
      </c>
      <c r="O20" s="3856">
        <v>59.948219604153316</v>
      </c>
      <c r="P20" s="3851">
        <f>Summary2!E20</f>
        <v>59.948219604153316</v>
      </c>
      <c r="Q20" s="3841">
        <f t="shared" si="12"/>
        <v>0</v>
      </c>
      <c r="R20" s="3849">
        <f t="shared" si="13"/>
        <v>0</v>
      </c>
      <c r="S20" s="3846">
        <f>IF(Q20="NA","NA",Q20/Table8s2!$G$35*100)</f>
        <v>0</v>
      </c>
      <c r="T20" s="3847">
        <f>IF(Q20="NA","NA",Q20/Table8s2!$G$34*100)</f>
        <v>0</v>
      </c>
    </row>
    <row r="21" spans="2:20" ht="18" customHeight="1" thickBot="1" x14ac:dyDescent="0.25">
      <c r="B21" s="1406" t="s">
        <v>1977</v>
      </c>
      <c r="C21" s="3857">
        <v>12.417</v>
      </c>
      <c r="D21" s="3857">
        <f>Summary2!C21</f>
        <v>12.417</v>
      </c>
      <c r="E21" s="3858">
        <f t="shared" si="4"/>
        <v>0</v>
      </c>
      <c r="F21" s="3858">
        <f t="shared" si="5"/>
        <v>0</v>
      </c>
      <c r="G21" s="3859">
        <f>IF(E21="NA","NA",E21/Table8s2!$G$35*100)</f>
        <v>0</v>
      </c>
      <c r="H21" s="3860">
        <f>IF(E21="NA","NA",E21/Table8s2!$G$34*100)</f>
        <v>0</v>
      </c>
      <c r="I21" s="3861"/>
      <c r="J21" s="3862"/>
      <c r="K21" s="3862"/>
      <c r="L21" s="3862"/>
      <c r="M21" s="3862"/>
      <c r="N21" s="3862"/>
      <c r="O21" s="3862"/>
      <c r="P21" s="3862"/>
      <c r="Q21" s="3862"/>
      <c r="R21" s="3862"/>
      <c r="S21" s="3862"/>
      <c r="T21" s="3862"/>
    </row>
    <row r="22" spans="2:20" ht="18" customHeight="1" x14ac:dyDescent="0.2">
      <c r="B22" s="1405" t="s">
        <v>1931</v>
      </c>
      <c r="C22" s="3841">
        <f>SUM(C23:C29)</f>
        <v>18771.898438398479</v>
      </c>
      <c r="D22" s="3841">
        <f>Summary2!C22</f>
        <v>18771.640519708133</v>
      </c>
      <c r="E22" s="3863">
        <f t="shared" si="4"/>
        <v>-0.25791869034583215</v>
      </c>
      <c r="F22" s="3863">
        <f t="shared" si="5"/>
        <v>-1.3739616757048492E-3</v>
      </c>
      <c r="G22" s="3864">
        <f>IF(E22="NA","NA",E22/Table8s2!$G$35*100)</f>
        <v>-4.813928051079443E-5</v>
      </c>
      <c r="H22" s="3865">
        <f>IF(E22="NA","NA",E22/Table8s2!$G$34*100)</f>
        <v>-5.4350814998820804E-5</v>
      </c>
      <c r="I22" s="3841">
        <f>SUM(I23:I29)</f>
        <v>80.038477842000788</v>
      </c>
      <c r="J22" s="3841">
        <f>Summary2!D22</f>
        <v>80.038477842000802</v>
      </c>
      <c r="K22" s="3863">
        <f t="shared" ref="K22" si="14">IF(J22="NO",IF(I22="NO","NA",-I22),IF(I22="NO",J22,J22-I22))</f>
        <v>1.4210854715202004E-14</v>
      </c>
      <c r="L22" s="3863">
        <f t="shared" ref="L22" si="15">IF(K22="NA","NA",K22/I22*100)</f>
        <v>1.7755028704137538E-14</v>
      </c>
      <c r="M22" s="3864">
        <f>IF(K22="NA","NA",K22/Table8s2!$G$35*100)</f>
        <v>2.6523875432058611E-18</v>
      </c>
      <c r="N22" s="3865">
        <f>IF(K22="NA","NA",K22/Table8s2!$G$34*100)</f>
        <v>2.9946318918005686E-18</v>
      </c>
      <c r="O22" s="3841">
        <f>SUM(O23:O29)</f>
        <v>1745.4865880504301</v>
      </c>
      <c r="P22" s="3841">
        <f>Summary2!E22</f>
        <v>1745.4865880504299</v>
      </c>
      <c r="Q22" s="3863">
        <f t="shared" ref="Q22" si="16">IF(P22="NO",IF(O22="NO","NA",-O22),IF(O22="NO",P22,P22-O22))</f>
        <v>-2.2737367544323206E-13</v>
      </c>
      <c r="R22" s="3866">
        <f t="shared" ref="R22" si="17">IF(Q22="NA","NA",Q22/O22*100)</f>
        <v>-1.3026377687449915E-14</v>
      </c>
      <c r="S22" s="3867">
        <f>IF(Q22="NA","NA",Q22/Table8s2!$G$35*100)</f>
        <v>-4.2438200691293778E-17</v>
      </c>
      <c r="T22" s="3868">
        <f>IF(Q22="NA","NA",Q22/Table8s2!$G$34*100)</f>
        <v>-4.7914110268809097E-17</v>
      </c>
    </row>
    <row r="23" spans="2:20" ht="18" customHeight="1" x14ac:dyDescent="0.2">
      <c r="B23" s="1393" t="s">
        <v>1932</v>
      </c>
      <c r="C23" s="3841">
        <v>5230.7196830967332</v>
      </c>
      <c r="D23" s="3841">
        <f>Summary2!C23</f>
        <v>5230.4617644063883</v>
      </c>
      <c r="E23" s="3841">
        <f t="shared" si="4"/>
        <v>-0.25791869034492265</v>
      </c>
      <c r="F23" s="3849">
        <f t="shared" si="5"/>
        <v>-4.9308451985755723E-3</v>
      </c>
      <c r="G23" s="3846">
        <f>IF(E23="NA","NA",E23/Table8s2!$G$35*100)</f>
        <v>-4.8139280510624671E-5</v>
      </c>
      <c r="H23" s="3847">
        <f>IF(E23="NA","NA",E23/Table8s2!$G$34*100)</f>
        <v>-5.4350814998629137E-5</v>
      </c>
      <c r="I23" s="1950"/>
      <c r="J23" s="1950"/>
      <c r="K23" s="1950"/>
      <c r="L23" s="1950"/>
      <c r="M23" s="1950"/>
      <c r="N23" s="1950"/>
      <c r="O23" s="1950"/>
      <c r="P23" s="1950"/>
      <c r="Q23" s="1950"/>
      <c r="R23" s="1950"/>
      <c r="S23" s="1950"/>
      <c r="T23" s="1950"/>
    </row>
    <row r="24" spans="2:20" ht="18" customHeight="1" x14ac:dyDescent="0.2">
      <c r="B24" s="1393" t="s">
        <v>846</v>
      </c>
      <c r="C24" s="3841">
        <v>2987.1547812315525</v>
      </c>
      <c r="D24" s="3841">
        <f>Summary2!C24</f>
        <v>2987.1547812315525</v>
      </c>
      <c r="E24" s="3841">
        <f t="shared" si="4"/>
        <v>0</v>
      </c>
      <c r="F24" s="3849">
        <f t="shared" si="5"/>
        <v>0</v>
      </c>
      <c r="G24" s="3846">
        <f>IF(E24="NA","NA",E24/Table8s2!$G$35*100)</f>
        <v>0</v>
      </c>
      <c r="H24" s="3847">
        <f>IF(E24="NA","NA",E24/Table8s2!$G$34*100)</f>
        <v>0</v>
      </c>
      <c r="I24" s="3848">
        <v>12.140799999999999</v>
      </c>
      <c r="J24" s="3841">
        <f>Summary2!D24</f>
        <v>12.140799999999999</v>
      </c>
      <c r="K24" s="3841">
        <f t="shared" ref="K24" si="18">IF(J24="NO",IF(I24="NO","NA",-I24),IF(I24="NO",J24,J24-I24))</f>
        <v>0</v>
      </c>
      <c r="L24" s="3849">
        <f t="shared" ref="L24" si="19">IF(K24="NA","NA",K24/I24*100)</f>
        <v>0</v>
      </c>
      <c r="M24" s="3846">
        <f>IF(K24="NA","NA",K24/Table8s2!$G$35*100)</f>
        <v>0</v>
      </c>
      <c r="N24" s="3847">
        <f>IF(K24="NA","NA",K24/Table8s2!$G$34*100)</f>
        <v>0</v>
      </c>
      <c r="O24" s="3850">
        <v>1731.3745968538617</v>
      </c>
      <c r="P24" s="3849">
        <f>Summary2!E24</f>
        <v>1731.3745968538615</v>
      </c>
      <c r="Q24" s="3841">
        <f t="shared" ref="Q24" si="20">IF(P24="NO",IF(O24="NO","NA",-O24),IF(O24="NO",P24,P24-O24))</f>
        <v>-2.2737367544323206E-13</v>
      </c>
      <c r="R24" s="3849">
        <f t="shared" ref="R24" si="21">IF(Q24="NA","NA",Q24/O24*100)</f>
        <v>-1.3132552357901074E-14</v>
      </c>
      <c r="S24" s="3846">
        <f>IF(Q24="NA","NA",Q24/Table8s2!$G$35*100)</f>
        <v>-4.2438200691293778E-17</v>
      </c>
      <c r="T24" s="3847">
        <f>IF(Q24="NA","NA",Q24/Table8s2!$G$34*100)</f>
        <v>-4.7914110268809097E-17</v>
      </c>
    </row>
    <row r="25" spans="2:20" ht="18" customHeight="1" x14ac:dyDescent="0.2">
      <c r="B25" s="1393" t="s">
        <v>637</v>
      </c>
      <c r="C25" s="3841">
        <v>10162.119319579851</v>
      </c>
      <c r="D25" s="3841">
        <f>Summary2!C25</f>
        <v>10162.119319579853</v>
      </c>
      <c r="E25" s="3841">
        <f t="shared" si="4"/>
        <v>1.8189894035458565E-12</v>
      </c>
      <c r="F25" s="3849">
        <f t="shared" si="5"/>
        <v>1.7899705232166688E-14</v>
      </c>
      <c r="G25" s="3846">
        <f>IF(E25="NA","NA",E25/Table8s2!$G$35*100)</f>
        <v>3.3950560553035022E-16</v>
      </c>
      <c r="H25" s="3847">
        <f>IF(E25="NA","NA",E25/Table8s2!$G$34*100)</f>
        <v>3.8331288215047278E-16</v>
      </c>
      <c r="I25" s="3848">
        <v>67.897677842000789</v>
      </c>
      <c r="J25" s="3841">
        <f>Summary2!D25</f>
        <v>67.897677842000803</v>
      </c>
      <c r="K25" s="3841">
        <f t="shared" ref="K25:K26" si="22">IF(J25="NO",IF(I25="NO","NA",-I25),IF(I25="NO",J25,J25-I25))</f>
        <v>1.4210854715202004E-14</v>
      </c>
      <c r="L25" s="3849">
        <f t="shared" ref="L25:L26" si="23">IF(K25="NA","NA",K25/I25*100)</f>
        <v>2.0929809629529508E-14</v>
      </c>
      <c r="M25" s="3846">
        <f>IF(K25="NA","NA",K25/Table8s2!$G$35*100)</f>
        <v>2.6523875432058611E-18</v>
      </c>
      <c r="N25" s="3847">
        <f>IF(K25="NA","NA",K25/Table8s2!$G$34*100)</f>
        <v>2.9946318918005686E-18</v>
      </c>
      <c r="O25" s="3850">
        <v>14.111991196568402</v>
      </c>
      <c r="P25" s="3849">
        <f>Summary2!E25</f>
        <v>14.111991196568404</v>
      </c>
      <c r="Q25" s="3841">
        <f t="shared" ref="Q25:Q29" si="24">IF(P25="NO",IF(O25="NO","NA",-O25),IF(O25="NO",P25,P25-O25))</f>
        <v>1.7763568394002505E-15</v>
      </c>
      <c r="R25" s="3849">
        <f t="shared" ref="R25:R29" si="25">IF(Q25="NA","NA",Q25/O25*100)</f>
        <v>1.2587570489926365E-14</v>
      </c>
      <c r="S25" s="3846">
        <f>IF(Q25="NA","NA",Q25/Table8s2!$G$35*100)</f>
        <v>3.3154844290073264E-19</v>
      </c>
      <c r="T25" s="3847">
        <f>IF(Q25="NA","NA",Q25/Table8s2!$G$34*100)</f>
        <v>3.7432898647507107E-19</v>
      </c>
    </row>
    <row r="26" spans="2:20" ht="18" customHeight="1" x14ac:dyDescent="0.2">
      <c r="B26" s="1394" t="s">
        <v>1978</v>
      </c>
      <c r="C26" s="3841">
        <v>178.35814491500003</v>
      </c>
      <c r="D26" s="3841">
        <f>Summary2!C26</f>
        <v>178.35814491499997</v>
      </c>
      <c r="E26" s="3841">
        <f t="shared" si="4"/>
        <v>-5.6843418860808015E-14</v>
      </c>
      <c r="F26" s="3849">
        <f t="shared" si="5"/>
        <v>-3.1870380176861468E-14</v>
      </c>
      <c r="G26" s="3846">
        <f>IF(E26="NA","NA",E26/Table8s2!$G$35*100)</f>
        <v>-1.0609550172823444E-17</v>
      </c>
      <c r="H26" s="3847">
        <f>IF(E26="NA","NA",E26/Table8s2!$G$34*100)</f>
        <v>-1.1978527567202274E-17</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213.54650957533741</v>
      </c>
      <c r="D29" s="3857">
        <f>Summary2!C30</f>
        <v>213.54650957533741</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2796.5451532274419</v>
      </c>
      <c r="D30" s="3877">
        <f>Summary2!C31</f>
        <v>2796.5451532274419</v>
      </c>
      <c r="E30" s="3863">
        <f t="shared" si="4"/>
        <v>0</v>
      </c>
      <c r="F30" s="3878">
        <f t="shared" si="5"/>
        <v>0</v>
      </c>
      <c r="G30" s="3879">
        <f>IF(E30="NA","NA",E30/Table8s2!$G$35*100)</f>
        <v>0</v>
      </c>
      <c r="H30" s="3880">
        <f>IF(E30="NA","NA",E30/Table8s2!$G$34*100)</f>
        <v>0</v>
      </c>
      <c r="I30" s="3876">
        <f>SUM(I31:I40)</f>
        <v>58238.5373961687</v>
      </c>
      <c r="J30" s="3877">
        <f>Summary2!D31</f>
        <v>58156.141325547695</v>
      </c>
      <c r="K30" s="3863">
        <f t="shared" ref="K30" si="28">IF(J30="NO",IF(I30="NO","NA",-I30),IF(I30="NO",J30,J30-I30))</f>
        <v>-82.396070621005492</v>
      </c>
      <c r="L30" s="3878">
        <f t="shared" ref="L30" si="29">IF(K30="NA","NA",K30/I30*100)</f>
        <v>-0.14148032266075766</v>
      </c>
      <c r="M30" s="3879">
        <f>IF(K30="NA","NA",K30/Table8s2!$G$35*100)</f>
        <v>-1.5378829472549344E-2</v>
      </c>
      <c r="N30" s="3880">
        <f>IF(K30="NA","NA",K30/Table8s2!$G$34*100)</f>
        <v>-1.7363199173147516E-2</v>
      </c>
      <c r="O30" s="3876">
        <f>SUM(O31:O40)</f>
        <v>11607.152399990247</v>
      </c>
      <c r="P30" s="3877">
        <f>Summary2!E31</f>
        <v>10622.174371818199</v>
      </c>
      <c r="Q30" s="3863">
        <f t="shared" ref="Q30" si="30">IF(P30="NO",IF(O30="NO","NA",-O30),IF(O30="NO",P30,P30-O30))</f>
        <v>-984.97802817204865</v>
      </c>
      <c r="R30" s="3882">
        <f t="shared" ref="R30" si="31">IF(Q30="NA","NA",Q30/O30*100)</f>
        <v>-8.4859575736498147</v>
      </c>
      <c r="S30" s="3883">
        <f>IF(Q30="NA","NA",Q30/Table8s2!$G$35*100)</f>
        <v>-0.18384140184476419</v>
      </c>
      <c r="T30" s="3884">
        <f>IF(Q30="NA","NA",Q30/Table8s2!$G$34*100)</f>
        <v>-0.20756292812785451</v>
      </c>
    </row>
    <row r="31" spans="2:20" ht="18" customHeight="1" x14ac:dyDescent="0.2">
      <c r="B31" s="606" t="s">
        <v>1938</v>
      </c>
      <c r="C31" s="3869"/>
      <c r="D31" s="3869"/>
      <c r="E31" s="3870"/>
      <c r="F31" s="3870"/>
      <c r="G31" s="3871"/>
      <c r="H31" s="3872"/>
      <c r="I31" s="3848">
        <v>51795.592178724342</v>
      </c>
      <c r="J31" s="3841">
        <f>Summary2!D32</f>
        <v>51795.592178724335</v>
      </c>
      <c r="K31" s="3885">
        <f t="shared" ref="K31:K33" si="32">IF(J31="NO",IF(I31="NO","NA",-I31),IF(I31="NO",J31,J31-I31))</f>
        <v>-7.2759576141834259E-12</v>
      </c>
      <c r="L31" s="3885">
        <f t="shared" ref="L31:L33" si="33">IF(K31="NA","NA",K31/I31*100)</f>
        <v>-1.4047445560767453E-14</v>
      </c>
      <c r="M31" s="3886">
        <f>IF(K31="NA","NA",K31/Table8s2!$G$35*100)</f>
        <v>-1.3580224221214009E-15</v>
      </c>
      <c r="N31" s="3887">
        <f>IF(K31="NA","NA",K31/Table8s2!$G$34*100)</f>
        <v>-1.5332515286018911E-15</v>
      </c>
      <c r="O31" s="3888"/>
      <c r="P31" s="3889"/>
      <c r="Q31" s="3870"/>
      <c r="R31" s="3890"/>
      <c r="S31" s="3891"/>
      <c r="T31" s="3892"/>
    </row>
    <row r="32" spans="2:20" ht="18" customHeight="1" x14ac:dyDescent="0.2">
      <c r="B32" s="606" t="s">
        <v>1939</v>
      </c>
      <c r="C32" s="3893"/>
      <c r="D32" s="3893"/>
      <c r="E32" s="3894"/>
      <c r="F32" s="3894"/>
      <c r="G32" s="3871"/>
      <c r="H32" s="3872"/>
      <c r="I32" s="3848">
        <v>6259.4590098991257</v>
      </c>
      <c r="J32" s="3849">
        <f>Summary2!D33</f>
        <v>6177.0629392781184</v>
      </c>
      <c r="K32" s="3895">
        <f t="shared" si="32"/>
        <v>-82.396070621007311</v>
      </c>
      <c r="L32" s="3895">
        <f t="shared" si="33"/>
        <v>-1.3163449187973062</v>
      </c>
      <c r="M32" s="3886">
        <f>IF(K32="NA","NA",K32/Table8s2!$G$35*100)</f>
        <v>-1.5378829472549684E-2</v>
      </c>
      <c r="N32" s="3887">
        <f>IF(K32="NA","NA",K32/Table8s2!$G$34*100)</f>
        <v>-1.7363199173147898E-2</v>
      </c>
      <c r="O32" s="3850">
        <v>546.60494729565198</v>
      </c>
      <c r="P32" s="3849">
        <f>Summary2!E33</f>
        <v>629.22205007827506</v>
      </c>
      <c r="Q32" s="3895">
        <f t="shared" ref="Q32" si="34">IF(P32="NO",IF(O32="NO","NA",-O32),IF(O32="NO",P32,P32-O32))</f>
        <v>82.617102782623078</v>
      </c>
      <c r="R32" s="3896">
        <f t="shared" ref="R32" si="35">IF(Q32="NA","NA",Q32/O32*100)</f>
        <v>15.114591112168711</v>
      </c>
      <c r="S32" s="3897">
        <f>IF(Q32="NA","NA",Q32/Table8s2!$G$35*100)</f>
        <v>1.5420084060248083E-2</v>
      </c>
      <c r="T32" s="3898">
        <f>IF(Q32="NA","NA",Q32/Table8s2!$G$34*100)</f>
        <v>1.7409776945812069E-2</v>
      </c>
    </row>
    <row r="33" spans="2:21" ht="18" customHeight="1" x14ac:dyDescent="0.2">
      <c r="B33" s="606" t="s">
        <v>1940</v>
      </c>
      <c r="C33" s="3893"/>
      <c r="D33" s="3893"/>
      <c r="E33" s="3894"/>
      <c r="F33" s="3894"/>
      <c r="G33" s="3899"/>
      <c r="H33" s="3900"/>
      <c r="I33" s="3850">
        <v>23.157966502413792</v>
      </c>
      <c r="J33" s="3849">
        <f>Summary2!D34</f>
        <v>23.157966502413792</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10996.738617572331</v>
      </c>
      <c r="P34" s="3849">
        <f>Summary2!E35</f>
        <v>9929.1434866176587</v>
      </c>
      <c r="Q34" s="3895">
        <f t="shared" ref="Q34" si="36">IF(P34="NO",IF(O34="NO","NA",-O34),IF(O34="NO",P34,P34-O34))</f>
        <v>-1067.5951309546726</v>
      </c>
      <c r="R34" s="3896">
        <f t="shared" ref="R34" si="37">IF(Q34="NA","NA",Q34/O34*100)</f>
        <v>-9.7082886852352743</v>
      </c>
      <c r="S34" s="3897">
        <f>IF(Q34="NA","NA",Q34/Table8s2!$G$35*100)</f>
        <v>-0.19926148590501241</v>
      </c>
      <c r="T34" s="3898">
        <f>IF(Q34="NA","NA",Q34/Table8s2!$G$34*100)</f>
        <v>-0.22497270507366673</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160.3282410428221</v>
      </c>
      <c r="J36" s="3849">
        <f>Summary2!D37</f>
        <v>160.32824104282207</v>
      </c>
      <c r="K36" s="3895">
        <f t="shared" ref="K36" si="38">IF(J36="NO",IF(I36="NO","NA",-I36),IF(I36="NO",J36,J36-I36))</f>
        <v>-2.8421709430404007E-14</v>
      </c>
      <c r="L36" s="3895">
        <f t="shared" ref="L36" si="39">IF(K36="NA","NA",K36/I36*100)</f>
        <v>-1.7727200925763821E-14</v>
      </c>
      <c r="M36" s="3886">
        <f>IF(K36="NA","NA",K36/Table8s2!$G$35*100)</f>
        <v>-5.3047750864117222E-18</v>
      </c>
      <c r="N36" s="3887">
        <f>IF(K36="NA","NA",K36/Table8s2!$G$34*100)</f>
        <v>-5.9892637836011371E-18</v>
      </c>
      <c r="O36" s="3850">
        <v>63.808835122263048</v>
      </c>
      <c r="P36" s="3849">
        <f>Summary2!E37</f>
        <v>63.808835122263027</v>
      </c>
      <c r="Q36" s="3895">
        <f t="shared" ref="Q36" si="40">IF(P36="NO",IF(O36="NO","NA",-O36),IF(O36="NO",P36,P36-O36))</f>
        <v>-2.1316282072803006E-14</v>
      </c>
      <c r="R36" s="3896">
        <f t="shared" ref="R36" si="41">IF(Q36="NA","NA",Q36/O36*100)</f>
        <v>-3.3406474247585362E-14</v>
      </c>
      <c r="S36" s="3897">
        <f>IF(Q36="NA","NA",Q36/Table8s2!$G$35*100)</f>
        <v>-3.9785813148087907E-18</v>
      </c>
      <c r="T36" s="3898">
        <f>IF(Q36="NA","NA",Q36/Table8s2!$G$34*100)</f>
        <v>-4.4919478377008525E-18</v>
      </c>
    </row>
    <row r="37" spans="2:21" ht="18" customHeight="1" x14ac:dyDescent="0.2">
      <c r="B37" s="606" t="s">
        <v>955</v>
      </c>
      <c r="C37" s="3849">
        <v>1318.3866247265748</v>
      </c>
      <c r="D37" s="3849">
        <f>Summary2!C38</f>
        <v>1318.3866247265748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1478.1585285008669</v>
      </c>
      <c r="D38" s="3849">
        <f>Summary2!C39</f>
        <v>1478.1585285008669</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-59086.938689664734</v>
      </c>
      <c r="D41" s="3841">
        <f>Summary2!C42</f>
        <v>-78758.785798327925</v>
      </c>
      <c r="E41" s="3931">
        <f t="shared" ref="E41" si="42">IF(D41="NO",IF(C41="NO","NA",-C41),IF(C41="NO",D41,D41-C41))</f>
        <v>-19671.847108663191</v>
      </c>
      <c r="F41" s="3931">
        <f t="shared" ref="F41" si="43">IF(E41="NA","NA",E41/C41*100)</f>
        <v>33.293055191069016</v>
      </c>
      <c r="G41" s="3871"/>
      <c r="H41" s="3931">
        <f>IF(E41="NA","NA",E41/Table8s2!$G$34*100)</f>
        <v>-4.1454185482037849</v>
      </c>
      <c r="I41" s="3848">
        <f>SUM(I42:I49)</f>
        <v>13326.325819062327</v>
      </c>
      <c r="J41" s="3841">
        <f>Summary2!D42</f>
        <v>14188.31068246738</v>
      </c>
      <c r="K41" s="3931">
        <f t="shared" ref="K41:K46" si="44">IF(J41="NO",IF(I41="NO","NA",-I41),IF(I41="NO",J41,J41-I41))</f>
        <v>861.98486340505224</v>
      </c>
      <c r="L41" s="3931">
        <f t="shared" ref="L41:L46" si="45">IF(K41="NA","NA",K41/I41*100)</f>
        <v>6.4682859710066998</v>
      </c>
      <c r="M41" s="3891"/>
      <c r="N41" s="3932">
        <f>IF(K41="NA","NA",K41/Table8s2!$G$34*100)</f>
        <v>0.18164476478960564</v>
      </c>
      <c r="O41" s="3848">
        <f>SUM(O42:O49)</f>
        <v>3253.8559644628072</v>
      </c>
      <c r="P41" s="3841">
        <f>Summary2!E42</f>
        <v>3338.8113711220121</v>
      </c>
      <c r="Q41" s="3931">
        <f t="shared" ref="Q41" si="46">IF(P41="NO",IF(O41="NO","NA",-O41),IF(O41="NO",P41,P41-O41))</f>
        <v>84.955406659204982</v>
      </c>
      <c r="R41" s="3931">
        <f t="shared" ref="R41" si="47">IF(Q41="NA","NA",Q41/O41*100)</f>
        <v>2.6109147911601132</v>
      </c>
      <c r="S41" s="3891"/>
      <c r="T41" s="3932">
        <f>IF(Q41="NA","NA",Q41/Table8s2!$G$34*100)</f>
        <v>1.7902524180363859E-2</v>
      </c>
      <c r="U41" s="721"/>
    </row>
    <row r="42" spans="2:21" ht="18" customHeight="1" x14ac:dyDescent="0.2">
      <c r="B42" s="606" t="s">
        <v>1252</v>
      </c>
      <c r="C42" s="3849">
        <v>-83852.807125403706</v>
      </c>
      <c r="D42" s="3849">
        <f>Summary2!C43</f>
        <v>-80293.884304624618</v>
      </c>
      <c r="E42" s="3933">
        <f t="shared" ref="E42:E50" si="48">IF(D42="NO",IF(C42="NO","NA",-C42),IF(C42="NO",D42,D42-C42))</f>
        <v>3558.9228207790875</v>
      </c>
      <c r="F42" s="3933">
        <f t="shared" ref="F42:F50" si="49">IF(E42="NA","NA",E42/C42*100)</f>
        <v>-4.2442500648268586</v>
      </c>
      <c r="G42" s="3891"/>
      <c r="H42" s="3933">
        <f>IF(E42="NA","NA",E42/Table8s2!$G$34*100)</f>
        <v>0.74996641603554659</v>
      </c>
      <c r="I42" s="3850">
        <v>5511.254218104651</v>
      </c>
      <c r="J42" s="3849">
        <f>Summary2!D43</f>
        <v>5851.9785390719289</v>
      </c>
      <c r="K42" s="3933">
        <f t="shared" si="44"/>
        <v>340.72432096727789</v>
      </c>
      <c r="L42" s="3933">
        <f t="shared" si="45"/>
        <v>6.1823372227684095</v>
      </c>
      <c r="M42" s="3891"/>
      <c r="N42" s="3934">
        <f>IF(K42="NA","NA",K42/Table8s2!$G$34*100)</f>
        <v>7.1800320130582629E-2</v>
      </c>
      <c r="O42" s="3850">
        <v>1125.0204744010512</v>
      </c>
      <c r="P42" s="3849">
        <f>Summary2!E43</f>
        <v>1256.4205969763016</v>
      </c>
      <c r="Q42" s="3933">
        <f t="shared" ref="Q42:Q46" si="50">IF(P42="NO",IF(O42="NO","NA",-O42),IF(O42="NO",P42,P42-O42))</f>
        <v>131.40012257525041</v>
      </c>
      <c r="R42" s="3933">
        <f t="shared" ref="R42:R46" si="51">IF(Q42="NA","NA",Q42/O42*100)</f>
        <v>11.67979832946653</v>
      </c>
      <c r="S42" s="3891"/>
      <c r="T42" s="3934">
        <f>IF(Q42="NA","NA",Q42/Table8s2!$G$34*100)</f>
        <v>2.7689748824847888E-2</v>
      </c>
      <c r="U42" s="721"/>
    </row>
    <row r="43" spans="2:21" ht="18" customHeight="1" x14ac:dyDescent="0.2">
      <c r="B43" s="606" t="s">
        <v>1255</v>
      </c>
      <c r="C43" s="3849">
        <v>2643.2465976602662</v>
      </c>
      <c r="D43" s="3849">
        <f>Summary2!C44</f>
        <v>-8911.0867459891688</v>
      </c>
      <c r="E43" s="3933">
        <f t="shared" si="48"/>
        <v>-11554.333343649436</v>
      </c>
      <c r="F43" s="3933">
        <f t="shared" si="49"/>
        <v>-437.12657585096429</v>
      </c>
      <c r="G43" s="3891"/>
      <c r="H43" s="3933">
        <f>IF(E43="NA","NA",E43/Table8s2!$G$34*100)</f>
        <v>-2.4348271664738821</v>
      </c>
      <c r="I43" s="3850">
        <v>15.770563199999998</v>
      </c>
      <c r="J43" s="3849">
        <f>Summary2!D44</f>
        <v>15.590957485864372</v>
      </c>
      <c r="K43" s="3933">
        <f t="shared" si="44"/>
        <v>-0.17960571413562576</v>
      </c>
      <c r="L43" s="3933">
        <f t="shared" si="45"/>
        <v>-1.1388668360025709</v>
      </c>
      <c r="M43" s="3891"/>
      <c r="N43" s="3934">
        <f>IF(K43="NA","NA",K43/Table8s2!$G$34*100)</f>
        <v>-3.7848040127016077E-5</v>
      </c>
      <c r="O43" s="3850">
        <v>25.466742023236762</v>
      </c>
      <c r="P43" s="3849">
        <f>Summary2!E44</f>
        <v>27.302699775715425</v>
      </c>
      <c r="Q43" s="3933">
        <f t="shared" si="50"/>
        <v>1.835957752478663</v>
      </c>
      <c r="R43" s="3933">
        <f t="shared" si="51"/>
        <v>7.2092368580302493</v>
      </c>
      <c r="S43" s="3891"/>
      <c r="T43" s="3934">
        <f>IF(Q43="NA","NA",Q43/Table8s2!$G$34*100)</f>
        <v>3.868885966225252E-4</v>
      </c>
      <c r="U43" s="721"/>
    </row>
    <row r="44" spans="2:21" ht="18" customHeight="1" x14ac:dyDescent="0.2">
      <c r="B44" s="606" t="s">
        <v>1258</v>
      </c>
      <c r="C44" s="3849">
        <v>24209.509126284302</v>
      </c>
      <c r="D44" s="3849">
        <f>Summary2!C45</f>
        <v>12423.756939155177</v>
      </c>
      <c r="E44" s="3933">
        <f t="shared" si="48"/>
        <v>-11785.752187129125</v>
      </c>
      <c r="F44" s="3933">
        <f t="shared" si="49"/>
        <v>-48.682326129170931</v>
      </c>
      <c r="G44" s="3891"/>
      <c r="H44" s="3933">
        <f>IF(E44="NA","NA",E44/Table8s2!$G$34*100)</f>
        <v>-2.483593708876608</v>
      </c>
      <c r="I44" s="3850">
        <v>5701.9177950089634</v>
      </c>
      <c r="J44" s="3849">
        <f>Summary2!D45</f>
        <v>6437.4694954235638</v>
      </c>
      <c r="K44" s="3933">
        <f t="shared" si="44"/>
        <v>735.55170041460042</v>
      </c>
      <c r="L44" s="3933">
        <f t="shared" si="45"/>
        <v>12.900075498430507</v>
      </c>
      <c r="M44" s="3891"/>
      <c r="N44" s="3934">
        <f>IF(K44="NA","NA",K44/Table8s2!$G$34*100)</f>
        <v>0.155001695835604</v>
      </c>
      <c r="O44" s="3850">
        <v>1964.9080292898755</v>
      </c>
      <c r="P44" s="3849">
        <f>Summary2!E45</f>
        <v>1901.5887564400707</v>
      </c>
      <c r="Q44" s="3933">
        <f t="shared" si="50"/>
        <v>-63.319272849804747</v>
      </c>
      <c r="R44" s="3933">
        <f t="shared" si="51"/>
        <v>-3.2225056799573744</v>
      </c>
      <c r="S44" s="3891"/>
      <c r="T44" s="3934">
        <f>IF(Q44="NA","NA",Q44/Table8s2!$G$34*100)</f>
        <v>-1.3343174470625203E-2</v>
      </c>
      <c r="U44" s="721"/>
    </row>
    <row r="45" spans="2:21" ht="18" customHeight="1" x14ac:dyDescent="0.2">
      <c r="B45" s="606" t="s">
        <v>1984</v>
      </c>
      <c r="C45" s="3849">
        <v>-1011.9488428008228</v>
      </c>
      <c r="D45" s="3849">
        <f>Summary2!C46</f>
        <v>-1022.9871660343518</v>
      </c>
      <c r="E45" s="3933">
        <f t="shared" si="48"/>
        <v>-11.038323233529013</v>
      </c>
      <c r="F45" s="3933">
        <f t="shared" si="49"/>
        <v>1.0907985430348119</v>
      </c>
      <c r="G45" s="3891"/>
      <c r="H45" s="3933">
        <f>IF(E45="NA","NA",E45/Table8s2!$G$34*100)</f>
        <v>-2.3260891374653168E-3</v>
      </c>
      <c r="I45" s="3850">
        <v>2080.8179723487137</v>
      </c>
      <c r="J45" s="3849">
        <f>Summary2!D46</f>
        <v>1865.9983689346295</v>
      </c>
      <c r="K45" s="3933">
        <f t="shared" si="44"/>
        <v>-214.81960341408421</v>
      </c>
      <c r="L45" s="3933">
        <f t="shared" si="45"/>
        <v>-10.323805650890625</v>
      </c>
      <c r="M45" s="3891"/>
      <c r="N45" s="3934">
        <f>IF(K45="NA","NA",K45/Table8s2!$G$34*100)</f>
        <v>-4.5268609683243984E-2</v>
      </c>
      <c r="O45" s="3850">
        <v>66.942360263427531</v>
      </c>
      <c r="P45" s="3849">
        <f>Summary2!E46</f>
        <v>83.619597662589939</v>
      </c>
      <c r="Q45" s="3933">
        <f t="shared" si="50"/>
        <v>16.677237399162408</v>
      </c>
      <c r="R45" s="3933">
        <f t="shared" si="51"/>
        <v>24.912831477012688</v>
      </c>
      <c r="S45" s="3891"/>
      <c r="T45" s="3934">
        <f>IF(Q45="NA","NA",Q45/Table8s2!$G$34*100)</f>
        <v>3.5143689794559273E-3</v>
      </c>
      <c r="U45" s="721"/>
    </row>
    <row r="46" spans="2:21" ht="18" customHeight="1" x14ac:dyDescent="0.2">
      <c r="B46" s="606" t="s">
        <v>1985</v>
      </c>
      <c r="C46" s="3849">
        <v>3324.9322261048824</v>
      </c>
      <c r="D46" s="3849">
        <f>Summary2!C47</f>
        <v>3465.1997592324474</v>
      </c>
      <c r="E46" s="3933">
        <f t="shared" si="48"/>
        <v>140.267533127565</v>
      </c>
      <c r="F46" s="3933">
        <f t="shared" si="49"/>
        <v>4.218658414336665</v>
      </c>
      <c r="G46" s="3891"/>
      <c r="H46" s="3933">
        <f>IF(E46="NA","NA",E46/Table8s2!$G$34*100)</f>
        <v>2.9558364820847303E-2</v>
      </c>
      <c r="I46" s="3850">
        <v>16.565270399999999</v>
      </c>
      <c r="J46" s="3849">
        <f>Summary2!D47</f>
        <v>17.273321551392943</v>
      </c>
      <c r="K46" s="3933">
        <f t="shared" si="44"/>
        <v>0.70805115139294372</v>
      </c>
      <c r="L46" s="3933">
        <f t="shared" si="45"/>
        <v>4.2743108581731564</v>
      </c>
      <c r="M46" s="3891"/>
      <c r="N46" s="3934">
        <f>IF(K46="NA","NA",K46/Table8s2!$G$34*100)</f>
        <v>1.4920654678984111E-4</v>
      </c>
      <c r="O46" s="3850">
        <v>11.250096349502202</v>
      </c>
      <c r="P46" s="3849">
        <f>Summary2!E47</f>
        <v>9.5669077410415309</v>
      </c>
      <c r="Q46" s="3933">
        <f t="shared" si="50"/>
        <v>-1.6831886084606715</v>
      </c>
      <c r="R46" s="3933">
        <f t="shared" si="51"/>
        <v>-14.961548382962514</v>
      </c>
      <c r="S46" s="3891"/>
      <c r="T46" s="3934">
        <f>IF(Q46="NA","NA",Q46/Table8s2!$G$34*100)</f>
        <v>-3.5469578627242318E-4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-4399.8706715096596</v>
      </c>
      <c r="D48" s="3849">
        <f>Summary2!C49</f>
        <v>-4419.7842800674098</v>
      </c>
      <c r="E48" s="3933">
        <f t="shared" si="48"/>
        <v>-19.913608557750194</v>
      </c>
      <c r="F48" s="3933">
        <f t="shared" si="49"/>
        <v>0.45259531573725881</v>
      </c>
      <c r="G48" s="3891"/>
      <c r="H48" s="3933">
        <f>IF(E48="NA","NA",E48/Table8s2!$G$34*100)</f>
        <v>-4.196364572222268E-3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60.268262135714302</v>
      </c>
      <c r="P49" s="3857">
        <f>Summary2!E50</f>
        <v>60.312812526292859</v>
      </c>
      <c r="Q49" s="3935">
        <f t="shared" ref="Q49:Q50" si="52">IF(P49="NO",IF(O49="NO","NA",-O49),IF(O49="NO",P49,P49-O49))</f>
        <v>4.4550390578557142E-2</v>
      </c>
      <c r="R49" s="3935">
        <f t="shared" ref="R49:R50" si="53">IF(Q49="NA","NA",Q49/O49*100)</f>
        <v>7.3920151336431303E-2</v>
      </c>
      <c r="S49" s="3936"/>
      <c r="T49" s="3941">
        <f>IF(Q49="NA","NA",Q49/Table8s2!$G$34*100)</f>
        <v>9.3880363350701105E-6</v>
      </c>
      <c r="U49" s="721"/>
    </row>
    <row r="50" spans="2:21" ht="18" customHeight="1" x14ac:dyDescent="0.2">
      <c r="B50" s="718" t="s">
        <v>1955</v>
      </c>
      <c r="C50" s="3841">
        <f>SUM(C51:C55)</f>
        <v>31.466299785649113</v>
      </c>
      <c r="D50" s="3841">
        <f>Summary2!C51</f>
        <v>31.466299785649113</v>
      </c>
      <c r="E50" s="3841">
        <f t="shared" si="48"/>
        <v>0</v>
      </c>
      <c r="F50" s="3841">
        <f t="shared" si="49"/>
        <v>0</v>
      </c>
      <c r="G50" s="3846">
        <f>IF(E50="NA","NA",E50/Table8s2!$G$35*100)</f>
        <v>0</v>
      </c>
      <c r="H50" s="3847">
        <f>IF(E50="NA","NA",E50/Table8s2!$G$34*100)</f>
        <v>0</v>
      </c>
      <c r="I50" s="3841">
        <f>SUM(I51:I55)</f>
        <v>13096.249272484469</v>
      </c>
      <c r="J50" s="3841">
        <f>Summary2!D51</f>
        <v>13140.502964171714</v>
      </c>
      <c r="K50" s="3841">
        <f t="shared" ref="K50" si="54">IF(J50="NO",IF(I50="NO","NA",-I50),IF(I50="NO",J50,J50-I50))</f>
        <v>44.253691687245009</v>
      </c>
      <c r="L50" s="3841">
        <f t="shared" ref="L50" si="55">IF(K50="NA","NA",K50/I50*100)</f>
        <v>0.33791118942904563</v>
      </c>
      <c r="M50" s="3846">
        <f>IF(K50="NA","NA",K50/Table8s2!$G$35*100)</f>
        <v>8.2597382722206601E-3</v>
      </c>
      <c r="N50" s="3847">
        <f>IF(K50="NA","NA",K50/Table8s2!$G$34*100)</f>
        <v>9.3255134270542588E-3</v>
      </c>
      <c r="O50" s="3841">
        <f>SUM(O51:O55)</f>
        <v>362.59462203719499</v>
      </c>
      <c r="P50" s="3841">
        <f>Summary2!E51</f>
        <v>362.59462203719505</v>
      </c>
      <c r="Q50" s="3841">
        <f t="shared" si="52"/>
        <v>5.6843418860808015E-14</v>
      </c>
      <c r="R50" s="3841">
        <f t="shared" si="53"/>
        <v>1.567685106343828E-14</v>
      </c>
      <c r="S50" s="3846">
        <f>IF(Q50="NA","NA",Q50/Table8s2!$G$35*100)</f>
        <v>1.0609550172823444E-17</v>
      </c>
      <c r="T50" s="3847">
        <f>IF(Q50="NA","NA",Q50/Table8s2!$G$34*100)</f>
        <v>1.1978527567202274E-17</v>
      </c>
    </row>
    <row r="51" spans="2:21" ht="18" customHeight="1" x14ac:dyDescent="0.2">
      <c r="B51" s="606" t="s">
        <v>1989</v>
      </c>
      <c r="C51" s="3920"/>
      <c r="D51" s="3920"/>
      <c r="E51" s="3890"/>
      <c r="F51" s="3905"/>
      <c r="G51" s="3906"/>
      <c r="H51" s="3907"/>
      <c r="I51" s="3841">
        <v>10218.334617077422</v>
      </c>
      <c r="J51" s="3841">
        <f>Summary2!D52</f>
        <v>10254.446537187654</v>
      </c>
      <c r="K51" s="3841">
        <f t="shared" ref="K51:K52" si="56">IF(J51="NO",IF(I51="NO","NA",-I51),IF(I51="NO",J51,J51-I51))</f>
        <v>36.111920110231949</v>
      </c>
      <c r="L51" s="3841">
        <f t="shared" ref="L51:L52" si="57">IF(K51="NA","NA",K51/I51*100)</f>
        <v>0.35340318616968946</v>
      </c>
      <c r="M51" s="3846">
        <f>IF(K51="NA","NA",K51/Table8s2!$G$35*100)</f>
        <v>6.7401158467379997E-3</v>
      </c>
      <c r="N51" s="3847">
        <f>IF(K51="NA","NA",K51/Table8s2!$G$34*100)</f>
        <v>7.6098102333401899E-3</v>
      </c>
      <c r="O51" s="3888"/>
      <c r="P51" s="3889"/>
      <c r="Q51" s="3942"/>
      <c r="R51" s="3943"/>
      <c r="S51" s="3944"/>
      <c r="T51" s="3945"/>
    </row>
    <row r="52" spans="2:21" ht="18" customHeight="1" x14ac:dyDescent="0.2">
      <c r="B52" s="1395" t="s">
        <v>1990</v>
      </c>
      <c r="C52" s="3920"/>
      <c r="D52" s="3920"/>
      <c r="E52" s="3890"/>
      <c r="F52" s="3905"/>
      <c r="G52" s="3906"/>
      <c r="H52" s="3907"/>
      <c r="I52" s="3851">
        <v>127.33247026412202</v>
      </c>
      <c r="J52" s="3849">
        <f>Summary2!D53</f>
        <v>127.33247026412202</v>
      </c>
      <c r="K52" s="3841">
        <f t="shared" si="56"/>
        <v>0</v>
      </c>
      <c r="L52" s="3841">
        <f t="shared" si="57"/>
        <v>0</v>
      </c>
      <c r="M52" s="3846">
        <f>IF(K52="NA","NA",K52/Table8s2!$G$35*100)</f>
        <v>0</v>
      </c>
      <c r="N52" s="3847">
        <f>IF(K52="NA","NA",K52/Table8s2!$G$34*100)</f>
        <v>0</v>
      </c>
      <c r="O52" s="3841">
        <v>154.25419254853639</v>
      </c>
      <c r="P52" s="3841">
        <f>Summary2!E53</f>
        <v>154.25419254853642</v>
      </c>
      <c r="Q52" s="3841">
        <f t="shared" ref="Q52" si="58">IF(P52="NO",IF(O52="NO","NA",-O52),IF(O52="NO",P52,P52-O52))</f>
        <v>2.8421709430404007E-14</v>
      </c>
      <c r="R52" s="3841">
        <f t="shared" ref="R52" si="59">IF(Q52="NA","NA",Q52/O52*100)</f>
        <v>1.8425242750832239E-14</v>
      </c>
      <c r="S52" s="3846">
        <f>IF(Q52="NA","NA",Q52/Table8s2!$G$35*100)</f>
        <v>5.3047750864117222E-18</v>
      </c>
      <c r="T52" s="3847">
        <f>IF(Q52="NA","NA",Q52/Table8s2!$G$34*100)</f>
        <v>5.9892637836011371E-18</v>
      </c>
    </row>
    <row r="53" spans="2:21" ht="18" customHeight="1" x14ac:dyDescent="0.2">
      <c r="B53" s="1396" t="s">
        <v>1991</v>
      </c>
      <c r="C53" s="3841">
        <v>31.466299785649113</v>
      </c>
      <c r="D53" s="3841">
        <f>Summary2!C54</f>
        <v>31.466299785649113</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2750.5821851429246</v>
      </c>
      <c r="J54" s="3849">
        <f>Summary2!D55</f>
        <v>2758.7239567199367</v>
      </c>
      <c r="K54" s="3841">
        <f t="shared" ref="K54" si="62">IF(J54="NO",IF(I54="NO","NA",-I54),IF(I54="NO",J54,J54-I54))</f>
        <v>8.1417715770121504</v>
      </c>
      <c r="L54" s="3841">
        <f t="shared" ref="L54" si="63">IF(K54="NA","NA",K54/I54*100)</f>
        <v>0.29600175631869335</v>
      </c>
      <c r="M54" s="3846">
        <f>IF(K54="NA","NA",K54/Table8s2!$G$35*100)</f>
        <v>1.5196224254824912E-3</v>
      </c>
      <c r="N54" s="3847">
        <f>IF(K54="NA","NA",K54/Table8s2!$G$34*100)</f>
        <v>1.7157031937138777E-3</v>
      </c>
      <c r="O54" s="3841">
        <v>208.34042948865863</v>
      </c>
      <c r="P54" s="3841">
        <f>Summary2!E55</f>
        <v>208.34042948865863</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13888.5497904</v>
      </c>
      <c r="D59" s="3849">
        <f>Summary2!C60</f>
        <v>13888.5497904</v>
      </c>
      <c r="E59" s="3863">
        <f t="shared" ref="E59" si="66">IF(D59="NO",IF(C59="NO","NA",-C59),IF(C59="NO",D59,D59-C59))</f>
        <v>0</v>
      </c>
      <c r="F59" s="3863">
        <f t="shared" ref="F59" si="67">IF(E59="NA","NA",E59/C59*100)</f>
        <v>0</v>
      </c>
      <c r="G59" s="3864">
        <f>IF(E59="NA","NA",E59/Table8s2!$G$35*100)</f>
        <v>0</v>
      </c>
      <c r="H59" s="3865">
        <f>IF(E59="NA","NA",E59/Table8s2!$G$34*100)</f>
        <v>0</v>
      </c>
      <c r="I59" s="3849">
        <v>6.4747729848558402</v>
      </c>
      <c r="J59" s="3849">
        <f>Summary2!D60</f>
        <v>6.47477298485581</v>
      </c>
      <c r="K59" s="3863">
        <f t="shared" ref="K59:K61" si="68">IF(J59="NO",IF(I59="NO","NA",-I59),IF(I59="NO",J59,J59-I59))</f>
        <v>-3.0198066269804258E-14</v>
      </c>
      <c r="L59" s="3863">
        <f t="shared" ref="L59:L61" si="69">IF(K59="NA","NA",K59/I59*100)</f>
        <v>-4.6639575380381638E-13</v>
      </c>
      <c r="M59" s="3864">
        <f>IF(K59="NA","NA",K59/Table8s2!$G$35*100)</f>
        <v>-5.6363235293124541E-18</v>
      </c>
      <c r="N59" s="3865">
        <f>IF(K59="NA","NA",K59/Table8s2!$G$34*100)</f>
        <v>-6.3635927700762079E-18</v>
      </c>
      <c r="O59" s="3850">
        <v>30.726156681872549</v>
      </c>
      <c r="P59" s="3849">
        <f>Summary2!E60</f>
        <v>30.726156681871704</v>
      </c>
      <c r="Q59" s="3863">
        <f t="shared" ref="Q59" si="70">IF(P59="NO",IF(O59="NO","NA",-O59),IF(O59="NO",P59,P59-O59))</f>
        <v>-8.4554585555451922E-13</v>
      </c>
      <c r="R59" s="3968">
        <f t="shared" ref="R59" si="71">IF(Q59="NA","NA",Q59/O59*100)</f>
        <v>-2.7518764039023604E-12</v>
      </c>
      <c r="S59" s="3969">
        <f>IF(Q59="NA","NA",Q59/Table8s2!$G$35*100)</f>
        <v>-1.5781705882074872E-16</v>
      </c>
      <c r="T59" s="3970">
        <f>IF(Q59="NA","NA",Q59/Table8s2!$G$34*100)</f>
        <v>-1.7818059756213382E-16</v>
      </c>
    </row>
    <row r="60" spans="2:21" ht="18" customHeight="1" x14ac:dyDescent="0.2">
      <c r="B60" s="1409" t="s">
        <v>218</v>
      </c>
      <c r="C60" s="3849">
        <v>11757.88368384</v>
      </c>
      <c r="D60" s="3849">
        <f>Summary2!C61</f>
        <v>11757.883683840002</v>
      </c>
      <c r="E60" s="3863">
        <f t="shared" ref="E60:E61" si="72">IF(D60="NO",IF(C60="NO","NA",-C60),IF(C60="NO",D60,D60-C60))</f>
        <v>1.8189894035458565E-12</v>
      </c>
      <c r="F60" s="3863">
        <f t="shared" ref="F60:F61" si="73">IF(E60="NA","NA",E60/C60*100)</f>
        <v>1.5470381001011859E-14</v>
      </c>
      <c r="G60" s="3864">
        <f>IF(E60="NA","NA",E60/Table8s2!$G$35*100)</f>
        <v>3.3950560553035022E-16</v>
      </c>
      <c r="H60" s="3865">
        <f>IF(E60="NA","NA",E60/Table8s2!$G$34*100)</f>
        <v>3.8331288215047278E-16</v>
      </c>
      <c r="I60" s="3849">
        <v>0.75568710325583999</v>
      </c>
      <c r="J60" s="3849">
        <f>Summary2!D61</f>
        <v>0.75568710325581401</v>
      </c>
      <c r="K60" s="3863">
        <f t="shared" si="68"/>
        <v>-2.5979218776228663E-14</v>
      </c>
      <c r="L60" s="3863">
        <f t="shared" si="69"/>
        <v>-3.4378274638138595E-12</v>
      </c>
      <c r="M60" s="3864">
        <f>IF(K60="NA","NA",K60/Table8s2!$G$35*100)</f>
        <v>-4.8488959774232147E-18</v>
      </c>
      <c r="N60" s="3865">
        <f>IF(K60="NA","NA",K60/Table8s2!$G$34*100)</f>
        <v>-5.4745614271979149E-18</v>
      </c>
      <c r="O60" s="3850">
        <v>15.261281593872551</v>
      </c>
      <c r="P60" s="3849">
        <f>Summary2!E61</f>
        <v>15.261281593871717</v>
      </c>
      <c r="Q60" s="3863">
        <f t="shared" ref="Q60:Q61" si="74">IF(P60="NO",IF(O60="NO","NA",-O60),IF(O60="NO",P60,P60-O60))</f>
        <v>-8.3488771451811772E-13</v>
      </c>
      <c r="R60" s="3968">
        <f t="shared" ref="R60:R61" si="75">IF(Q60="NA","NA",Q60/O60*100)</f>
        <v>-5.4706264960953703E-12</v>
      </c>
      <c r="S60" s="3969">
        <f>IF(Q60="NA","NA",Q60/Table8s2!$G$35*100)</f>
        <v>-1.5582776816334433E-16</v>
      </c>
      <c r="T60" s="3970">
        <f>IF(Q60="NA","NA",Q60/Table8s2!$G$34*100)</f>
        <v>-1.759346236432834E-16</v>
      </c>
    </row>
    <row r="61" spans="2:21" ht="18" customHeight="1" x14ac:dyDescent="0.2">
      <c r="B61" s="1410" t="s">
        <v>1963</v>
      </c>
      <c r="C61" s="3849">
        <v>2130.6661065599997</v>
      </c>
      <c r="D61" s="3849">
        <f>Summary2!C62</f>
        <v>2130.6661065599983</v>
      </c>
      <c r="E61" s="3863">
        <f t="shared" si="72"/>
        <v>-1.3642420526593924E-12</v>
      </c>
      <c r="F61" s="3863">
        <f t="shared" si="73"/>
        <v>-6.4028899153137916E-14</v>
      </c>
      <c r="G61" s="3864">
        <f>IF(E61="NA","NA",E61/Table8s2!$G$35*100)</f>
        <v>-2.546292041477626E-16</v>
      </c>
      <c r="H61" s="3865">
        <f>IF(E61="NA","NA",E61/Table8s2!$G$34*100)</f>
        <v>-2.8748466161285456E-16</v>
      </c>
      <c r="I61" s="3849">
        <v>5.7190858815999999</v>
      </c>
      <c r="J61" s="3849">
        <f>Summary2!D62</f>
        <v>5.7190858815999963</v>
      </c>
      <c r="K61" s="3863">
        <f t="shared" si="68"/>
        <v>-3.5527136788005009E-15</v>
      </c>
      <c r="L61" s="3863">
        <f t="shared" si="69"/>
        <v>-6.2120306502663961E-14</v>
      </c>
      <c r="M61" s="3864">
        <f>IF(K61="NA","NA",K61/Table8s2!$G$35*100)</f>
        <v>-6.6309688580146528E-19</v>
      </c>
      <c r="N61" s="3865">
        <f>IF(K61="NA","NA",K61/Table8s2!$G$34*100)</f>
        <v>-7.4865797295014214E-19</v>
      </c>
      <c r="O61" s="3850">
        <v>15.464875087999999</v>
      </c>
      <c r="P61" s="3849">
        <f>Summary2!E62</f>
        <v>15.464875087999989</v>
      </c>
      <c r="Q61" s="3863">
        <f t="shared" si="74"/>
        <v>-1.0658141036401503E-14</v>
      </c>
      <c r="R61" s="3968">
        <f t="shared" si="75"/>
        <v>-6.8918377780313976E-14</v>
      </c>
      <c r="S61" s="3969">
        <f>IF(Q61="NA","NA",Q61/Table8s2!$G$35*100)</f>
        <v>-1.9892906574043953E-18</v>
      </c>
      <c r="T61" s="3970">
        <f>IF(Q61="NA","NA",Q61/Table8s2!$G$34*100)</f>
        <v>-2.2459739188504262E-18</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16307.71</v>
      </c>
      <c r="D63" s="3849">
        <f>Summary2!C64</f>
        <v>16278.472390810328</v>
      </c>
      <c r="E63" s="3863">
        <f t="shared" ref="E63:E65" si="76">IF(D63="NO",IF(C63="NO","NA",-C63),IF(C63="NO",D63,D63-C63))</f>
        <v>-29.237609189671275</v>
      </c>
      <c r="F63" s="3863">
        <f t="shared" ref="F63:F65" si="77">IF(E63="NA","NA",E63/C63*100)</f>
        <v>-0.17928703165356311</v>
      </c>
      <c r="G63" s="3864">
        <f>IF(E63="NA","NA",E63/Table8s2!$G$35*100)</f>
        <v>-5.457058844240175E-3</v>
      </c>
      <c r="H63" s="3865">
        <f>IF(E63="NA","NA",E63/Table8s2!$G$34*100)</f>
        <v>-6.1611971041916598E-3</v>
      </c>
      <c r="I63" s="3971"/>
      <c r="J63" s="3971"/>
      <c r="K63" s="3972"/>
      <c r="L63" s="3972"/>
      <c r="M63" s="3973"/>
      <c r="N63" s="3974"/>
      <c r="O63" s="3975"/>
      <c r="P63" s="3971"/>
      <c r="Q63" s="3972"/>
      <c r="R63" s="3976"/>
      <c r="S63" s="3977"/>
      <c r="T63" s="3978"/>
    </row>
    <row r="64" spans="2:21" ht="18" customHeight="1" x14ac:dyDescent="0.2">
      <c r="B64" s="1412" t="s">
        <v>2191</v>
      </c>
      <c r="C64" s="3849">
        <f>D64</f>
        <v>2164.8240000000001</v>
      </c>
      <c r="D64" s="3851">
        <f>Summary2!C65</f>
        <v>2164.8240000000001</v>
      </c>
      <c r="E64" s="3863">
        <f t="shared" si="76"/>
        <v>0</v>
      </c>
      <c r="F64" s="3863">
        <f t="shared" si="77"/>
        <v>0</v>
      </c>
      <c r="G64" s="3864">
        <f>IF(E64="NA","NA",E64/Table8s2!$G$35*100)</f>
        <v>0</v>
      </c>
      <c r="H64" s="3865">
        <f>IF(E64="NA","NA",E64/Table8s2!$G$34*100)</f>
        <v>0</v>
      </c>
      <c r="I64" s="3971"/>
      <c r="J64" s="3971"/>
      <c r="K64" s="3971"/>
      <c r="L64" s="3971"/>
      <c r="M64" s="3980"/>
      <c r="N64" s="3978"/>
      <c r="O64" s="3981"/>
      <c r="P64" s="3982"/>
      <c r="Q64" s="3972"/>
      <c r="R64" s="3983"/>
      <c r="S64" s="3984"/>
      <c r="T64" s="3985"/>
    </row>
    <row r="65" spans="2:20" ht="18" customHeight="1" x14ac:dyDescent="0.2">
      <c r="B65" s="1413" t="s">
        <v>1965</v>
      </c>
      <c r="C65" s="3849">
        <v>319123.54820236046</v>
      </c>
      <c r="D65" s="3851">
        <f>Summary2!C66</f>
        <v>319218.82531955553</v>
      </c>
      <c r="E65" s="3979">
        <f t="shared" si="76"/>
        <v>95.277117195073515</v>
      </c>
      <c r="F65" s="3986">
        <f t="shared" si="77"/>
        <v>2.9855871724845901E-2</v>
      </c>
      <c r="G65" s="3987">
        <f>IF(E65="NA","NA",E65/Table8s2!$G$35*100)</f>
        <v>1.7783014735239005E-2</v>
      </c>
      <c r="H65" s="3988">
        <f>IF(E65="NA","NA",E65/Table8s2!$G$34*100)</f>
        <v>2.0077602609360833E-2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workbookViewId="0">
      <pane xSplit="2" ySplit="9" topLeftCell="C10" activePane="bottomRight" state="frozen"/>
      <selection pane="topRight" activeCell="C1" sqref="C1"/>
      <selection pane="bottomLeft" activeCell="A10" sqref="A10"/>
      <selection pane="bottomRight" activeCell="U27" sqref="U27"/>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10949.191718307842</v>
      </c>
      <c r="D10" s="4021">
        <f>IF(SUM(D11:D30)=0,"NO",SUM(D11:D30))</f>
        <v>10949.19171830784</v>
      </c>
      <c r="E10" s="4021">
        <f>IF(D10="NO",IF(C10="NO","NA",-C10),IF(C10="NO",D10,D10-C10))</f>
        <v>-1.8189894035458565E-12</v>
      </c>
      <c r="F10" s="4021">
        <f>IF(E10="NA","NA",E10/C10*100)</f>
        <v>-1.6613001674857647E-14</v>
      </c>
      <c r="G10" s="4022">
        <f>IF(E10="NA","NA",E10/$G$35*100)</f>
        <v>-3.3950560553035022E-16</v>
      </c>
      <c r="H10" s="4023">
        <f>IF(E10="NA","NA",E10/$G$34*100)</f>
        <v>-3.8331288215047278E-16</v>
      </c>
      <c r="I10" s="4024">
        <f>IF(SUM(I11:I30)=0,"NO",SUM(I11:I30))</f>
        <v>243.11647207633368</v>
      </c>
      <c r="J10" s="4024">
        <f>IF(SUM(J11:J30)=0,"NO",SUM(J11:J30))</f>
        <v>243.11647207633368</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108.87118016121181</v>
      </c>
      <c r="V10" s="4021">
        <f>IF(SUM(V11:V30)=0,"NO",SUM(V11:V30))</f>
        <v>102.28646355522083</v>
      </c>
      <c r="W10" s="4021">
        <f>IF(V10="NO",IF(U10="NO","NA",-U10),IF(U10="NO",V10,V10-U10))</f>
        <v>-6.5847166059909767</v>
      </c>
      <c r="X10" s="4025">
        <f>IF(W10="NA","NA",W10/U10*100)</f>
        <v>-6.0481723411472244</v>
      </c>
      <c r="Y10" s="4026">
        <f>IF(W10="NA","NA",W10/$G$35*100)</f>
        <v>-1.2290056193866997E-3</v>
      </c>
      <c r="Z10" s="4023">
        <f>IF(W10="NA","NA",W10/$G$34*100)</f>
        <v>-1.3875873578297348E-3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243.11647207633368</v>
      </c>
      <c r="J13" s="3841">
        <f>'Table2(II)'!AH41</f>
        <v>243.11647207633368</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10339.138807286829</v>
      </c>
      <c r="D21" s="3849">
        <f>'Table2(I)'!F46</f>
        <v>10339.138807286827</v>
      </c>
      <c r="E21" s="3849">
        <f>IF(D21="NO",IF(C21="NO","NA",-C21),IF(C21="NO",D21,D21-C21))</f>
        <v>-1.8189894035458565E-12</v>
      </c>
      <c r="F21" s="4018">
        <f>IF(E21="NA","NA",E21/C21*100)</f>
        <v>-1.7593239025516007E-14</v>
      </c>
      <c r="G21" s="3873">
        <f>IF(E21="NA","NA",E21/$G$35*100)</f>
        <v>-3.3950560553035022E-16</v>
      </c>
      <c r="H21" s="3874">
        <f>IF(E21="NA","NA",E21/$G$34*100)</f>
        <v>-3.8331288215047278E-16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69.030112684405907</v>
      </c>
      <c r="D22" s="3849">
        <f>'Table2(I)'!F47</f>
        <v>69.030112684405921</v>
      </c>
      <c r="E22" s="3849">
        <f t="shared" ref="E22:E25" si="0">IF(D22="NO",IF(C22="NO","NA",-C22),IF(C22="NO",D22,D22-C22))</f>
        <v>1.4210854715202004E-14</v>
      </c>
      <c r="F22" s="4018">
        <f t="shared" ref="F22:F25" si="1">IF(E22="NA","NA",E22/C22*100)</f>
        <v>2.0586457362704371E-14</v>
      </c>
      <c r="G22" s="3873">
        <f t="shared" ref="G22:G25" si="2">IF(E22="NA","NA",E22/$G$35*100)</f>
        <v>2.6523875432058611E-18</v>
      </c>
      <c r="H22" s="3874">
        <f t="shared" ref="H22:H25" si="3">IF(E22="NA","NA",E22/$G$34*100)</f>
        <v>2.9946318918005686E-18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82.684652188611665</v>
      </c>
      <c r="D23" s="3849">
        <f>'Table2(I)'!F48</f>
        <v>82.684652188611665</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124.6795595085468</v>
      </c>
      <c r="D24" s="3849">
        <f>'Table2(I)'!F49</f>
        <v>124.67955950854679</v>
      </c>
      <c r="E24" s="3849">
        <f t="shared" si="0"/>
        <v>-1.4210854715202004E-14</v>
      </c>
      <c r="F24" s="4018">
        <f t="shared" si="1"/>
        <v>-1.1397902568165433E-14</v>
      </c>
      <c r="G24" s="3873">
        <f t="shared" si="2"/>
        <v>-2.6523875432058611E-18</v>
      </c>
      <c r="H24" s="3874">
        <f t="shared" si="3"/>
        <v>-2.9946318918005686E-18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333.65858663945136</v>
      </c>
      <c r="D25" s="3849">
        <f>'Table2(I)'!F50</f>
        <v>333.6585866394513</v>
      </c>
      <c r="E25" s="3849">
        <f t="shared" si="0"/>
        <v>-5.6843418860808015E-14</v>
      </c>
      <c r="F25" s="4018">
        <f t="shared" si="1"/>
        <v>-1.7036402219803362E-14</v>
      </c>
      <c r="G25" s="3873">
        <f t="shared" si="2"/>
        <v>-1.0609550172823444E-17</v>
      </c>
      <c r="H25" s="3874">
        <f t="shared" si="3"/>
        <v>-1.1978527567202274E-17</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88.419971430176773</v>
      </c>
      <c r="V27" s="3849">
        <f>IFERROR('Table2(I)'!I53*23500,'Table2(I)'!I53)</f>
        <v>81.835254824185697</v>
      </c>
      <c r="W27" s="3849">
        <f>IF(V27="NO",IF(U27="NO","NA",-U27),IF(U27="NO",V27,V27-U27))</f>
        <v>-6.5847166059910762</v>
      </c>
      <c r="X27" s="4018">
        <f>IF(W27="NA","NA",W27/U27*100)</f>
        <v>-7.4470919855373126</v>
      </c>
      <c r="Y27" s="3873">
        <f>IF(W27="NA","NA",W27/$G$35*100)</f>
        <v>-1.2290056193867184E-3</v>
      </c>
      <c r="Z27" s="3874">
        <f>IF(W27="NA","NA",W27/$G$34*100)</f>
        <v>-1.3875873578297559E-3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20.451208731035038</v>
      </c>
      <c r="V28" s="3849">
        <f>IFERROR('Table2(I)'!I54*23500,'Table2(I)'!I54)</f>
        <v>20.451208731035141</v>
      </c>
      <c r="W28" s="3849">
        <f>IF(V28="NO",IF(U28="NO","NA",-U28),IF(U28="NO",V28,V28-U28))</f>
        <v>1.0302869668521453E-13</v>
      </c>
      <c r="X28" s="4018">
        <f>IF(W28="NA","NA",W28/U28*100)</f>
        <v>5.0377803111884934E-13</v>
      </c>
      <c r="Y28" s="3873">
        <f>IF(W28="NA","NA",W28/$G$35*100)</f>
        <v>1.9229809688242491E-17</v>
      </c>
      <c r="Z28" s="3874">
        <f>IF(W28="NA","NA",W28/$G$34*100)</f>
        <v>2.1711081215554122E-17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6">
        <f>SUM(Table8s1!C10,Table8s1!I10,Table8s1!O10,C10,I10,O10,U10,AA10)</f>
        <v>494232.96110296802</v>
      </c>
      <c r="F34" s="4547"/>
      <c r="G34" s="4546">
        <f>SUM(Table8s1!D10,Table8s1!J10,Table8s1!P10,D10,J10,P10,V10,AB10)</f>
        <v>474544.29220873315</v>
      </c>
      <c r="H34" s="4547"/>
      <c r="I34" s="3841">
        <f>G34-E34</f>
        <v>-19688.66889423487</v>
      </c>
      <c r="J34" s="4047">
        <f>IF(I34="NA","NA",I34/E34*100)</f>
        <v>-3.9836818755058609</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8">
        <f>E34-SUM(Table8s1!C41,Table8s1!I41,Table8s1!O41)</f>
        <v>536739.71800910763</v>
      </c>
      <c r="F35" s="4549"/>
      <c r="G35" s="4550">
        <f>G34-SUM(Table8s1!D41,Table8s1!J41,Table8s1!P41)</f>
        <v>535775.95595347171</v>
      </c>
      <c r="H35" s="4551"/>
      <c r="I35" s="3857">
        <f>G35-E35</f>
        <v>-963.76205563591793</v>
      </c>
      <c r="J35" s="4048">
        <f>IF(I35="NA","NA",I35/E35*100)</f>
        <v>-0.1795585501312881</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7" t="s">
        <v>2212</v>
      </c>
      <c r="F9" s="4558"/>
      <c r="G9" s="19"/>
    </row>
    <row r="10" spans="2:7" ht="14.25" thickTop="1" x14ac:dyDescent="0.2">
      <c r="B10" s="980" t="s">
        <v>2213</v>
      </c>
      <c r="C10" s="4123" t="s">
        <v>2214</v>
      </c>
      <c r="D10" s="4123" t="s">
        <v>2215</v>
      </c>
      <c r="E10" s="4559" t="s">
        <v>2216</v>
      </c>
      <c r="F10" s="4560"/>
    </row>
    <row r="11" spans="2:7" x14ac:dyDescent="0.2">
      <c r="B11" s="4122"/>
      <c r="C11" s="4124" t="s">
        <v>2214</v>
      </c>
      <c r="D11" s="4124" t="s">
        <v>2217</v>
      </c>
      <c r="E11" s="4561" t="s">
        <v>2218</v>
      </c>
      <c r="F11" s="4562"/>
    </row>
    <row r="12" spans="2:7" x14ac:dyDescent="0.2">
      <c r="B12" s="4122"/>
      <c r="C12" s="4124" t="s">
        <v>2214</v>
      </c>
      <c r="D12" s="4124" t="s">
        <v>2219</v>
      </c>
      <c r="E12" s="4555" t="s">
        <v>2218</v>
      </c>
      <c r="F12" s="4556"/>
    </row>
    <row r="13" spans="2:7" ht="55.5" customHeight="1" x14ac:dyDescent="0.2">
      <c r="B13" s="4122"/>
      <c r="C13" s="4124" t="s">
        <v>111</v>
      </c>
      <c r="D13" s="4124" t="s">
        <v>2220</v>
      </c>
      <c r="E13" s="4552" t="s">
        <v>2221</v>
      </c>
      <c r="F13" s="4554"/>
    </row>
    <row r="14" spans="2:7" ht="12.75" customHeight="1" x14ac:dyDescent="0.2">
      <c r="B14" s="4122"/>
      <c r="C14" s="4124" t="s">
        <v>111</v>
      </c>
      <c r="D14" s="4124" t="s">
        <v>814</v>
      </c>
      <c r="E14" s="4563" t="s">
        <v>2222</v>
      </c>
      <c r="F14" s="4564"/>
    </row>
    <row r="15" spans="2:7" ht="15.75" customHeight="1" x14ac:dyDescent="0.2">
      <c r="B15" s="4122"/>
      <c r="C15" s="4124" t="s">
        <v>111</v>
      </c>
      <c r="D15" s="4124" t="s">
        <v>2223</v>
      </c>
      <c r="E15" s="4552" t="s">
        <v>2224</v>
      </c>
      <c r="F15" s="4553"/>
    </row>
    <row r="16" spans="2:7" ht="48" customHeight="1" x14ac:dyDescent="0.2">
      <c r="B16" s="4122"/>
      <c r="C16" s="4124" t="s">
        <v>2225</v>
      </c>
      <c r="D16" s="4124" t="s">
        <v>2226</v>
      </c>
      <c r="E16" s="4552" t="s">
        <v>2227</v>
      </c>
      <c r="F16" s="4553"/>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2" t="s">
        <v>2231</v>
      </c>
      <c r="F18" s="4553"/>
    </row>
    <row r="19" spans="2:7" ht="18.75" customHeight="1" x14ac:dyDescent="0.2">
      <c r="B19" s="4122"/>
      <c r="C19" s="4124" t="s">
        <v>117</v>
      </c>
      <c r="D19" s="4123" t="s">
        <v>2232</v>
      </c>
      <c r="E19" s="4552" t="s">
        <v>2233</v>
      </c>
      <c r="F19" s="4553"/>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2" t="s">
        <v>2242</v>
      </c>
      <c r="F25" s="4553"/>
    </row>
    <row r="26" spans="2:7" ht="48" customHeight="1" x14ac:dyDescent="0.2">
      <c r="B26" s="4122"/>
      <c r="C26" s="4124" t="s">
        <v>2225</v>
      </c>
      <c r="D26" s="4124" t="s">
        <v>2226</v>
      </c>
      <c r="E26" s="4552" t="s">
        <v>2227</v>
      </c>
      <c r="F26" s="4553"/>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2" t="s">
        <v>2231</v>
      </c>
      <c r="F30" s="4553"/>
    </row>
    <row r="31" spans="2:7" ht="27" customHeight="1" x14ac:dyDescent="0.2">
      <c r="B31" s="4122"/>
      <c r="C31" s="4124" t="s">
        <v>117</v>
      </c>
      <c r="D31" s="4123" t="s">
        <v>2232</v>
      </c>
      <c r="E31" s="4552" t="s">
        <v>2248</v>
      </c>
      <c r="F31" s="4553"/>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2" t="s">
        <v>2227</v>
      </c>
      <c r="F40" s="4553"/>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2" t="s">
        <v>2231</v>
      </c>
      <c r="F43" s="4553"/>
    </row>
    <row r="44" spans="2:7" ht="12.75" customHeight="1" x14ac:dyDescent="0.2">
      <c r="B44" s="4122"/>
      <c r="C44" s="4124" t="s">
        <v>117</v>
      </c>
      <c r="D44" s="4123" t="s">
        <v>2232</v>
      </c>
      <c r="E44" s="4552" t="s">
        <v>2258</v>
      </c>
      <c r="F44" s="4553"/>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65"/>
      <c r="F58" s="4566"/>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T11" activePane="bottomRight" state="frozen"/>
      <selection pane="topRight" activeCell="E1" sqref="E1"/>
      <selection pane="bottomLeft" activeCell="A11" sqref="A11"/>
      <selection pane="bottomRight" activeCell="AI10" sqref="AI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X11"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topLeftCell="N1"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1343768.2912206571</v>
      </c>
      <c r="D10" s="1938" t="s">
        <v>97</v>
      </c>
      <c r="E10" s="615"/>
      <c r="F10" s="615"/>
      <c r="G10" s="615"/>
      <c r="H10" s="1851">
        <f>IF(SUM(H11:H14)=0,"NO",SUM(H11:H14))</f>
        <v>91747.348470689423</v>
      </c>
      <c r="I10" s="1851">
        <f>IF(SUM(I11:I15)=0,"NO",SUM(I11:I15))</f>
        <v>11.908991517095528</v>
      </c>
      <c r="J10" s="2217">
        <f>IF(SUM(J11:J15)=0,"NO",SUM(J11:J15))</f>
        <v>4.1519199048639219</v>
      </c>
    </row>
    <row r="11" spans="2:11" ht="18" customHeight="1" x14ac:dyDescent="0.2">
      <c r="B11" s="282" t="s">
        <v>243</v>
      </c>
      <c r="C11" s="1938">
        <f>IF(SUM(C17:C18,C21:C24,C82,C89:C92,C100)=0,"NO",SUM(C17:C18,C21:C24,C82,C89:C92,C100))</f>
        <v>1318393.1072938028</v>
      </c>
      <c r="D11" s="1934" t="s">
        <v>97</v>
      </c>
      <c r="E11" s="1938">
        <f>IFERROR(H11*1000/$C11,"NA")</f>
        <v>68.780748236601113</v>
      </c>
      <c r="F11" s="1938">
        <f t="shared" ref="F11:G15" si="0">IFERROR(I11*1000000/$C11,"NA")</f>
        <v>8.4982392719735742</v>
      </c>
      <c r="G11" s="1938">
        <f t="shared" si="0"/>
        <v>3.1214598348080362</v>
      </c>
      <c r="H11" s="1938">
        <f>IF(SUM(H17:H18,H21:H24,H82,H89:H92,H100)=0,"NO",SUM(H17:H18,H21:H24,H82,H89:H92,H100))</f>
        <v>90680.064389645282</v>
      </c>
      <c r="I11" s="1938">
        <f>IF(SUM(I17:I18,I21:I24,I82,I89:I92,I100)=0,"NO",SUM(I17:I18,I21:I24,I82,I89:I92,I100))</f>
        <v>11.204020080303463</v>
      </c>
      <c r="J11" s="3064">
        <f>IF(SUM(J17:J18,J21:J24,J82,J89:J92,J100)=0,"NO",SUM(J17:J18,J21:J24,J82,J89:J92,J100))</f>
        <v>4.1153111309053676</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20739.456860275626</v>
      </c>
      <c r="D13" s="1934" t="s">
        <v>97</v>
      </c>
      <c r="E13" s="1938">
        <f t="shared" si="1"/>
        <v>51.411918339265007</v>
      </c>
      <c r="F13" s="1938">
        <f t="shared" si="0"/>
        <v>25.911832721646086</v>
      </c>
      <c r="G13" s="1938">
        <f t="shared" si="0"/>
        <v>0.24913238061563014</v>
      </c>
      <c r="H13" s="1938">
        <f>IF(SUM(H26,H84,H94,H102)=0,"NO",SUM(H26,H84,H94,H102))</f>
        <v>1066.2552625011999</v>
      </c>
      <c r="I13" s="1938">
        <f>IF(SUM(I26,I84,I94,I102)=0,"NO",SUM(I26,I84,I94,I102))</f>
        <v>0.53739733690125735</v>
      </c>
      <c r="J13" s="3064">
        <f>IF(SUM(J26,J84,J94,J102)=0,"NO",SUM(J26,J84,J94,J102))</f>
        <v>5.1668702602756297E-3</v>
      </c>
    </row>
    <row r="14" spans="2:11" ht="18" customHeight="1" x14ac:dyDescent="0.2">
      <c r="B14" s="282" t="s">
        <v>290</v>
      </c>
      <c r="C14" s="1938">
        <f>IF(SUM(C28,C86,C96,C103)=0,"NO",SUM(C28,C86,C96,C103))</f>
        <v>14.035723641802829</v>
      </c>
      <c r="D14" s="1934" t="s">
        <v>97</v>
      </c>
      <c r="E14" s="1938">
        <f t="shared" si="1"/>
        <v>73.299999999999983</v>
      </c>
      <c r="F14" s="1938" t="str">
        <f t="shared" si="0"/>
        <v>NA</v>
      </c>
      <c r="G14" s="1938" t="str">
        <f t="shared" si="0"/>
        <v>NA</v>
      </c>
      <c r="H14" s="1938">
        <f>IF(SUM(H28,H86,H96,H103)=0,"NO",SUM(H28,H86,H96,H103))</f>
        <v>1.0288185429441472</v>
      </c>
      <c r="I14" s="1938" t="str">
        <f>IF(SUM(I28,I86,I96,I103)=0,"NO",SUM(I28,I86,I96,I103))</f>
        <v>NO</v>
      </c>
      <c r="J14" s="3064" t="str">
        <f>IF(SUM(J28,J86,J96,J103)=0,"NO",SUM(J28,J86,J96,J103))</f>
        <v>NO</v>
      </c>
    </row>
    <row r="15" spans="2:11" ht="18" customHeight="1" x14ac:dyDescent="0.2">
      <c r="B15" s="282" t="s">
        <v>249</v>
      </c>
      <c r="C15" s="1938">
        <f>IF(SUM(C19,C27,C85,C95,C104)=0,"NO",SUM(C19,C27,C85,C95,C104))</f>
        <v>4621.6913429367223</v>
      </c>
      <c r="D15" s="1938" t="s">
        <v>97</v>
      </c>
      <c r="E15" s="1938">
        <f t="shared" si="1"/>
        <v>67.260000000000005</v>
      </c>
      <c r="F15" s="1938">
        <f t="shared" si="0"/>
        <v>36.258176381014486</v>
      </c>
      <c r="G15" s="1938">
        <f t="shared" si="0"/>
        <v>6.8031162977448565</v>
      </c>
      <c r="H15" s="1938">
        <f>IF(SUM(H19,H27,H85,H95,H104)=0,"NO",SUM(H19,H27,H85,H95,H104))</f>
        <v>310.85495972592395</v>
      </c>
      <c r="I15" s="1938">
        <f>IF(SUM(I19,I27,I85,I95,I104)=0,"NO",SUM(I19,I27,I85,I95,I104))</f>
        <v>0.16757409989080738</v>
      </c>
      <c r="J15" s="3064">
        <f>IF(SUM(J19,J27,J85,J95,J104)=0,"NO",SUM(J19,J27,J85,J95,J104))</f>
        <v>3.1441903698279129E-2</v>
      </c>
    </row>
    <row r="16" spans="2:11" ht="18" customHeight="1" x14ac:dyDescent="0.2">
      <c r="B16" s="1240" t="s">
        <v>291</v>
      </c>
      <c r="C16" s="1938">
        <f>IF(SUM(C17:C19)=0,"NO",SUM(C17:C19))</f>
        <v>95335.978499999954</v>
      </c>
      <c r="D16" s="1934" t="s">
        <v>97</v>
      </c>
      <c r="E16" s="615"/>
      <c r="F16" s="615"/>
      <c r="G16" s="615"/>
      <c r="H16" s="1938">
        <f>IF(SUM(H17:H18)=0,"NO",SUM(H17:H18))</f>
        <v>6630.1937820999965</v>
      </c>
      <c r="I16" s="1938">
        <f>IF(SUM(I17:I19)=0,"NO",SUM(I17:I19))</f>
        <v>2.6468463046296298E-2</v>
      </c>
      <c r="J16" s="3064">
        <f>IF(SUM(J17:J19)=0,"NO",SUM(J17:J19))</f>
        <v>4.8763890954346967E-2</v>
      </c>
    </row>
    <row r="17" spans="2:10" ht="18" customHeight="1" x14ac:dyDescent="0.2">
      <c r="B17" s="282" t="s">
        <v>292</v>
      </c>
      <c r="C17" s="699">
        <v>1996.2775000000001</v>
      </c>
      <c r="D17" s="1934" t="s">
        <v>97</v>
      </c>
      <c r="E17" s="1938">
        <f t="shared" ref="E17:E19" si="2">IFERROR(H17*1000/$C17,"NA")</f>
        <v>66.999999999999986</v>
      </c>
      <c r="F17" s="1938">
        <f t="shared" ref="F17:G19" si="3">IFERROR(I17*1000000/$C17,"NA")</f>
        <v>0.49999999999999994</v>
      </c>
      <c r="G17" s="1938">
        <f t="shared" si="3"/>
        <v>1.9999999999999996</v>
      </c>
      <c r="H17" s="699">
        <v>133.75059249999998</v>
      </c>
      <c r="I17" s="699">
        <v>9.9813875000000002E-4</v>
      </c>
      <c r="J17" s="2921">
        <v>3.9925549999999992E-3</v>
      </c>
    </row>
    <row r="18" spans="2:10" ht="18" customHeight="1" x14ac:dyDescent="0.2">
      <c r="B18" s="282" t="s">
        <v>293</v>
      </c>
      <c r="C18" s="699">
        <v>93339.700999999957</v>
      </c>
      <c r="D18" s="1934" t="s">
        <v>97</v>
      </c>
      <c r="E18" s="1938">
        <f t="shared" si="2"/>
        <v>69.600000000000009</v>
      </c>
      <c r="F18" s="1938">
        <f t="shared" si="3"/>
        <v>0.27287771466394894</v>
      </c>
      <c r="G18" s="1938">
        <f t="shared" si="3"/>
        <v>0.47966016041070225</v>
      </c>
      <c r="H18" s="699">
        <v>6496.4431895999969</v>
      </c>
      <c r="I18" s="699">
        <v>2.5470324296296299E-2</v>
      </c>
      <c r="J18" s="2921">
        <v>4.4771335954346965E-2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1152665.4723500456</v>
      </c>
      <c r="D20" s="1934" t="s">
        <v>97</v>
      </c>
      <c r="E20" s="615"/>
      <c r="F20" s="615"/>
      <c r="G20" s="615"/>
      <c r="H20" s="1938">
        <f>IF(SUM(H21:H24,H26,H28)=0,"NO",SUM(H21:H24,H26,H28))</f>
        <v>78762.871318424935</v>
      </c>
      <c r="I20" s="1938">
        <f>IF(SUM(I21:I24,I26:I28)=0,"NO",SUM(I21:I24,I26:I28))</f>
        <v>7.1635632534231428</v>
      </c>
      <c r="J20" s="3064">
        <f>IF(SUM(J21:J24,J26:J28)=0,"NO",SUM(J21:J24,J26:J28))</f>
        <v>2.555035076130971</v>
      </c>
    </row>
    <row r="21" spans="2:10" ht="18" customHeight="1" x14ac:dyDescent="0.2">
      <c r="B21" s="282" t="s">
        <v>281</v>
      </c>
      <c r="C21" s="1938">
        <f>IF(SUM(C31,C41,C51,C61,C72)=0,"NO",SUM(C31,C41,C51,C61,C72))</f>
        <v>520206.4913740342</v>
      </c>
      <c r="D21" s="1934" t="s">
        <v>97</v>
      </c>
      <c r="E21" s="1938">
        <f t="shared" ref="E21:E23" si="4">IFERROR(H21*1000/$C21,"NA")</f>
        <v>67.399999999999977</v>
      </c>
      <c r="F21" s="1938">
        <f t="shared" ref="F21:G23" si="5">IFERROR(I21*1000000/$C21,"NA")</f>
        <v>7.4650474916827658</v>
      </c>
      <c r="G21" s="1938">
        <f t="shared" si="5"/>
        <v>2.8754381007635001</v>
      </c>
      <c r="H21" s="1938">
        <f t="shared" ref="H21:J23" si="6">IF(SUM(H31,H41,H51,H61,H72)=0,"NO",SUM(H31,H41,H51,H61,H72))</f>
        <v>35061.917518609895</v>
      </c>
      <c r="I21" s="1938">
        <f t="shared" si="6"/>
        <v>3.8833661635888266</v>
      </c>
      <c r="J21" s="3064">
        <f t="shared" si="6"/>
        <v>1.4958215655613971</v>
      </c>
    </row>
    <row r="22" spans="2:10" ht="18" customHeight="1" x14ac:dyDescent="0.2">
      <c r="B22" s="282" t="s">
        <v>282</v>
      </c>
      <c r="C22" s="1938">
        <f>IF(SUM(C32,C42,C52,C62,C73)=0,"NO",SUM(C32,C42,C52,C62,C73))</f>
        <v>611125.54795915983</v>
      </c>
      <c r="D22" s="1934" t="s">
        <v>97</v>
      </c>
      <c r="E22" s="1938">
        <f t="shared" si="4"/>
        <v>69.899999999999991</v>
      </c>
      <c r="F22" s="1938">
        <f t="shared" si="5"/>
        <v>3.921506770468532</v>
      </c>
      <c r="G22" s="1938">
        <f t="shared" si="5"/>
        <v>1.6157947199757865</v>
      </c>
      <c r="H22" s="1938">
        <f t="shared" si="6"/>
        <v>42717.675802345271</v>
      </c>
      <c r="I22" s="1938">
        <f t="shared" si="6"/>
        <v>2.3965329739281369</v>
      </c>
      <c r="J22" s="3064">
        <f t="shared" si="6"/>
        <v>0.98745343363471971</v>
      </c>
    </row>
    <row r="23" spans="2:10" ht="18" customHeight="1" x14ac:dyDescent="0.2">
      <c r="B23" s="282" t="s">
        <v>283</v>
      </c>
      <c r="C23" s="1938">
        <f>IF(SUM(C33,C43,C53,C63,C74)=0,"NO",SUM(C33,C43,C53,C63,C74))</f>
        <v>13534.768000000002</v>
      </c>
      <c r="D23" s="1934" t="s">
        <v>97</v>
      </c>
      <c r="E23" s="1938">
        <f t="shared" si="4"/>
        <v>60.200000000000017</v>
      </c>
      <c r="F23" s="1938">
        <f t="shared" si="5"/>
        <v>31.596362662237421</v>
      </c>
      <c r="G23" s="1938">
        <f t="shared" si="5"/>
        <v>2.7728947748717068</v>
      </c>
      <c r="H23" s="1938">
        <f t="shared" si="6"/>
        <v>814.79303360000029</v>
      </c>
      <c r="I23" s="1938">
        <f t="shared" si="6"/>
        <v>0.42764943827724589</v>
      </c>
      <c r="J23" s="3064">
        <f t="shared" si="6"/>
        <v>3.7530487466300784E-2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3272.673810275629</v>
      </c>
      <c r="D26" s="1934" t="s">
        <v>97</v>
      </c>
      <c r="E26" s="1938">
        <f t="shared" si="7"/>
        <v>51.411918339264993</v>
      </c>
      <c r="F26" s="1938">
        <f t="shared" si="8"/>
        <v>110.56119786695842</v>
      </c>
      <c r="G26" s="1938">
        <f t="shared" si="8"/>
        <v>1.0000000000000002</v>
      </c>
      <c r="H26" s="1938">
        <f t="shared" ref="H26:J29" si="10">IF(SUM(H36,H46,H56,H66,H77)=0,"NO",SUM(H36,H46,H56,H66,H77))</f>
        <v>168.25443868494185</v>
      </c>
      <c r="I26" s="1938">
        <f t="shared" si="10"/>
        <v>0.36183073669189658</v>
      </c>
      <c r="J26" s="3064">
        <f t="shared" si="10"/>
        <v>3.2726738102756294E-3</v>
      </c>
    </row>
    <row r="27" spans="2:10" ht="18" customHeight="1" x14ac:dyDescent="0.2">
      <c r="B27" s="282" t="s">
        <v>249</v>
      </c>
      <c r="C27" s="1938">
        <f t="shared" si="9"/>
        <v>4522.8462518034285</v>
      </c>
      <c r="D27" s="1934" t="s">
        <v>97</v>
      </c>
      <c r="E27" s="1938">
        <f t="shared" si="7"/>
        <v>67.259999999999991</v>
      </c>
      <c r="F27" s="1938">
        <f t="shared" si="8"/>
        <v>20.824042139279559</v>
      </c>
      <c r="G27" s="1938">
        <f t="shared" si="8"/>
        <v>6.8445651111696213</v>
      </c>
      <c r="H27" s="1938">
        <f t="shared" si="10"/>
        <v>304.20663889629856</v>
      </c>
      <c r="I27" s="1938">
        <f t="shared" si="10"/>
        <v>9.4183940937037205E-2</v>
      </c>
      <c r="J27" s="3064">
        <f t="shared" si="10"/>
        <v>3.0956915658278038E-2</v>
      </c>
    </row>
    <row r="28" spans="2:10" ht="18" customHeight="1" x14ac:dyDescent="0.2">
      <c r="B28" s="282" t="s">
        <v>290</v>
      </c>
      <c r="C28" s="1938">
        <f>C29</f>
        <v>3.1449547723873237</v>
      </c>
      <c r="D28" s="1934" t="s">
        <v>97</v>
      </c>
      <c r="E28" s="615"/>
      <c r="F28" s="615"/>
      <c r="G28" s="615"/>
      <c r="H28" s="1938">
        <f>H29</f>
        <v>0.23052518481599077</v>
      </c>
      <c r="I28" s="1938" t="str">
        <f>I29</f>
        <v>NE</v>
      </c>
      <c r="J28" s="3064" t="str">
        <f>J29</f>
        <v>NE</v>
      </c>
    </row>
    <row r="29" spans="2:10" ht="18" customHeight="1" x14ac:dyDescent="0.2">
      <c r="B29" s="3083" t="s">
        <v>297</v>
      </c>
      <c r="C29" s="1938">
        <f t="shared" si="9"/>
        <v>3.1449547723873237</v>
      </c>
      <c r="D29" s="1934" t="s">
        <v>97</v>
      </c>
      <c r="E29" s="3081">
        <f t="shared" ref="E29" si="11">IFERROR(H29*1000/$C29,"NA")</f>
        <v>73.299999999999983</v>
      </c>
      <c r="F29" s="3081" t="str">
        <f>IFERROR(I29*1000000/$C29,"NA")</f>
        <v>NA</v>
      </c>
      <c r="G29" s="3081" t="str">
        <f>IFERROR(J29*1000000/$C29,"NA")</f>
        <v>NA</v>
      </c>
      <c r="H29" s="1938">
        <f t="shared" si="10"/>
        <v>0.23052518481599077</v>
      </c>
      <c r="I29" s="1938" t="str">
        <f>IF(SUM(I39,I49,I59,I69,I80)=0,"NE",SUM(I39,I49,I59,I69,I80))</f>
        <v>NE</v>
      </c>
      <c r="J29" s="3064" t="str">
        <f>IF(SUM(J39,J49,J59,J69,J80)=0,"NE",SUM(J39,J49,J59,J69,J80))</f>
        <v>NE</v>
      </c>
    </row>
    <row r="30" spans="2:10" ht="18" customHeight="1" x14ac:dyDescent="0.2">
      <c r="B30" s="1241" t="s">
        <v>298</v>
      </c>
      <c r="C30" s="1938">
        <f>IF(SUM(C31:C34,C36:C38)=0,"NO",SUM(C31:C34,C36:C38))</f>
        <v>597888.19988854718</v>
      </c>
      <c r="D30" s="1934" t="s">
        <v>97</v>
      </c>
      <c r="E30" s="615"/>
      <c r="F30" s="615"/>
      <c r="G30" s="615"/>
      <c r="H30" s="1938">
        <f>IF(SUM(H31:H34,H36,H38)=0,"NO",SUM(H31:H34,H36,H38))</f>
        <v>40239.475174267835</v>
      </c>
      <c r="I30" s="1938">
        <f>IF(SUM(I31:I34,I36:I38)=0,"NO",SUM(I31:I34,I36:I38))</f>
        <v>4.0461020318029695</v>
      </c>
      <c r="J30" s="3064">
        <f>IF(SUM(J31:J34,J36:J38)=0,"NO",SUM(J31:J34,J36:J38))</f>
        <v>1.4948557555063373</v>
      </c>
    </row>
    <row r="31" spans="2:10" ht="18" customHeight="1" x14ac:dyDescent="0.2">
      <c r="B31" s="282" t="s">
        <v>281</v>
      </c>
      <c r="C31" s="699">
        <v>465004.31839785201</v>
      </c>
      <c r="D31" s="1934" t="s">
        <v>97</v>
      </c>
      <c r="E31" s="1938">
        <f t="shared" ref="E31:E33" si="12">IFERROR(H31*1000/$C31,"NA")</f>
        <v>67.399999999999977</v>
      </c>
      <c r="F31" s="1938">
        <f t="shared" ref="F31:G33" si="13">IFERROR(I31*1000000/$C31,"NA")</f>
        <v>6.6371339625663603</v>
      </c>
      <c r="G31" s="1938">
        <f t="shared" si="13"/>
        <v>2.7979971932421766</v>
      </c>
      <c r="H31" s="699">
        <v>31341.291060015217</v>
      </c>
      <c r="I31" s="699">
        <v>3.086295954378405</v>
      </c>
      <c r="J31" s="2921">
        <v>1.3010807777226814</v>
      </c>
    </row>
    <row r="32" spans="2:10" ht="18" customHeight="1" x14ac:dyDescent="0.2">
      <c r="B32" s="282" t="s">
        <v>282</v>
      </c>
      <c r="C32" s="699">
        <v>117919.9749562798</v>
      </c>
      <c r="D32" s="1934" t="s">
        <v>97</v>
      </c>
      <c r="E32" s="1938">
        <f t="shared" si="12"/>
        <v>69.90000000000002</v>
      </c>
      <c r="F32" s="1938">
        <f t="shared" si="13"/>
        <v>4.0379902881364611</v>
      </c>
      <c r="G32" s="1938">
        <f t="shared" si="13"/>
        <v>1.1566802062917849</v>
      </c>
      <c r="H32" s="699">
        <v>8242.6062494439593</v>
      </c>
      <c r="I32" s="699">
        <v>0.47615971365075255</v>
      </c>
      <c r="J32" s="2921">
        <v>0.13639570095835182</v>
      </c>
    </row>
    <row r="33" spans="2:10" ht="18" customHeight="1" x14ac:dyDescent="0.2">
      <c r="B33" s="282" t="s">
        <v>283</v>
      </c>
      <c r="C33" s="699">
        <v>10823.578165884195</v>
      </c>
      <c r="D33" s="1934" t="s">
        <v>97</v>
      </c>
      <c r="E33" s="1938">
        <f t="shared" si="12"/>
        <v>60.200000000000017</v>
      </c>
      <c r="F33" s="1938">
        <f t="shared" si="13"/>
        <v>35.383650784206104</v>
      </c>
      <c r="G33" s="1938">
        <f t="shared" si="13"/>
        <v>2.9502163981449678</v>
      </c>
      <c r="H33" s="699">
        <v>651.57940558622875</v>
      </c>
      <c r="I33" s="699">
        <v>0.38297771005720438</v>
      </c>
      <c r="J33" s="2921">
        <v>3.1931897791595387E-2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77.773001894997819</v>
      </c>
      <c r="D36" s="1934" t="s">
        <v>97</v>
      </c>
      <c r="E36" s="1938">
        <f t="shared" si="14"/>
        <v>51.411918339265007</v>
      </c>
      <c r="F36" s="1938">
        <f t="shared" si="15"/>
        <v>261</v>
      </c>
      <c r="G36" s="1938">
        <f t="shared" si="15"/>
        <v>1</v>
      </c>
      <c r="H36" s="699">
        <v>3.9984592224251303</v>
      </c>
      <c r="I36" s="699">
        <v>2.0298753494594431E-2</v>
      </c>
      <c r="J36" s="2921">
        <v>7.7773001894997819E-5</v>
      </c>
    </row>
    <row r="37" spans="2:10" ht="18" customHeight="1" x14ac:dyDescent="0.2">
      <c r="B37" s="282" t="s">
        <v>249</v>
      </c>
      <c r="C37" s="699">
        <v>4062.5553666361352</v>
      </c>
      <c r="D37" s="1934" t="s">
        <v>97</v>
      </c>
      <c r="E37" s="1938">
        <f t="shared" si="14"/>
        <v>67.259999999999991</v>
      </c>
      <c r="F37" s="1938">
        <f t="shared" si="15"/>
        <v>19.783090436638158</v>
      </c>
      <c r="G37" s="1938">
        <f t="shared" si="15"/>
        <v>6.2447409923720363</v>
      </c>
      <c r="H37" s="699">
        <v>273.24747395994643</v>
      </c>
      <c r="I37" s="699">
        <v>8.0369900222012347E-2</v>
      </c>
      <c r="J37" s="2921">
        <v>2.536960603181368E-2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242202.46725822569</v>
      </c>
      <c r="D40" s="1934" t="s">
        <v>97</v>
      </c>
      <c r="E40" s="615"/>
      <c r="F40" s="615"/>
      <c r="G40" s="615"/>
      <c r="H40" s="1938">
        <f>IF(SUM(H41:H44,H46,H48)=0,"NO",SUM(H41:H44,H46,H48))</f>
        <v>16750.81846450884</v>
      </c>
      <c r="I40" s="1938">
        <f>IF(SUM(I41:I44,I46:I48)=0,"NO",SUM(I41:I44,I46:I48))</f>
        <v>1.6793622788586187</v>
      </c>
      <c r="J40" s="3064">
        <f>IF(SUM(J41:J44,J46:J48)=0,"NO",SUM(J41:J44,J46:J48))</f>
        <v>0.5018781760005816</v>
      </c>
    </row>
    <row r="41" spans="2:10" ht="18" customHeight="1" x14ac:dyDescent="0.2">
      <c r="B41" s="282" t="s">
        <v>281</v>
      </c>
      <c r="C41" s="699">
        <v>50762.837387188534</v>
      </c>
      <c r="D41" s="1934" t="s">
        <v>97</v>
      </c>
      <c r="E41" s="1938">
        <f t="shared" ref="E41:E43" si="17">IFERROR(H41*1000/$C41,"NA")</f>
        <v>67.40000000000002</v>
      </c>
      <c r="F41" s="1938">
        <f t="shared" ref="F41:G43" si="18">IFERROR(I41*1000000/$C41,"NA")</f>
        <v>10.720189989996646</v>
      </c>
      <c r="G41" s="1938">
        <f t="shared" si="18"/>
        <v>3.7535783007595653</v>
      </c>
      <c r="H41" s="699">
        <v>3421.415239896508</v>
      </c>
      <c r="I41" s="699">
        <v>0.54418726122196603</v>
      </c>
      <c r="J41" s="2921">
        <v>0.19054228490153727</v>
      </c>
    </row>
    <row r="42" spans="2:10" ht="18" customHeight="1" x14ac:dyDescent="0.2">
      <c r="B42" s="282" t="s">
        <v>282</v>
      </c>
      <c r="C42" s="699">
        <v>189018.78338580142</v>
      </c>
      <c r="D42" s="1934" t="s">
        <v>97</v>
      </c>
      <c r="E42" s="1938">
        <f t="shared" si="17"/>
        <v>69.899999999999991</v>
      </c>
      <c r="F42" s="1938">
        <f t="shared" si="18"/>
        <v>5.5737786014879385</v>
      </c>
      <c r="G42" s="1938">
        <f t="shared" si="18"/>
        <v>1.5941361337161679</v>
      </c>
      <c r="H42" s="699">
        <v>13212.412958667517</v>
      </c>
      <c r="I42" s="699">
        <v>1.0535488501150638</v>
      </c>
      <c r="J42" s="2921">
        <v>0.30132167254637532</v>
      </c>
    </row>
    <row r="43" spans="2:10" ht="18" customHeight="1" x14ac:dyDescent="0.2">
      <c r="B43" s="282" t="s">
        <v>283</v>
      </c>
      <c r="C43" s="699">
        <v>1842.7618403755871</v>
      </c>
      <c r="D43" s="1934" t="s">
        <v>97</v>
      </c>
      <c r="E43" s="1938">
        <f t="shared" si="17"/>
        <v>60.199999999999974</v>
      </c>
      <c r="F43" s="1938">
        <f t="shared" si="18"/>
        <v>20.11543473201678</v>
      </c>
      <c r="G43" s="1938">
        <f t="shared" si="18"/>
        <v>2.3384004769892281</v>
      </c>
      <c r="H43" s="699">
        <v>110.9342627906103</v>
      </c>
      <c r="I43" s="699">
        <v>3.7067955526726246E-2</v>
      </c>
      <c r="J43" s="2921">
        <v>4.3091151665118205E-3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117.79375969286475</v>
      </c>
      <c r="D46" s="1934" t="s">
        <v>97</v>
      </c>
      <c r="E46" s="1938">
        <f t="shared" si="19"/>
        <v>51.411918339265</v>
      </c>
      <c r="F46" s="1938">
        <f t="shared" si="20"/>
        <v>261</v>
      </c>
      <c r="G46" s="1938">
        <f t="shared" si="20"/>
        <v>1</v>
      </c>
      <c r="H46" s="699">
        <v>6.0560031542045678</v>
      </c>
      <c r="I46" s="699">
        <v>3.0744171279837699E-2</v>
      </c>
      <c r="J46" s="2921">
        <v>1.1779375969286476E-4</v>
      </c>
    </row>
    <row r="47" spans="2:10" ht="18" customHeight="1" x14ac:dyDescent="0.2">
      <c r="B47" s="282" t="s">
        <v>249</v>
      </c>
      <c r="C47" s="699">
        <v>460.2908851672932</v>
      </c>
      <c r="D47" s="1934" t="s">
        <v>97</v>
      </c>
      <c r="E47" s="1938">
        <f t="shared" si="19"/>
        <v>67.260000000000019</v>
      </c>
      <c r="F47" s="1938">
        <f t="shared" si="20"/>
        <v>30.011545221027202</v>
      </c>
      <c r="G47" s="1938">
        <f t="shared" si="20"/>
        <v>12.13864929007587</v>
      </c>
      <c r="H47" s="699">
        <v>30.959164936352146</v>
      </c>
      <c r="I47" s="699">
        <v>1.3814040715024858E-2</v>
      </c>
      <c r="J47" s="2921">
        <v>5.5873096264643573E-3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309290.41220446141</v>
      </c>
      <c r="D50" s="1934" t="s">
        <v>97</v>
      </c>
      <c r="E50" s="615"/>
      <c r="F50" s="615"/>
      <c r="G50" s="615"/>
      <c r="H50" s="1938">
        <f>IF(SUM(H51:H54,H56,H58)=0,"NO",SUM(H51:H54,H56,H58))</f>
        <v>21551.191036295226</v>
      </c>
      <c r="I50" s="1938">
        <f>IF(SUM(I51:I54,I56:I58)=0,"NO",SUM(I51:I54,I56:I58))</f>
        <v>1.2021737167018196</v>
      </c>
      <c r="J50" s="3064">
        <f>IF(SUM(J51:J54,J56:J58)=0,"NO",SUM(J51:J54,J56:J58))</f>
        <v>0.5551554749432559</v>
      </c>
    </row>
    <row r="51" spans="2:10" ht="18" customHeight="1" x14ac:dyDescent="0.2">
      <c r="B51" s="282" t="s">
        <v>281</v>
      </c>
      <c r="C51" s="699">
        <v>1158.0875449548716</v>
      </c>
      <c r="D51" s="1934" t="s">
        <v>97</v>
      </c>
      <c r="E51" s="1938">
        <f t="shared" ref="E51:E53" si="22">IFERROR(H51*1000/$C51,"NA")</f>
        <v>67.400000000000006</v>
      </c>
      <c r="F51" s="1938">
        <f t="shared" ref="F51:G53" si="23">IFERROR(I51*1000000/$C51,"NA")</f>
        <v>14.642867029003611</v>
      </c>
      <c r="G51" s="1938">
        <f t="shared" si="23"/>
        <v>0.90911370299118932</v>
      </c>
      <c r="H51" s="699">
        <v>78.055100529958352</v>
      </c>
      <c r="I51" s="699">
        <v>1.6957721928719426E-2</v>
      </c>
      <c r="J51" s="2921">
        <v>1.0528332563818988E-3</v>
      </c>
    </row>
    <row r="52" spans="2:10" ht="18" customHeight="1" x14ac:dyDescent="0.2">
      <c r="B52" s="282" t="s">
        <v>282</v>
      </c>
      <c r="C52" s="699">
        <v>304186.78961707855</v>
      </c>
      <c r="D52" s="1934" t="s">
        <v>97</v>
      </c>
      <c r="E52" s="1938">
        <f t="shared" si="22"/>
        <v>69.900000000000034</v>
      </c>
      <c r="F52" s="1938">
        <f t="shared" si="23"/>
        <v>2.8496451514331396</v>
      </c>
      <c r="G52" s="1938">
        <f t="shared" si="23"/>
        <v>1.8072318683596365</v>
      </c>
      <c r="H52" s="699">
        <v>21262.656594233798</v>
      </c>
      <c r="I52" s="699">
        <v>0.86682441016232037</v>
      </c>
      <c r="J52" s="2921">
        <v>0.54973606012999254</v>
      </c>
    </row>
    <row r="53" spans="2:10" ht="18" customHeight="1" x14ac:dyDescent="0.2">
      <c r="B53" s="282" t="s">
        <v>283</v>
      </c>
      <c r="C53" s="699">
        <v>868.42799374021922</v>
      </c>
      <c r="D53" s="1934" t="s">
        <v>97</v>
      </c>
      <c r="E53" s="1938">
        <f t="shared" si="22"/>
        <v>60.2</v>
      </c>
      <c r="F53" s="1938">
        <f t="shared" si="23"/>
        <v>8.7557894818275752</v>
      </c>
      <c r="G53" s="1938">
        <f t="shared" si="23"/>
        <v>1.4848375656799842</v>
      </c>
      <c r="H53" s="699">
        <v>52.2793652231612</v>
      </c>
      <c r="I53" s="699">
        <v>7.603772693315235E-3</v>
      </c>
      <c r="J53" s="2921">
        <v>1.2894745081935795E-3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3077.1070486877666</v>
      </c>
      <c r="D56" s="1934" t="s">
        <v>97</v>
      </c>
      <c r="E56" s="1938">
        <f t="shared" si="24"/>
        <v>51.411918339264986</v>
      </c>
      <c r="F56" s="1938">
        <f t="shared" si="25"/>
        <v>101.00000000000001</v>
      </c>
      <c r="G56" s="1938">
        <f t="shared" si="25"/>
        <v>1.0000000000000002</v>
      </c>
      <c r="H56" s="699">
        <v>158.19997630831216</v>
      </c>
      <c r="I56" s="699">
        <v>0.31078781191746446</v>
      </c>
      <c r="J56" s="2921">
        <v>3.0771070486877669E-3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3284.3929988111904</v>
      </c>
      <c r="D60" s="1934" t="s">
        <v>97</v>
      </c>
      <c r="E60" s="615"/>
      <c r="F60" s="615"/>
      <c r="G60" s="615"/>
      <c r="H60" s="1938">
        <f>IF(SUM(H61:H64,H66,H68)=0,"NO",SUM(H61:H64,H66,H68))</f>
        <v>221.38664335303133</v>
      </c>
      <c r="I60" s="1938">
        <f>IF(SUM(I61:I64,I66:I68)=0,"NO",SUM(I61:I64,I66:I68))</f>
        <v>0.23592522605973557</v>
      </c>
      <c r="J60" s="3064">
        <f>IF(SUM(J61:J64,J66:J68)=0,"NO",SUM(J61:J64,J66:J68))</f>
        <v>3.1456696807964741E-3</v>
      </c>
    </row>
    <row r="61" spans="2:10" ht="18" customHeight="1" x14ac:dyDescent="0.2">
      <c r="B61" s="282" t="s">
        <v>281</v>
      </c>
      <c r="C61" s="699">
        <v>3281.2480440388031</v>
      </c>
      <c r="D61" s="1934" t="s">
        <v>97</v>
      </c>
      <c r="E61" s="1938">
        <f t="shared" ref="E61:E63" si="27">IFERROR(H61*1000/$C61,"NA")</f>
        <v>67.400000000000006</v>
      </c>
      <c r="F61" s="1938">
        <f t="shared" ref="F61:G63" si="28">IFERROR(I61*1000000/$C61,"NA")</f>
        <v>71.901064135749195</v>
      </c>
      <c r="G61" s="1938">
        <f t="shared" si="28"/>
        <v>0.95868085514332246</v>
      </c>
      <c r="H61" s="699">
        <v>221.15611816821533</v>
      </c>
      <c r="I61" s="699">
        <v>0.23592522605973557</v>
      </c>
      <c r="J61" s="2921">
        <v>3.1456696807964741E-3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3.1449547723873237</v>
      </c>
      <c r="D68" s="1934" t="s">
        <v>97</v>
      </c>
      <c r="E68" s="615"/>
      <c r="F68" s="615"/>
      <c r="G68" s="615"/>
      <c r="H68" s="1938">
        <f>H69</f>
        <v>0.23052518481599077</v>
      </c>
      <c r="I68" s="1938" t="str">
        <f>I69</f>
        <v>NE</v>
      </c>
      <c r="J68" s="3064" t="str">
        <f>J69</f>
        <v>NE</v>
      </c>
    </row>
    <row r="69" spans="2:10" ht="18" customHeight="1" x14ac:dyDescent="0.2">
      <c r="B69" s="3083" t="s">
        <v>297</v>
      </c>
      <c r="C69" s="699">
        <v>3.1449547723873237</v>
      </c>
      <c r="D69" s="1934" t="s">
        <v>97</v>
      </c>
      <c r="E69" s="3081">
        <f t="shared" ref="E69" si="31">IFERROR(H69*1000/$C69,"NA")</f>
        <v>73.299999999999983</v>
      </c>
      <c r="F69" s="3081" t="str">
        <f>IFERROR(I69*1000000/$C69,"NA")</f>
        <v>NA</v>
      </c>
      <c r="G69" s="3081" t="str">
        <f>IFERROR(J69*1000000/$C69,"NA")</f>
        <v>NA</v>
      </c>
      <c r="H69" s="699">
        <v>0.23052518481599077</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50106.869999999995</v>
      </c>
      <c r="D81" s="1934" t="s">
        <v>97</v>
      </c>
      <c r="E81" s="615"/>
      <c r="F81" s="615"/>
      <c r="G81" s="615"/>
      <c r="H81" s="1938">
        <f>IF(SUM(H82:H84,H86)=0,"NO",SUM(H82:H84,H86))</f>
        <v>3502.4768915000004</v>
      </c>
      <c r="I81" s="1938">
        <f>IF(SUM(I82:I86)=0,"NO",SUM(I82:I86))</f>
        <v>0.20042025999999999</v>
      </c>
      <c r="J81" s="3064">
        <f>IF(SUM(J82:J86)=0,"NO",SUM(J82:J86))</f>
        <v>1.5031519499999999</v>
      </c>
    </row>
    <row r="82" spans="2:10" ht="18" customHeight="1" x14ac:dyDescent="0.2">
      <c r="B82" s="282" t="s">
        <v>243</v>
      </c>
      <c r="C82" s="699">
        <v>50106.869999999995</v>
      </c>
      <c r="D82" s="1934" t="s">
        <v>97</v>
      </c>
      <c r="E82" s="1938">
        <f t="shared" ref="E82:E85" si="37">IFERROR(H82*1000/$C82,"NA")</f>
        <v>69.900133285116411</v>
      </c>
      <c r="F82" s="1938">
        <f t="shared" ref="F82:G85" si="38">IFERROR(I82*1000000/$C82,"NA")</f>
        <v>3.9998559079822789</v>
      </c>
      <c r="G82" s="1938">
        <f t="shared" si="38"/>
        <v>29.998919309867091</v>
      </c>
      <c r="H82" s="699">
        <v>3502.4768915000004</v>
      </c>
      <c r="I82" s="699">
        <v>0.20042025999999999</v>
      </c>
      <c r="J82" s="2921">
        <v>1.5031519499999999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27811.810547228593</v>
      </c>
      <c r="D88" s="1934" t="s">
        <v>97</v>
      </c>
      <c r="E88" s="615"/>
      <c r="F88" s="615"/>
      <c r="G88" s="615"/>
      <c r="H88" s="1938">
        <f>IF(SUM(H89:H92,H94,H96)=0,"NO",SUM(H89:H92,H94,H96))</f>
        <v>1925.7359042543642</v>
      </c>
      <c r="I88" s="3299">
        <f>IF(SUM(I89:I92,I94:I96)=0,"NE",SUM(I89:I92,I94:I96))</f>
        <v>4.3525785916937645</v>
      </c>
      <c r="J88" s="3300">
        <f>IF(SUM(J89:J92,J94:J96)=0,"NE",SUM(J89:J92,J94:J96))</f>
        <v>4.311859780486E-2</v>
      </c>
    </row>
    <row r="89" spans="2:10" ht="18" customHeight="1" x14ac:dyDescent="0.2">
      <c r="B89" s="282" t="s">
        <v>306</v>
      </c>
      <c r="C89" s="699">
        <v>5401.6234581829585</v>
      </c>
      <c r="D89" s="1934" t="s">
        <v>97</v>
      </c>
      <c r="E89" s="1938">
        <f t="shared" ref="E89:E91" si="40">IFERROR(H89*1000/$C89,"NA")</f>
        <v>73.600000000000009</v>
      </c>
      <c r="F89" s="1938">
        <f t="shared" ref="F89:G91" si="41">IFERROR(I89*1000000/$C89,"NA")</f>
        <v>7.0000000000000018</v>
      </c>
      <c r="G89" s="1938">
        <f t="shared" si="41"/>
        <v>2.0000000000000004</v>
      </c>
      <c r="H89" s="699">
        <v>397.55948652226579</v>
      </c>
      <c r="I89" s="4435">
        <v>3.781136420728072E-2</v>
      </c>
      <c r="J89" s="4436">
        <v>1.080324691636592E-2</v>
      </c>
    </row>
    <row r="90" spans="2:10" ht="18" customHeight="1" x14ac:dyDescent="0.2">
      <c r="B90" s="282" t="s">
        <v>307</v>
      </c>
      <c r="C90" s="699">
        <v>10677.067041743237</v>
      </c>
      <c r="D90" s="1934" t="s">
        <v>97</v>
      </c>
      <c r="E90" s="1938">
        <f t="shared" si="40"/>
        <v>69.90000000000002</v>
      </c>
      <c r="F90" s="1938">
        <f t="shared" si="41"/>
        <v>7.0000000000000009</v>
      </c>
      <c r="G90" s="1938">
        <f t="shared" si="41"/>
        <v>2.0000000000000004</v>
      </c>
      <c r="H90" s="699">
        <v>746.32698621785244</v>
      </c>
      <c r="I90" s="4435">
        <v>7.4739469292202668E-2</v>
      </c>
      <c r="J90" s="4436">
        <v>2.1354134083486478E-2</v>
      </c>
    </row>
    <row r="91" spans="2:10" ht="18" customHeight="1" x14ac:dyDescent="0.2">
      <c r="B91" s="282" t="s">
        <v>281</v>
      </c>
      <c r="C91" s="699">
        <v>11473.52870944954</v>
      </c>
      <c r="D91" s="1934" t="s">
        <v>97</v>
      </c>
      <c r="E91" s="1938">
        <f t="shared" si="40"/>
        <v>67.400000000000006</v>
      </c>
      <c r="F91" s="1938">
        <f t="shared" si="41"/>
        <v>360</v>
      </c>
      <c r="G91" s="1938">
        <f t="shared" si="41"/>
        <v>0.89999999999999991</v>
      </c>
      <c r="H91" s="699">
        <v>773.31583501689909</v>
      </c>
      <c r="I91" s="4435">
        <v>4.1304703354018342</v>
      </c>
      <c r="J91" s="4436">
        <v>1.0326175838504585E-2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163.90905000000001</v>
      </c>
      <c r="D94" s="1934" t="s">
        <v>97</v>
      </c>
      <c r="E94" s="1938">
        <f t="shared" ref="E94:E95" si="44">IFERROR(H94*1000/$C94,"NA")</f>
        <v>51.411918339265</v>
      </c>
      <c r="F94" s="1938">
        <f t="shared" si="43"/>
        <v>242.99999999999997</v>
      </c>
      <c r="G94" s="1938">
        <f t="shared" si="43"/>
        <v>1</v>
      </c>
      <c r="H94" s="699">
        <v>8.4268786936665041</v>
      </c>
      <c r="I94" s="3301">
        <v>3.982989915E-2</v>
      </c>
      <c r="J94" s="3302">
        <v>1.6390905E-4</v>
      </c>
    </row>
    <row r="95" spans="2:10" ht="18" customHeight="1" x14ac:dyDescent="0.2">
      <c r="B95" s="282" t="s">
        <v>249</v>
      </c>
      <c r="C95" s="699">
        <v>94.226383300603786</v>
      </c>
      <c r="D95" s="1934" t="s">
        <v>97</v>
      </c>
      <c r="E95" s="1938">
        <f t="shared" si="44"/>
        <v>67.259999999999991</v>
      </c>
      <c r="F95" s="1938">
        <f t="shared" si="43"/>
        <v>739.99999999999989</v>
      </c>
      <c r="G95" s="1938">
        <f t="shared" si="43"/>
        <v>4.9999999999999991</v>
      </c>
      <c r="H95" s="699">
        <v>6.3376665407986099</v>
      </c>
      <c r="I95" s="3301">
        <v>6.972752364244679E-2</v>
      </c>
      <c r="J95" s="3302">
        <v>4.7113191650301889E-4</v>
      </c>
    </row>
    <row r="96" spans="2:10" ht="18" customHeight="1" x14ac:dyDescent="0.2">
      <c r="B96" s="282" t="s">
        <v>299</v>
      </c>
      <c r="C96" s="1938">
        <f>IF(SUM(C97:C98)=0,"NO",SUM(C97:C98))</f>
        <v>1.4559045522535352</v>
      </c>
      <c r="D96" s="1934" t="s">
        <v>97</v>
      </c>
      <c r="E96" s="615"/>
      <c r="F96" s="615"/>
      <c r="G96" s="615"/>
      <c r="H96" s="1938">
        <f>IF(SUM(H97:H98)=0,"NO",SUM(H97:H98))</f>
        <v>0.10671780368018413</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1.4559045522535352</v>
      </c>
      <c r="D98" s="1934" t="s">
        <v>97</v>
      </c>
      <c r="E98" s="3081">
        <f t="shared" ref="E98" si="46">IFERROR(H98*1000/$C98,"NA")</f>
        <v>73.3</v>
      </c>
      <c r="F98" s="3081" t="str">
        <f>IFERROR(I98*1000000/$C98,"NA")</f>
        <v>NA</v>
      </c>
      <c r="G98" s="3081" t="str">
        <f>IFERROR(J98*1000000/$C98,"NA")</f>
        <v>NA</v>
      </c>
      <c r="H98" s="699">
        <v>0.10671780368018413</v>
      </c>
      <c r="I98" s="3301" t="s">
        <v>221</v>
      </c>
      <c r="J98" s="3302" t="s">
        <v>221</v>
      </c>
    </row>
    <row r="99" spans="2:10" ht="18" customHeight="1" x14ac:dyDescent="0.2">
      <c r="B99" s="1240" t="s">
        <v>310</v>
      </c>
      <c r="C99" s="1938">
        <f>IF(SUM(C100:C104)=0,"NO",SUM(C100:C104))</f>
        <v>17848.159823382695</v>
      </c>
      <c r="D99" s="1934" t="s">
        <v>97</v>
      </c>
      <c r="E99" s="615"/>
      <c r="F99" s="615"/>
      <c r="G99" s="615"/>
      <c r="H99" s="1938">
        <f>IF(SUM(H100:H103)=0,"NO",SUM(H100:H103))</f>
        <v>926.07057441013319</v>
      </c>
      <c r="I99" s="1938">
        <f>IF(SUM(I100:I104)=0,"NO",SUM(I100:I104))</f>
        <v>0.16596094893232644</v>
      </c>
      <c r="J99" s="3064">
        <f>IF(SUM(J100:J104)=0,"NO",SUM(J100:J104))</f>
        <v>1.8503899737446401E-3</v>
      </c>
    </row>
    <row r="100" spans="2:10" ht="18" customHeight="1" x14ac:dyDescent="0.2">
      <c r="B100" s="282" t="s">
        <v>243</v>
      </c>
      <c r="C100" s="1938">
        <f>IF(SUM(C106,C113:C116)=0,"NO",SUM(C106,C113:C116))</f>
        <v>531.23225123284624</v>
      </c>
      <c r="D100" s="1934" t="s">
        <v>97</v>
      </c>
      <c r="E100" s="3081">
        <f t="shared" ref="E100:E104" si="47">IFERROR(H100*1000/$C100,"NA")</f>
        <v>67.400000000000006</v>
      </c>
      <c r="F100" s="3081">
        <f t="shared" ref="F100:G104" si="48">IFERROR(I100*1000000/$C100,"NA")</f>
        <v>49.999999999999993</v>
      </c>
      <c r="G100" s="3081">
        <f t="shared" si="48"/>
        <v>0.2</v>
      </c>
      <c r="H100" s="1938">
        <f>IF(SUM(H106,H113:H116)=0,"NO",SUM(H106,H113:H116))</f>
        <v>35.805053733093835</v>
      </c>
      <c r="I100" s="1938">
        <f>IF(SUM(I106,I113:I116)=0,"NO",SUM(I106,I113:I116))</f>
        <v>2.6561612561642307E-2</v>
      </c>
      <c r="J100" s="3064">
        <f>IF(SUM(J106,J113:J116)=0,"NO",SUM(J106,J113:J116))</f>
        <v>1.0624645024656925E-4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17302.873999999996</v>
      </c>
      <c r="D102" s="1934" t="s">
        <v>97</v>
      </c>
      <c r="E102" s="3081">
        <f t="shared" si="47"/>
        <v>51.411918339265007</v>
      </c>
      <c r="F102" s="3081">
        <f t="shared" si="48"/>
        <v>7.8447488584474918</v>
      </c>
      <c r="G102" s="3081">
        <f t="shared" si="48"/>
        <v>0.10000000000000002</v>
      </c>
      <c r="H102" s="1938">
        <f t="shared" si="49"/>
        <v>889.57394512259145</v>
      </c>
      <c r="I102" s="1938">
        <f t="shared" si="49"/>
        <v>0.13573670105936075</v>
      </c>
      <c r="J102" s="3064">
        <f t="shared" si="49"/>
        <v>1.7302874E-3</v>
      </c>
    </row>
    <row r="103" spans="2:10" ht="18" customHeight="1" x14ac:dyDescent="0.2">
      <c r="B103" s="282" t="s">
        <v>290</v>
      </c>
      <c r="C103" s="1938">
        <f>IF(SUM(C109,C120)=0,"NO",SUM(C109,C120))</f>
        <v>9.4348643171619688</v>
      </c>
      <c r="D103" s="1934" t="s">
        <v>97</v>
      </c>
      <c r="E103" s="3081">
        <f t="shared" si="47"/>
        <v>73.3</v>
      </c>
      <c r="F103" s="3081" t="str">
        <f t="shared" si="48"/>
        <v>NA</v>
      </c>
      <c r="G103" s="3081" t="str">
        <f t="shared" si="48"/>
        <v>NA</v>
      </c>
      <c r="H103" s="1938">
        <f t="shared" si="49"/>
        <v>0.69157555444797236</v>
      </c>
      <c r="I103" s="1938" t="str">
        <f t="shared" si="49"/>
        <v>NO</v>
      </c>
      <c r="J103" s="3064" t="str">
        <f t="shared" si="49"/>
        <v>NO</v>
      </c>
    </row>
    <row r="104" spans="2:10" ht="18" customHeight="1" x14ac:dyDescent="0.2">
      <c r="B104" s="282" t="s">
        <v>249</v>
      </c>
      <c r="C104" s="1938">
        <f>IF(SUM(C110,C121)=0,"NO",SUM(C110,C121))</f>
        <v>4.6187078326902711</v>
      </c>
      <c r="D104" s="1934" t="s">
        <v>97</v>
      </c>
      <c r="E104" s="3081">
        <f t="shared" si="47"/>
        <v>67.260000000000005</v>
      </c>
      <c r="F104" s="3081">
        <f t="shared" si="48"/>
        <v>793.00000000000011</v>
      </c>
      <c r="G104" s="3081">
        <f t="shared" si="48"/>
        <v>3.0000000000000004</v>
      </c>
      <c r="H104" s="1938">
        <f t="shared" si="49"/>
        <v>0.31065428882674767</v>
      </c>
      <c r="I104" s="1938">
        <f t="shared" si="49"/>
        <v>3.6626353113233855E-3</v>
      </c>
      <c r="J104" s="3064">
        <f t="shared" si="49"/>
        <v>1.3856123498070815E-5</v>
      </c>
    </row>
    <row r="105" spans="2:10" ht="18" customHeight="1" x14ac:dyDescent="0.2">
      <c r="B105" s="1243" t="s">
        <v>311</v>
      </c>
      <c r="C105" s="1938">
        <f>IF(SUM(C106:C110)=0,"NO",SUM(C106:C110))</f>
        <v>17302.873999999996</v>
      </c>
      <c r="D105" s="1934" t="s">
        <v>97</v>
      </c>
      <c r="E105" s="615"/>
      <c r="F105" s="615"/>
      <c r="G105" s="615"/>
      <c r="H105" s="1938">
        <f>IF(SUM(H106:H109)=0,"NO",SUM(H106:H109))</f>
        <v>889.57394512259145</v>
      </c>
      <c r="I105" s="1938">
        <f>IF(SUM(I106:I110)=0,"NO",SUM(I106:I110))</f>
        <v>0.13573670105936075</v>
      </c>
      <c r="J105" s="3064">
        <f>IF(SUM(J106:J110)=0,"NO",SUM(J106:J110))</f>
        <v>1.7302874E-3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17302.873999999996</v>
      </c>
      <c r="D108" s="1934" t="s">
        <v>97</v>
      </c>
      <c r="E108" s="3081">
        <f t="shared" si="50"/>
        <v>51.411918339265007</v>
      </c>
      <c r="F108" s="3081">
        <f t="shared" si="51"/>
        <v>7.8447488584474918</v>
      </c>
      <c r="G108" s="3081">
        <f t="shared" si="51"/>
        <v>0.10000000000000002</v>
      </c>
      <c r="H108" s="699">
        <v>889.57394512259145</v>
      </c>
      <c r="I108" s="699">
        <v>0.13573670105936075</v>
      </c>
      <c r="J108" s="2921">
        <v>1.7302874E-3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545.28582338269848</v>
      </c>
      <c r="D111" s="1934" t="s">
        <v>97</v>
      </c>
      <c r="E111" s="615"/>
      <c r="F111" s="615"/>
      <c r="G111" s="615"/>
      <c r="H111" s="1938">
        <f>H112</f>
        <v>36.496629287541808</v>
      </c>
      <c r="I111" s="1938">
        <f>I112</f>
        <v>3.0224247872965692E-2</v>
      </c>
      <c r="J111" s="3064">
        <f>J112</f>
        <v>1.2010257374464006E-4</v>
      </c>
    </row>
    <row r="112" spans="2:10" ht="18" customHeight="1" x14ac:dyDescent="0.2">
      <c r="B112" s="3068" t="s">
        <v>313</v>
      </c>
      <c r="C112" s="3077">
        <f>IF(SUM(C113:C116,C118:C121)=0,"NO",SUM(C113:C116,C118:C121))</f>
        <v>545.28582338269848</v>
      </c>
      <c r="D112" s="3077" t="s">
        <v>97</v>
      </c>
      <c r="E112" s="615"/>
      <c r="F112" s="615"/>
      <c r="G112" s="615"/>
      <c r="H112" s="3077">
        <f>IF(SUM(H113:H116,H118:H120)=0,"NO",SUM(H113:H116,H118:H120))</f>
        <v>36.496629287541808</v>
      </c>
      <c r="I112" s="3077">
        <f>IF(SUM(I113:I116,I118:I121)=0,"NO",SUM(I113:I116,I118:I121))</f>
        <v>3.0224247872965692E-2</v>
      </c>
      <c r="J112" s="3078">
        <f>IF(SUM(J113:J116,J118:J121)=0,"NO",SUM(J113:J116,J118:J121))</f>
        <v>1.2010257374464006E-4</v>
      </c>
    </row>
    <row r="113" spans="2:10" ht="18" customHeight="1" x14ac:dyDescent="0.2">
      <c r="B113" s="282" t="s">
        <v>281</v>
      </c>
      <c r="C113" s="699">
        <v>531.23225123284624</v>
      </c>
      <c r="D113" s="1938" t="s">
        <v>97</v>
      </c>
      <c r="E113" s="1938">
        <f t="shared" ref="E113:E115" si="52">IFERROR(H113*1000/$C113,"NA")</f>
        <v>67.400000000000006</v>
      </c>
      <c r="F113" s="1938">
        <f t="shared" ref="F113:G115" si="53">IFERROR(I113*1000000/$C113,"NA")</f>
        <v>49.999999999999993</v>
      </c>
      <c r="G113" s="1938">
        <f t="shared" si="53"/>
        <v>0.2</v>
      </c>
      <c r="H113" s="699">
        <v>35.805053733093835</v>
      </c>
      <c r="I113" s="699">
        <v>2.6561612561642307E-2</v>
      </c>
      <c r="J113" s="2921">
        <v>1.0624645024656925E-4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9.4348643171619688</v>
      </c>
      <c r="D120" s="1934" t="s">
        <v>97</v>
      </c>
      <c r="E120" s="3081">
        <f t="shared" si="54"/>
        <v>73.3</v>
      </c>
      <c r="F120" s="3081" t="str">
        <f t="shared" si="55"/>
        <v>NA</v>
      </c>
      <c r="G120" s="3081" t="str">
        <f t="shared" si="55"/>
        <v>NA</v>
      </c>
      <c r="H120" s="699">
        <v>0.69157555444797236</v>
      </c>
      <c r="I120" s="699" t="s">
        <v>221</v>
      </c>
      <c r="J120" s="2921" t="s">
        <v>221</v>
      </c>
    </row>
    <row r="121" spans="2:10" ht="18" customHeight="1" thickBot="1" x14ac:dyDescent="0.25">
      <c r="B121" s="2210" t="s">
        <v>249</v>
      </c>
      <c r="C121" s="1562">
        <v>4.6187078326902711</v>
      </c>
      <c r="D121" s="2891" t="s">
        <v>97</v>
      </c>
      <c r="E121" s="3082">
        <f t="shared" si="54"/>
        <v>67.260000000000005</v>
      </c>
      <c r="F121" s="3082">
        <f t="shared" si="55"/>
        <v>793.00000000000011</v>
      </c>
      <c r="G121" s="3082">
        <f t="shared" si="55"/>
        <v>3.0000000000000004</v>
      </c>
      <c r="H121" s="1562">
        <v>0.31065428882674767</v>
      </c>
      <c r="I121" s="1562">
        <v>3.6626353113233855E-3</v>
      </c>
      <c r="J121" s="1564">
        <v>1.3856123498070815E-5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topLeftCell="H1"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396018.23697549134</v>
      </c>
      <c r="D10" s="3087" t="s">
        <v>97</v>
      </c>
      <c r="E10" s="2161"/>
      <c r="F10" s="2161"/>
      <c r="G10" s="2161"/>
      <c r="H10" s="3087">
        <f>IF(SUM(H11:H15)=0,"NO",SUM(H11:H15))</f>
        <v>20231.839330714669</v>
      </c>
      <c r="I10" s="3087">
        <f>IF(SUM(I11:I16)=0,"NO",SUM(I11:I16))</f>
        <v>34.998389462861184</v>
      </c>
      <c r="J10" s="3087">
        <f>IF(SUM(J11:J16)=0,"NO",SUM(J11:J16))</f>
        <v>0.62435107694328618</v>
      </c>
      <c r="K10" s="416" t="str">
        <f>IF(SUM(K11:K16)=0,"NO",SUM(K11:K16))</f>
        <v>NO</v>
      </c>
    </row>
    <row r="11" spans="2:12" ht="18" customHeight="1" x14ac:dyDescent="0.2">
      <c r="B11" s="282" t="s">
        <v>243</v>
      </c>
      <c r="C11" s="1938">
        <f>IF(SUM(C18,C39,C60)=0,"NO",SUM(C18,C39,C60))</f>
        <v>136460.95570760922</v>
      </c>
      <c r="D11" s="3087" t="s">
        <v>97</v>
      </c>
      <c r="E11" s="1938">
        <f t="shared" ref="E11:E16" si="0">IFERROR(H11*1000/$C11,"NA")</f>
        <v>68.432013163581018</v>
      </c>
      <c r="F11" s="1938">
        <f t="shared" ref="F11:G16" si="1">IFERROR(I11*1000000/$C11,"NA")</f>
        <v>8.7971181298195322</v>
      </c>
      <c r="G11" s="1938">
        <f t="shared" si="1"/>
        <v>2.5097713249796394</v>
      </c>
      <c r="H11" s="1938">
        <f>IF(SUM(H18,H39,H60)=0,"NO",SUM(H18,H39,H60))</f>
        <v>9338.2979172979612</v>
      </c>
      <c r="I11" s="1938">
        <f>IF(SUM(I18,I39,I60)=0,"NO",SUM(I18,I39,I60))</f>
        <v>1.2004631474679091</v>
      </c>
      <c r="J11" s="1938">
        <f>IF(SUM(J18,J39,J60)=0,"NO",SUM(J18,J39,J60))</f>
        <v>0.34248579361427428</v>
      </c>
      <c r="K11" s="3064" t="str">
        <f>IF(SUM(K18,K39,K60)=0,"NO",SUM(K18,K39,K60))</f>
        <v>NO</v>
      </c>
    </row>
    <row r="12" spans="2:12" ht="18" customHeight="1" x14ac:dyDescent="0.2">
      <c r="B12" s="282" t="s">
        <v>245</v>
      </c>
      <c r="C12" s="1938" t="str">
        <f t="shared" ref="C12:C16" si="2">IF(SUM(C19,C40,C61)=0,"NO",SUM(C19,C40,C61))</f>
        <v>NO</v>
      </c>
      <c r="D12" s="3087" t="s">
        <v>97</v>
      </c>
      <c r="E12" s="1938" t="str">
        <f t="shared" si="0"/>
        <v>NA</v>
      </c>
      <c r="F12" s="1938" t="str">
        <f t="shared" si="1"/>
        <v>NA</v>
      </c>
      <c r="G12" s="1938" t="str">
        <f t="shared" si="1"/>
        <v>NA</v>
      </c>
      <c r="H12" s="1938" t="str">
        <f t="shared" ref="H12:K16" si="3">IF(SUM(H19,H40,H61)=0,"NO",SUM(H19,H40,H61))</f>
        <v>NO</v>
      </c>
      <c r="I12" s="1938" t="str">
        <f t="shared" si="3"/>
        <v>NO</v>
      </c>
      <c r="J12" s="1938" t="str">
        <f t="shared" si="3"/>
        <v>NO</v>
      </c>
      <c r="K12" s="3064" t="str">
        <f t="shared" si="3"/>
        <v>NO</v>
      </c>
    </row>
    <row r="13" spans="2:12" ht="18" customHeight="1" x14ac:dyDescent="0.2">
      <c r="B13" s="282" t="s">
        <v>246</v>
      </c>
      <c r="C13" s="1938">
        <f t="shared" si="2"/>
        <v>211880.78685683775</v>
      </c>
      <c r="D13" s="3087" t="s">
        <v>97</v>
      </c>
      <c r="E13" s="1938">
        <f t="shared" si="0"/>
        <v>51.413540486694473</v>
      </c>
      <c r="F13" s="1938">
        <f t="shared" si="1"/>
        <v>0.90909090909090917</v>
      </c>
      <c r="G13" s="1938">
        <f t="shared" si="1"/>
        <v>0.90909090909090917</v>
      </c>
      <c r="H13" s="1938">
        <f t="shared" si="3"/>
        <v>10893.541413416709</v>
      </c>
      <c r="I13" s="1938">
        <f t="shared" si="3"/>
        <v>0.19261889714257976</v>
      </c>
      <c r="J13" s="1938">
        <f t="shared" si="3"/>
        <v>0.19261889714257979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47676.494411044325</v>
      </c>
      <c r="D16" s="3087" t="s">
        <v>97</v>
      </c>
      <c r="E16" s="1938">
        <f t="shared" si="0"/>
        <v>77.395881623489544</v>
      </c>
      <c r="F16" s="1938">
        <f t="shared" si="1"/>
        <v>704.86112356587148</v>
      </c>
      <c r="G16" s="1938">
        <f t="shared" si="1"/>
        <v>1.8719158631293598</v>
      </c>
      <c r="H16" s="1938">
        <f t="shared" si="3"/>
        <v>3689.9643176601471</v>
      </c>
      <c r="I16" s="1938">
        <f t="shared" si="3"/>
        <v>33.605307418250696</v>
      </c>
      <c r="J16" s="1938">
        <f t="shared" si="3"/>
        <v>8.9246386186432131E-2</v>
      </c>
      <c r="K16" s="3064" t="str">
        <f t="shared" si="3"/>
        <v>NO</v>
      </c>
    </row>
    <row r="17" spans="2:11" ht="18" customHeight="1" x14ac:dyDescent="0.2">
      <c r="B17" s="1240" t="s">
        <v>322</v>
      </c>
      <c r="C17" s="3087">
        <f>IF(SUM(C18:C23)=0,"NO",SUM(C18:C23))</f>
        <v>82375.257728202734</v>
      </c>
      <c r="D17" s="3087" t="s">
        <v>97</v>
      </c>
      <c r="E17" s="615"/>
      <c r="F17" s="615"/>
      <c r="G17" s="615"/>
      <c r="H17" s="3057">
        <f>IF(SUM(H18:H22)=0,"NO",SUM(H18:H22))</f>
        <v>4902.0552312556611</v>
      </c>
      <c r="I17" s="3057">
        <f>IF(SUM(I18:I23)=0,"NO",SUM(I18:I23))</f>
        <v>0.1017729667525928</v>
      </c>
      <c r="J17" s="3088">
        <f>IF(SUM(J18:J23)=0,"NO",SUM(J18:J23))</f>
        <v>8.6968252772283525E-2</v>
      </c>
      <c r="K17" s="3064" t="str">
        <f>IF(SUM(K18:K23)=0,"NO",SUM(K18:K23))</f>
        <v>NO</v>
      </c>
    </row>
    <row r="18" spans="2:11" ht="18" customHeight="1" x14ac:dyDescent="0.2">
      <c r="B18" s="282" t="s">
        <v>243</v>
      </c>
      <c r="C18" s="3087">
        <f>IF(SUM(C26,C33)=0,"NO",SUM(C26,C33))</f>
        <v>38178.565020034708</v>
      </c>
      <c r="D18" s="3087" t="s">
        <v>97</v>
      </c>
      <c r="E18" s="1938">
        <f t="shared" ref="E18" si="4">IFERROR(H18*1000/$C18,"NA")</f>
        <v>69.581025679213923</v>
      </c>
      <c r="F18" s="1938">
        <f t="shared" ref="F18:G23" si="5">IFERROR(I18*1000000/$C18,"NA")</f>
        <v>1.5735537813635261</v>
      </c>
      <c r="G18" s="1938">
        <f t="shared" si="5"/>
        <v>1.2003192686627624</v>
      </c>
      <c r="H18" s="3087">
        <f>IF(SUM(H26,H33)=0,"NO",SUM(H26,H33))</f>
        <v>2656.5037130545738</v>
      </c>
      <c r="I18" s="3087">
        <f>IF(SUM(I26,I33)=0,"NO",SUM(I26,I33))</f>
        <v>6.0076025354308865E-2</v>
      </c>
      <c r="J18" s="3087">
        <f>IF(SUM(J26,J33)=0,"NO",SUM(J26,J33))</f>
        <v>4.5826467243441783E-2</v>
      </c>
      <c r="K18" s="3064" t="str">
        <f>IF(SUM(K26,K33)=0,"NO",SUM(K26,K33))</f>
        <v>NO</v>
      </c>
    </row>
    <row r="19" spans="2:11" ht="18" customHeight="1" x14ac:dyDescent="0.2">
      <c r="B19" s="282" t="s">
        <v>245</v>
      </c>
      <c r="C19" s="3087" t="str">
        <f t="shared" ref="C19:C21" si="6">IF(SUM(C27,C34)=0,"NO",SUM(C27,C34))</f>
        <v>NO</v>
      </c>
      <c r="D19" s="3087" t="s">
        <v>97</v>
      </c>
      <c r="E19" s="1938" t="str">
        <f t="shared" ref="E19:E23" si="7">IFERROR(H19*1000/$C19,"NA")</f>
        <v>NA</v>
      </c>
      <c r="F19" s="1938" t="str">
        <f t="shared" si="5"/>
        <v>NA</v>
      </c>
      <c r="G19" s="1938" t="str">
        <f t="shared" si="5"/>
        <v>NA</v>
      </c>
      <c r="H19" s="3087" t="str">
        <f t="shared" ref="H19:K21" si="8">IF(SUM(H27,H34)=0,"NO",SUM(H27,H34))</f>
        <v>NO</v>
      </c>
      <c r="I19" s="3087" t="str">
        <f t="shared" si="8"/>
        <v>NO</v>
      </c>
      <c r="J19" s="3087" t="str">
        <f t="shared" si="8"/>
        <v>NO</v>
      </c>
      <c r="K19" s="3064" t="str">
        <f t="shared" si="8"/>
        <v>NO</v>
      </c>
    </row>
    <row r="20" spans="2:11" ht="18" customHeight="1" x14ac:dyDescent="0.2">
      <c r="B20" s="282" t="s">
        <v>246</v>
      </c>
      <c r="C20" s="3087">
        <f t="shared" si="6"/>
        <v>43670.959747335379</v>
      </c>
      <c r="D20" s="3087" t="s">
        <v>97</v>
      </c>
      <c r="E20" s="1938">
        <f t="shared" si="7"/>
        <v>51.419788600778368</v>
      </c>
      <c r="F20" s="1938">
        <f t="shared" si="5"/>
        <v>0.90909090909090917</v>
      </c>
      <c r="G20" s="1938">
        <f t="shared" si="5"/>
        <v>0.90909090909090917</v>
      </c>
      <c r="H20" s="3087">
        <f t="shared" si="8"/>
        <v>2245.5515182010868</v>
      </c>
      <c r="I20" s="3087">
        <f t="shared" si="8"/>
        <v>3.9700872497577623E-2</v>
      </c>
      <c r="J20" s="3087">
        <f t="shared" si="8"/>
        <v>3.9700872497577623E-2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525.73296083266132</v>
      </c>
      <c r="D23" s="3087" t="s">
        <v>97</v>
      </c>
      <c r="E23" s="1938">
        <f t="shared" si="7"/>
        <v>65.658370013015229</v>
      </c>
      <c r="F23" s="1938">
        <f t="shared" si="5"/>
        <v>3.7967353189058728</v>
      </c>
      <c r="G23" s="1938">
        <f t="shared" si="5"/>
        <v>2.7407698177835087</v>
      </c>
      <c r="H23" s="3087">
        <f>IF(SUM(H31,H37)=0,"NO",SUM(H31,H37))</f>
        <v>34.518769270388916</v>
      </c>
      <c r="I23" s="3087">
        <f>IF(SUM(I31,I37)=0,"NO",SUM(I31,I37))</f>
        <v>1.996068900706323E-3</v>
      </c>
      <c r="J23" s="3087">
        <f>IF(SUM(J31,J37)=0,"NO",SUM(J31,J37))</f>
        <v>1.4409130312641179E-3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82375.257728202734</v>
      </c>
      <c r="D25" s="3057" t="s">
        <v>97</v>
      </c>
      <c r="E25" s="615"/>
      <c r="F25" s="615"/>
      <c r="G25" s="615"/>
      <c r="H25" s="3057">
        <f>IF(SUM(H26:H30)=0,"NO",SUM(H26:H30))</f>
        <v>4902.0552312556611</v>
      </c>
      <c r="I25" s="3057">
        <f>IF(SUM(I26:I31)=0,"NO",SUM(I26:I31))</f>
        <v>0.1017729667525928</v>
      </c>
      <c r="J25" s="3088">
        <f>IF(SUM(J26:J31)=0,"NO",SUM(J26:J31))</f>
        <v>8.6968252772283525E-2</v>
      </c>
      <c r="K25" s="3064" t="str">
        <f>IF(SUM(K26:K31)=0,"NO",SUM(K26:K31))</f>
        <v>NO</v>
      </c>
    </row>
    <row r="26" spans="2:11" ht="18" customHeight="1" x14ac:dyDescent="0.2">
      <c r="B26" s="282" t="s">
        <v>243</v>
      </c>
      <c r="C26" s="699">
        <v>38178.565020034708</v>
      </c>
      <c r="D26" s="3057" t="s">
        <v>97</v>
      </c>
      <c r="E26" s="1938">
        <f t="shared" ref="E26:E31" si="9">IFERROR(H26*1000/$C26,"NA")</f>
        <v>69.581025679213923</v>
      </c>
      <c r="F26" s="1938">
        <f t="shared" ref="F26:G31" si="10">IFERROR(I26*1000000/$C26,"NA")</f>
        <v>1.5735537813635261</v>
      </c>
      <c r="G26" s="1938">
        <f t="shared" si="10"/>
        <v>1.2003192686627624</v>
      </c>
      <c r="H26" s="699">
        <v>2656.5037130545738</v>
      </c>
      <c r="I26" s="699">
        <v>6.0076025354308865E-2</v>
      </c>
      <c r="J26" s="699">
        <v>4.5826467243441783E-2</v>
      </c>
      <c r="K26" s="2921" t="s">
        <v>199</v>
      </c>
    </row>
    <row r="27" spans="2:11" ht="18" customHeight="1" x14ac:dyDescent="0.2">
      <c r="B27" s="282" t="s">
        <v>245</v>
      </c>
      <c r="C27" s="699" t="s">
        <v>199</v>
      </c>
      <c r="D27" s="3057" t="s">
        <v>97</v>
      </c>
      <c r="E27" s="1938" t="str">
        <f t="shared" si="9"/>
        <v>NA</v>
      </c>
      <c r="F27" s="1938" t="str">
        <f t="shared" si="10"/>
        <v>NA</v>
      </c>
      <c r="G27" s="1938" t="str">
        <f t="shared" si="10"/>
        <v>NA</v>
      </c>
      <c r="H27" s="699" t="s">
        <v>199</v>
      </c>
      <c r="I27" s="699" t="s">
        <v>199</v>
      </c>
      <c r="J27" s="699" t="s">
        <v>199</v>
      </c>
      <c r="K27" s="2921" t="s">
        <v>199</v>
      </c>
    </row>
    <row r="28" spans="2:11" ht="18" customHeight="1" x14ac:dyDescent="0.2">
      <c r="B28" s="282" t="s">
        <v>246</v>
      </c>
      <c r="C28" s="699">
        <v>43670.959747335379</v>
      </c>
      <c r="D28" s="3057" t="s">
        <v>97</v>
      </c>
      <c r="E28" s="1938">
        <f t="shared" si="9"/>
        <v>51.419788600778368</v>
      </c>
      <c r="F28" s="1938">
        <f t="shared" si="10"/>
        <v>0.90909090909090917</v>
      </c>
      <c r="G28" s="1938">
        <f t="shared" si="10"/>
        <v>0.90909090909090917</v>
      </c>
      <c r="H28" s="699">
        <v>2245.5515182010868</v>
      </c>
      <c r="I28" s="699">
        <v>3.9700872497577623E-2</v>
      </c>
      <c r="J28" s="699">
        <v>3.9700872497577623E-2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525.73296083266132</v>
      </c>
      <c r="D31" s="3057" t="s">
        <v>97</v>
      </c>
      <c r="E31" s="1938">
        <f t="shared" si="9"/>
        <v>65.658370013015229</v>
      </c>
      <c r="F31" s="1938">
        <f t="shared" si="10"/>
        <v>3.7967353189058728</v>
      </c>
      <c r="G31" s="1938">
        <f t="shared" si="10"/>
        <v>2.7407698177835087</v>
      </c>
      <c r="H31" s="699">
        <v>34.518769270388916</v>
      </c>
      <c r="I31" s="699">
        <v>1.996068900706323E-3</v>
      </c>
      <c r="J31" s="699">
        <v>1.4409130312641179E-3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232969.43005786196</v>
      </c>
      <c r="D38" s="3057" t="s">
        <v>97</v>
      </c>
      <c r="E38" s="615"/>
      <c r="F38" s="615"/>
      <c r="G38" s="615"/>
      <c r="H38" s="1938">
        <f>IF(SUM(H39:H43)=0,"NO",SUM(H39:H43))</f>
        <v>9745.8168435421849</v>
      </c>
      <c r="I38" s="1938">
        <f>IF(SUM(I39:I44)=0,"NO",SUM(I39:I44))</f>
        <v>34.36635616302862</v>
      </c>
      <c r="J38" s="1938">
        <f>IF(SUM(J39:J44)=0,"NO",SUM(J39:J44))</f>
        <v>0.25070801389393377</v>
      </c>
      <c r="K38" s="3064" t="str">
        <f>IF(SUM(K39:K44)=0,"NO",SUM(K39:K44))</f>
        <v>NO</v>
      </c>
    </row>
    <row r="39" spans="2:11" ht="18" customHeight="1" x14ac:dyDescent="0.2">
      <c r="B39" s="282" t="s">
        <v>243</v>
      </c>
      <c r="C39" s="3087">
        <f>IF(SUM(C47,C54)=0,"NO",SUM(C47,C54))</f>
        <v>18779.413498147955</v>
      </c>
      <c r="D39" s="3057" t="s">
        <v>97</v>
      </c>
      <c r="E39" s="1938">
        <f t="shared" ref="E39:E44" si="13">IFERROR(H39*1000/$C39,"NA")</f>
        <v>61.663709599610129</v>
      </c>
      <c r="F39" s="1938">
        <f t="shared" ref="F39:G44" si="14">IFERROR(I39*1000000/$C39,"NA")</f>
        <v>32.545795184580314</v>
      </c>
      <c r="G39" s="1938">
        <f t="shared" si="14"/>
        <v>0.58833959103619327</v>
      </c>
      <c r="H39" s="1938">
        <f>IF(SUM(H47,H54)=0,"NO",SUM(H47,H54))</f>
        <v>1158.008300400794</v>
      </c>
      <c r="I39" s="1938">
        <f>IF(SUM(I47,I54)=0,"NO",SUM(I47,I54))</f>
        <v>0.61119094539726615</v>
      </c>
      <c r="J39" s="1938">
        <f>IF(SUM(J47,J54)=0,"NO",SUM(J47,J54))</f>
        <v>1.1048672457399935E-2</v>
      </c>
      <c r="K39" s="3064" t="str">
        <f>IF(SUM(K47,K54)=0,"NO",SUM(K47,K54))</f>
        <v>NO</v>
      </c>
    </row>
    <row r="40" spans="2:11" ht="18" customHeight="1" x14ac:dyDescent="0.2">
      <c r="B40" s="282" t="s">
        <v>245</v>
      </c>
      <c r="C40" s="3087" t="str">
        <f t="shared" ref="C40:C42" si="15">IF(SUM(C48,C55)=0,"NO",SUM(C48,C55))</f>
        <v>NO</v>
      </c>
      <c r="D40" s="3057" t="s">
        <v>97</v>
      </c>
      <c r="E40" s="1938" t="str">
        <f t="shared" si="13"/>
        <v>NA</v>
      </c>
      <c r="F40" s="1938" t="str">
        <f t="shared" si="14"/>
        <v>NA</v>
      </c>
      <c r="G40" s="1938" t="str">
        <f t="shared" si="14"/>
        <v>NA</v>
      </c>
      <c r="H40" s="1938" t="str">
        <f t="shared" ref="H40:K42" si="16">IF(SUM(H48,H55)=0,"NO",SUM(H48,H55))</f>
        <v>NO</v>
      </c>
      <c r="I40" s="1938" t="str">
        <f t="shared" si="16"/>
        <v>NO</v>
      </c>
      <c r="J40" s="1938" t="str">
        <f t="shared" si="16"/>
        <v>NO</v>
      </c>
      <c r="K40" s="3064" t="str">
        <f t="shared" si="16"/>
        <v>NO</v>
      </c>
    </row>
    <row r="41" spans="2:11" ht="18" customHeight="1" x14ac:dyDescent="0.2">
      <c r="B41" s="282" t="s">
        <v>246</v>
      </c>
      <c r="C41" s="3087">
        <f t="shared" si="15"/>
        <v>167039.25510950235</v>
      </c>
      <c r="D41" s="3057" t="s">
        <v>97</v>
      </c>
      <c r="E41" s="1938">
        <f t="shared" si="13"/>
        <v>51.411918339265014</v>
      </c>
      <c r="F41" s="1938">
        <f t="shared" si="14"/>
        <v>0.90909090909090928</v>
      </c>
      <c r="G41" s="1938">
        <f t="shared" si="14"/>
        <v>0.90909090909090928</v>
      </c>
      <c r="H41" s="1938">
        <f t="shared" si="16"/>
        <v>8587.8085431413911</v>
      </c>
      <c r="I41" s="1938">
        <f t="shared" si="16"/>
        <v>0.15185386828136579</v>
      </c>
      <c r="J41" s="1938">
        <f t="shared" si="16"/>
        <v>0.15185386828136582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47150.761450211663</v>
      </c>
      <c r="D44" s="3057" t="s">
        <v>97</v>
      </c>
      <c r="E44" s="1938">
        <f t="shared" si="13"/>
        <v>77.526755368514799</v>
      </c>
      <c r="F44" s="1938">
        <f t="shared" si="14"/>
        <v>712.67802079576268</v>
      </c>
      <c r="G44" s="1938">
        <f t="shared" si="14"/>
        <v>1.8622281052212752</v>
      </c>
      <c r="H44" s="1938">
        <f>IF(SUM(H52,H58)=0,"NO",SUM(H52,H58))</f>
        <v>3655.4455483897582</v>
      </c>
      <c r="I44" s="1938">
        <f>IF(SUM(I52,I58)=0,"NO",SUM(I52,I58))</f>
        <v>33.603311349349987</v>
      </c>
      <c r="J44" s="1938">
        <f>IF(SUM(J52,J58)=0,"NO",SUM(J52,J58))</f>
        <v>8.7805473155168012E-2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229635.24631256529</v>
      </c>
      <c r="D46" s="3057" t="s">
        <v>97</v>
      </c>
      <c r="E46" s="615"/>
      <c r="F46" s="615"/>
      <c r="G46" s="615"/>
      <c r="H46" s="1938">
        <f>IF(SUM(H47:H51)=0,"NO",SUM(H47:H51))</f>
        <v>9519.3414395792115</v>
      </c>
      <c r="I46" s="1938">
        <f>IF(SUM(I47:I52)=0,"NO",SUM(I47:I52))</f>
        <v>33.75010945802709</v>
      </c>
      <c r="J46" s="1938">
        <f>IF(SUM(J47:J52)=0,"NO",SUM(J47:J52))</f>
        <v>0.24924214271384831</v>
      </c>
      <c r="K46" s="3064" t="str">
        <f>IF(SUM(K47:K52)=0,"NO",SUM(K47:K52))</f>
        <v>NO</v>
      </c>
    </row>
    <row r="47" spans="2:11" ht="18" customHeight="1" x14ac:dyDescent="0.2">
      <c r="B47" s="282" t="s">
        <v>243</v>
      </c>
      <c r="C47" s="699">
        <v>15473.968379365801</v>
      </c>
      <c r="D47" s="3057" t="s">
        <v>97</v>
      </c>
      <c r="E47" s="1938">
        <f t="shared" ref="E47:E52" si="17">IFERROR(H47*1000/$C47,"NA")</f>
        <v>60.199999999999989</v>
      </c>
      <c r="F47" s="1938">
        <f t="shared" ref="F47:G52" si="18">IFERROR(I47*1000000/$C47,"NA")</f>
        <v>1.0476190476190477</v>
      </c>
      <c r="G47" s="1938">
        <f t="shared" si="18"/>
        <v>0.62857142857142845</v>
      </c>
      <c r="H47" s="699">
        <v>931.53289643782102</v>
      </c>
      <c r="I47" s="699">
        <v>1.621082401647846E-2</v>
      </c>
      <c r="J47" s="699">
        <v>9.7264944098870727E-3</v>
      </c>
      <c r="K47" s="2921" t="s">
        <v>199</v>
      </c>
    </row>
    <row r="48" spans="2:11" ht="18" customHeight="1" x14ac:dyDescent="0.2">
      <c r="B48" s="282" t="s">
        <v>245</v>
      </c>
      <c r="C48" s="699" t="s">
        <v>199</v>
      </c>
      <c r="D48" s="3057" t="s">
        <v>97</v>
      </c>
      <c r="E48" s="1938" t="str">
        <f t="shared" si="17"/>
        <v>NA</v>
      </c>
      <c r="F48" s="1938" t="str">
        <f t="shared" si="18"/>
        <v>NA</v>
      </c>
      <c r="G48" s="1938" t="str">
        <f t="shared" si="18"/>
        <v>NA</v>
      </c>
      <c r="H48" s="699" t="s">
        <v>199</v>
      </c>
      <c r="I48" s="699" t="s">
        <v>199</v>
      </c>
      <c r="J48" s="699" t="s">
        <v>199</v>
      </c>
      <c r="K48" s="2921" t="s">
        <v>199</v>
      </c>
    </row>
    <row r="49" spans="2:11" ht="18" customHeight="1" x14ac:dyDescent="0.2">
      <c r="B49" s="282" t="s">
        <v>246</v>
      </c>
      <c r="C49" s="699">
        <v>167039.25510950235</v>
      </c>
      <c r="D49" s="3057" t="s">
        <v>97</v>
      </c>
      <c r="E49" s="1938">
        <f t="shared" si="17"/>
        <v>51.411918339265014</v>
      </c>
      <c r="F49" s="1938">
        <f t="shared" si="18"/>
        <v>0.90909090909090928</v>
      </c>
      <c r="G49" s="1938">
        <f t="shared" si="18"/>
        <v>0.90909090909090928</v>
      </c>
      <c r="H49" s="699">
        <v>8587.8085431413911</v>
      </c>
      <c r="I49" s="699">
        <v>0.15185386828136579</v>
      </c>
      <c r="J49" s="699">
        <v>0.15185386828136582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47122.022823697145</v>
      </c>
      <c r="D52" s="3057" t="s">
        <v>97</v>
      </c>
      <c r="E52" s="1938">
        <f t="shared" si="17"/>
        <v>77.533016823995098</v>
      </c>
      <c r="F52" s="1938">
        <f t="shared" si="18"/>
        <v>712.66135775566067</v>
      </c>
      <c r="G52" s="1938">
        <f t="shared" si="18"/>
        <v>1.8603144510704512</v>
      </c>
      <c r="H52" s="699">
        <v>3653.5125883703918</v>
      </c>
      <c r="I52" s="699">
        <v>33.582044765729243</v>
      </c>
      <c r="J52" s="699">
        <v>8.766178002259542E-2</v>
      </c>
      <c r="K52" s="2921" t="s">
        <v>199</v>
      </c>
    </row>
    <row r="53" spans="2:11" ht="18" customHeight="1" x14ac:dyDescent="0.2">
      <c r="B53" s="1241" t="s">
        <v>329</v>
      </c>
      <c r="C53" s="3057">
        <f>IF(SUM(C54:C58)=0,"NO",SUM(C54:C58))</f>
        <v>3334.183745296672</v>
      </c>
      <c r="D53" s="3057" t="s">
        <v>97</v>
      </c>
      <c r="E53" s="615"/>
      <c r="F53" s="615"/>
      <c r="G53" s="615"/>
      <c r="H53" s="3057">
        <f>IF(SUM(H54:H57)=0,"NO",SUM(H54:H57))</f>
        <v>226.4754039629731</v>
      </c>
      <c r="I53" s="3057">
        <f>IF(SUM(I54:I58)=0,"NO",SUM(I54:I58))</f>
        <v>0.61624670500153045</v>
      </c>
      <c r="J53" s="3057">
        <f>IF(SUM(J54:J58)=0,"NO",SUM(J54:J58))</f>
        <v>1.4658711800854482E-3</v>
      </c>
      <c r="K53" s="2931"/>
    </row>
    <row r="54" spans="2:11" ht="18" customHeight="1" x14ac:dyDescent="0.2">
      <c r="B54" s="282" t="s">
        <v>243</v>
      </c>
      <c r="C54" s="699">
        <v>3305.4451187821546</v>
      </c>
      <c r="D54" s="3057" t="s">
        <v>97</v>
      </c>
      <c r="E54" s="1938">
        <f t="shared" ref="E54:E58" si="19">IFERROR(H54*1000/$C54,"NA")</f>
        <v>68.515856662117216</v>
      </c>
      <c r="F54" s="1938">
        <f t="shared" ref="F54:G58" si="20">IFERROR(I54*1000000/$C54,"NA")</f>
        <v>179.99999999999997</v>
      </c>
      <c r="G54" s="1938">
        <f t="shared" si="20"/>
        <v>0.4</v>
      </c>
      <c r="H54" s="699">
        <v>226.4754039629731</v>
      </c>
      <c r="I54" s="699">
        <v>0.59498012138078771</v>
      </c>
      <c r="J54" s="699">
        <v>1.3221780475128619E-3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28.738626514517254</v>
      </c>
      <c r="D58" s="3057" t="s">
        <v>97</v>
      </c>
      <c r="E58" s="1938">
        <f t="shared" si="19"/>
        <v>67.260000000000005</v>
      </c>
      <c r="F58" s="1938">
        <f t="shared" si="20"/>
        <v>739.99999999999989</v>
      </c>
      <c r="G58" s="1938">
        <f t="shared" si="20"/>
        <v>4.9999999999999991</v>
      </c>
      <c r="H58" s="699">
        <v>1.9329600193664305</v>
      </c>
      <c r="I58" s="699">
        <v>2.1266583620742765E-2</v>
      </c>
      <c r="J58" s="699">
        <v>1.4369313257258626E-4</v>
      </c>
      <c r="K58" s="2931"/>
    </row>
    <row r="59" spans="2:11" ht="18" customHeight="1" x14ac:dyDescent="0.2">
      <c r="B59" s="1244" t="s">
        <v>330</v>
      </c>
      <c r="C59" s="3057">
        <f>IF(SUM(C60:C65)=0,"NO",SUM(C60:C65))</f>
        <v>80673.549189426558</v>
      </c>
      <c r="D59" s="3057" t="s">
        <v>97</v>
      </c>
      <c r="E59" s="615"/>
      <c r="F59" s="615"/>
      <c r="G59" s="615"/>
      <c r="H59" s="1938">
        <f>IF(SUM(H60:H64)=0,"NO",SUM(H60:H64))</f>
        <v>5583.9672559168239</v>
      </c>
      <c r="I59" s="1938">
        <f>IF(SUM(I60:I65)=0,"NO",SUM(I60:I65))</f>
        <v>0.53026033307997045</v>
      </c>
      <c r="J59" s="1938">
        <f>IF(SUM(J60:J65)=0,"NO",SUM(J60:J65))</f>
        <v>0.28667481027706893</v>
      </c>
      <c r="K59" s="3064" t="str">
        <f>IF(SUM(K60:K65)=0,"NO",SUM(K60:K65))</f>
        <v>NO</v>
      </c>
    </row>
    <row r="60" spans="2:11" ht="18" customHeight="1" x14ac:dyDescent="0.2">
      <c r="B60" s="282" t="s">
        <v>243</v>
      </c>
      <c r="C60" s="1938">
        <f>IF(SUM(C67,C74:C77,C84:C87)=0,"NO",SUM(C67,C74:C77,C84:C87))</f>
        <v>79502.977189426558</v>
      </c>
      <c r="D60" s="3057" t="s">
        <v>97</v>
      </c>
      <c r="E60" s="1938">
        <f t="shared" ref="E60:E65" si="21">IFERROR(H60*1000/$C60,"NA")</f>
        <v>69.478981783052348</v>
      </c>
      <c r="F60" s="1938">
        <f t="shared" ref="F60:G65" si="22">IFERROR(I60*1000000/$C60,"NA")</f>
        <v>6.6563064104562129</v>
      </c>
      <c r="G60" s="1938">
        <f t="shared" si="22"/>
        <v>3.592452308206354</v>
      </c>
      <c r="H60" s="1938">
        <f>IF(SUM(H67,H74:H77,H84:H87)=0,"NO",SUM(H67,H74:H77,H84:H87))</f>
        <v>5523.7859038425941</v>
      </c>
      <c r="I60" s="1938">
        <f>IF(SUM(I67,I74:I77,I84:I87)=0,"NO",SUM(I67,I74:I77,I84:I87))</f>
        <v>0.52919617671633412</v>
      </c>
      <c r="J60" s="1938">
        <f>IF(SUM(J67,J74:J77,J84:J87)=0,"NO",SUM(J67,J74:J77,J84:J87))</f>
        <v>0.28561065391343254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1170.5720000000001</v>
      </c>
      <c r="D62" s="3057" t="s">
        <v>97</v>
      </c>
      <c r="E62" s="1938">
        <f t="shared" si="21"/>
        <v>51.411918339265</v>
      </c>
      <c r="F62" s="1938">
        <f t="shared" si="22"/>
        <v>0.90909090909090884</v>
      </c>
      <c r="G62" s="1938">
        <f t="shared" si="22"/>
        <v>0.90909090909090884</v>
      </c>
      <c r="H62" s="1938">
        <f>IF(SUM(H69,H79,H89)=0,"NO",SUM(H69,H79,H89))</f>
        <v>60.181352074230112</v>
      </c>
      <c r="I62" s="1938">
        <f>IF(SUM(I69,I79,I89)=0,"NO",SUM(I69,I79,I89))</f>
        <v>1.0641563636363636E-3</v>
      </c>
      <c r="J62" s="1938">
        <f>IF(SUM(J69,J79,J89)=0,"NO",SUM(J69,J79,J89))</f>
        <v>1.0641563636363636E-3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80673.549189426558</v>
      </c>
      <c r="D66" s="3057" t="s">
        <v>97</v>
      </c>
      <c r="E66" s="2135"/>
      <c r="F66" s="2135"/>
      <c r="G66" s="2135"/>
      <c r="H66" s="1938">
        <f>IF(SUM(H67:H71)=0,"NO",SUM(H67:H71))</f>
        <v>5583.9672559168239</v>
      </c>
      <c r="I66" s="1938">
        <f>IF(SUM(I67:I72)=0,"NO",SUM(I67:I72))</f>
        <v>0.53026033307997045</v>
      </c>
      <c r="J66" s="1938">
        <f>IF(SUM(J67:J72)=0,"NO",SUM(J67:J72))</f>
        <v>0.28667481027706893</v>
      </c>
      <c r="K66" s="3064" t="str">
        <f>IF(SUM(K67:K72)=0,"NO",SUM(K67:K72))</f>
        <v>NO</v>
      </c>
    </row>
    <row r="67" spans="2:11" ht="18" customHeight="1" x14ac:dyDescent="0.2">
      <c r="B67" s="282" t="s">
        <v>243</v>
      </c>
      <c r="C67" s="699">
        <v>79502.977189426558</v>
      </c>
      <c r="D67" s="3057" t="s">
        <v>97</v>
      </c>
      <c r="E67" s="1938">
        <f t="shared" ref="E67:E72" si="23">IFERROR(H67*1000/$C67,"NA")</f>
        <v>69.478981783052348</v>
      </c>
      <c r="F67" s="1938">
        <f t="shared" ref="F67:G72" si="24">IFERROR(I67*1000000/$C67,"NA")</f>
        <v>6.6563064104562129</v>
      </c>
      <c r="G67" s="1938">
        <f t="shared" si="24"/>
        <v>3.592452308206354</v>
      </c>
      <c r="H67" s="699">
        <v>5523.7859038425941</v>
      </c>
      <c r="I67" s="699">
        <v>0.52919617671633412</v>
      </c>
      <c r="J67" s="699">
        <v>0.28561065391343254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1170.5720000000001</v>
      </c>
      <c r="D69" s="3057" t="s">
        <v>97</v>
      </c>
      <c r="E69" s="1938">
        <f t="shared" si="23"/>
        <v>51.411918339265</v>
      </c>
      <c r="F69" s="1938">
        <f t="shared" si="24"/>
        <v>0.90909090909090884</v>
      </c>
      <c r="G69" s="1938">
        <f t="shared" si="24"/>
        <v>0.90909090909090884</v>
      </c>
      <c r="H69" s="699">
        <v>60.181352074230112</v>
      </c>
      <c r="I69" s="699">
        <v>1.0641563636363636E-3</v>
      </c>
      <c r="J69" s="699">
        <v>1.0641563636363636E-3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13472.3169262022</v>
      </c>
      <c r="D93" s="3057" t="s">
        <v>97</v>
      </c>
      <c r="E93" s="2160"/>
      <c r="F93" s="2160"/>
      <c r="G93" s="2160"/>
      <c r="H93" s="3087">
        <f>IF(SUM(H94:H98)=0,"NO",SUM(H94:H98))</f>
        <v>939.0695601726469</v>
      </c>
      <c r="I93" s="3087">
        <f>IF(SUM(I94:I99)=0,"NO",SUM(I94:I99))</f>
        <v>3.7666066172992396E-2</v>
      </c>
      <c r="J93" s="3091">
        <f>IF(SUM(J94:J99)=0,"NO",SUM(J94:J99))</f>
        <v>2.6308181757647427E-2</v>
      </c>
      <c r="K93" s="442" t="str">
        <f>IF(SUM(K94:K99)=0,"NO",SUM(K94:K99))</f>
        <v>NO</v>
      </c>
    </row>
    <row r="94" spans="2:11" ht="18" customHeight="1" x14ac:dyDescent="0.2">
      <c r="B94" s="282" t="s">
        <v>243</v>
      </c>
      <c r="C94" s="1938">
        <f>IF(SUM(C102,C110)=0,"NO",SUM(C102,C110))</f>
        <v>13471.908640524289</v>
      </c>
      <c r="D94" s="1938" t="s">
        <v>97</v>
      </c>
      <c r="E94" s="1938">
        <f t="shared" ref="E94:E99" si="32">IFERROR(H94*1000/$C94,"NA")</f>
        <v>69.705754784282817</v>
      </c>
      <c r="F94" s="1938">
        <f t="shared" ref="F94:G99" si="33">IFERROR(I94*1000000/$C94,"NA")</f>
        <v>2.7718637816530798</v>
      </c>
      <c r="G94" s="1938">
        <f t="shared" si="33"/>
        <v>1.9527267889481399</v>
      </c>
      <c r="H94" s="1938">
        <f t="shared" ref="H94:K97" si="34">IF(SUM(H102,H110)=0,"NO",SUM(H102,H110))</f>
        <v>939.0695601726469</v>
      </c>
      <c r="I94" s="1938">
        <f t="shared" si="34"/>
        <v>3.7342295630408459E-2</v>
      </c>
      <c r="J94" s="1938">
        <f t="shared" si="34"/>
        <v>2.6306956900613694E-2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0.40828567791165099</v>
      </c>
      <c r="D99" s="1938" t="s">
        <v>97</v>
      </c>
      <c r="E99" s="1938">
        <f t="shared" si="32"/>
        <v>67.260000000000005</v>
      </c>
      <c r="F99" s="1938">
        <f t="shared" si="33"/>
        <v>793</v>
      </c>
      <c r="G99" s="1938">
        <f t="shared" si="33"/>
        <v>3.0000000000000004</v>
      </c>
      <c r="H99" s="1938">
        <f>IF(SUM(H107,H114)=0,"NO",SUM(H107,H114))</f>
        <v>2.7461294696337644E-2</v>
      </c>
      <c r="I99" s="1938">
        <f>IF(SUM(I107,I114)=0,"NO",SUM(I107,I114))</f>
        <v>3.2377054258393923E-4</v>
      </c>
      <c r="J99" s="1938">
        <f>IF(SUM(J107,J114)=0,"NO",SUM(J107,J114))</f>
        <v>1.2248570337349531E-6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13472.3169262022</v>
      </c>
      <c r="D108" s="1938" t="s">
        <v>97</v>
      </c>
      <c r="E108" s="1957"/>
      <c r="F108" s="1957"/>
      <c r="G108" s="1957"/>
      <c r="H108" s="3057">
        <f>H109</f>
        <v>939.0695601726469</v>
      </c>
      <c r="I108" s="3057">
        <f>I109</f>
        <v>3.7666066172992396E-2</v>
      </c>
      <c r="J108" s="3088">
        <f>J109</f>
        <v>2.6308181757647427E-2</v>
      </c>
      <c r="K108" s="2931"/>
    </row>
    <row r="109" spans="2:11" ht="18" customHeight="1" x14ac:dyDescent="0.2">
      <c r="B109" s="3103" t="s">
        <v>339</v>
      </c>
      <c r="C109" s="3077">
        <f>IF(SUM(C110:C114)=0,"NO",SUM(C110:C114))</f>
        <v>13472.3169262022</v>
      </c>
      <c r="D109" s="1938" t="s">
        <v>97</v>
      </c>
      <c r="E109" s="615"/>
      <c r="F109" s="615"/>
      <c r="G109" s="615"/>
      <c r="H109" s="3077">
        <f>IF(SUM(H110:H113)=0,"NO",SUM(H110:H113))</f>
        <v>939.0695601726469</v>
      </c>
      <c r="I109" s="3077">
        <f>IF(SUM(I110:I114)=0,"NO",SUM(I110:I114))</f>
        <v>3.7666066172992396E-2</v>
      </c>
      <c r="J109" s="3077">
        <f>IF(SUM(J110:J114)=0,"NO",SUM(J110:J114))</f>
        <v>2.6308181757647427E-2</v>
      </c>
      <c r="K109" s="2931"/>
    </row>
    <row r="110" spans="2:11" ht="18" customHeight="1" x14ac:dyDescent="0.2">
      <c r="B110" s="282" t="s">
        <v>243</v>
      </c>
      <c r="C110" s="699">
        <v>13471.908640524289</v>
      </c>
      <c r="D110" s="1938" t="s">
        <v>97</v>
      </c>
      <c r="E110" s="1938">
        <f t="shared" ref="E110:E114" si="37">IFERROR(H110*1000/$C110,"NA")</f>
        <v>69.705754784282817</v>
      </c>
      <c r="F110" s="1938">
        <f t="shared" ref="F110:G114" si="38">IFERROR(I110*1000000/$C110,"NA")</f>
        <v>2.7718637816530798</v>
      </c>
      <c r="G110" s="1938">
        <f t="shared" si="38"/>
        <v>1.9527267889481399</v>
      </c>
      <c r="H110" s="699">
        <v>939.0695601726469</v>
      </c>
      <c r="I110" s="699">
        <v>3.7342295630408459E-2</v>
      </c>
      <c r="J110" s="699">
        <v>2.6306956900613694E-2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0.40828567791165099</v>
      </c>
      <c r="D114" s="2891" t="s">
        <v>97</v>
      </c>
      <c r="E114" s="2891">
        <f t="shared" si="37"/>
        <v>67.260000000000005</v>
      </c>
      <c r="F114" s="2891">
        <f t="shared" si="38"/>
        <v>793</v>
      </c>
      <c r="G114" s="2891">
        <f t="shared" si="38"/>
        <v>3.0000000000000004</v>
      </c>
      <c r="H114" s="1562">
        <v>2.7461294696337644E-2</v>
      </c>
      <c r="I114" s="1562">
        <v>3.2377054258393923E-4</v>
      </c>
      <c r="J114" s="1562">
        <v>1.2248570337349531E-6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5" t="s">
        <v>344</v>
      </c>
      <c r="C152" s="4496"/>
      <c r="D152" s="4496"/>
      <c r="E152" s="4496"/>
      <c r="F152" s="4496"/>
      <c r="G152" s="4496"/>
      <c r="H152" s="4496"/>
      <c r="I152" s="4496"/>
      <c r="J152" s="4496"/>
      <c r="K152" s="4497"/>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940511.92</v>
      </c>
      <c r="G11" s="3326">
        <v>695647.98</v>
      </c>
      <c r="H11" s="3326">
        <v>625610.80000000005</v>
      </c>
      <c r="I11" s="3346"/>
      <c r="J11" s="3326">
        <v>317.10000000000002</v>
      </c>
      <c r="K11" s="3334">
        <f t="shared" ref="K11:K28" si="0">IF((SUM(F11:G11)-SUM(H11:J11))=0,"NO",(SUM(F11:G11)-SUM(H11:J11)))</f>
        <v>1010231.9999999999</v>
      </c>
      <c r="L11" s="2597">
        <f>IF(K11="NO","NA",1)</f>
        <v>1</v>
      </c>
      <c r="M11" s="5" t="s">
        <v>97</v>
      </c>
      <c r="N11" s="3334">
        <f>K11</f>
        <v>1010231.9999999999</v>
      </c>
      <c r="O11" s="3307">
        <v>18.9807162534435</v>
      </c>
      <c r="P11" s="3334">
        <f>IFERROR(N11*O11/1000,"NA")</f>
        <v>19174.92694214873</v>
      </c>
      <c r="Q11" s="3334" t="str">
        <f>'Table1.A(d)'!G11</f>
        <v>NA</v>
      </c>
      <c r="R11" s="3334">
        <f>IF(SUM(P11,-SUM(Q11))=0,"NO",SUM(P11,-SUM(Q11)))</f>
        <v>19174.92694214873</v>
      </c>
      <c r="S11" s="2597">
        <f>IF(R11="NO","NA",1)</f>
        <v>1</v>
      </c>
      <c r="T11" s="3340">
        <f>IF(R11="NO","NO",R11*S11*44/12)</f>
        <v>70308.065454545344</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176366.41800000001</v>
      </c>
      <c r="G13" s="3326" t="s">
        <v>199</v>
      </c>
      <c r="H13" s="3326" t="s">
        <v>199</v>
      </c>
      <c r="I13" s="3346"/>
      <c r="J13" s="3326" t="s">
        <v>199</v>
      </c>
      <c r="K13" s="3334">
        <f t="shared" si="0"/>
        <v>176366.41800000001</v>
      </c>
      <c r="L13" s="2597">
        <f t="shared" si="1"/>
        <v>1</v>
      </c>
      <c r="M13" s="5" t="s">
        <v>97</v>
      </c>
      <c r="N13" s="3334">
        <f t="shared" si="2"/>
        <v>176366.41800000001</v>
      </c>
      <c r="O13" s="3307">
        <v>15.409090909090899</v>
      </c>
      <c r="P13" s="3334">
        <f t="shared" si="3"/>
        <v>2717.6461682727258</v>
      </c>
      <c r="Q13" s="3334" t="str">
        <f>'Table1.A(d)'!G13</f>
        <v>NA</v>
      </c>
      <c r="R13" s="3334">
        <f>IF(SUM(P13,-SUM(Q13))=0,"NO",SUM(P13,-SUM(Q13)))</f>
        <v>2717.6461682727258</v>
      </c>
      <c r="S13" s="2597">
        <f t="shared" si="4"/>
        <v>1</v>
      </c>
      <c r="T13" s="3340">
        <f t="shared" si="5"/>
        <v>9964.7026169999954</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183769.381145694</v>
      </c>
      <c r="H15" s="3326">
        <v>3446.81</v>
      </c>
      <c r="I15" s="3326" t="s">
        <v>199</v>
      </c>
      <c r="J15" s="3326">
        <v>-7142.52</v>
      </c>
      <c r="K15" s="3334">
        <f t="shared" si="0"/>
        <v>187465.09114569399</v>
      </c>
      <c r="L15" s="2597">
        <f>IF(K15="NO","NA",1)</f>
        <v>1</v>
      </c>
      <c r="M15" s="5" t="s">
        <v>97</v>
      </c>
      <c r="N15" s="3334">
        <f t="shared" si="2"/>
        <v>187465.09114569399</v>
      </c>
      <c r="O15" s="3307">
        <v>18.3818181818182</v>
      </c>
      <c r="P15" s="3334">
        <f t="shared" si="3"/>
        <v>3445.9492208781244</v>
      </c>
      <c r="Q15" s="3334" t="str">
        <f>'Table1.A(d)'!G15</f>
        <v>NA</v>
      </c>
      <c r="R15" s="3334">
        <f>IF(SUM(P15,-SUM(Q15))=0,"NO",SUM(P15,-SUM(Q15)))</f>
        <v>3445.9492208781244</v>
      </c>
      <c r="S15" s="2597">
        <f>IF(R15="NO","NA",1)</f>
        <v>1</v>
      </c>
      <c r="T15" s="3340">
        <f>IF(R15="NO","NO",R15*S15*44/12)</f>
        <v>12635.147143219789</v>
      </c>
    </row>
    <row r="16" spans="2:20" ht="18" customHeight="1" x14ac:dyDescent="0.2">
      <c r="B16" s="1730"/>
      <c r="C16" s="1570"/>
      <c r="D16" s="36" t="s">
        <v>293</v>
      </c>
      <c r="E16" s="2595" t="s">
        <v>374</v>
      </c>
      <c r="F16" s="3347"/>
      <c r="G16" s="3326">
        <v>162285.33250348299</v>
      </c>
      <c r="H16" s="3326">
        <v>5718.72</v>
      </c>
      <c r="I16" s="3326">
        <v>168935.11040000001</v>
      </c>
      <c r="J16" s="3326">
        <v>-10435.36</v>
      </c>
      <c r="K16" s="3334">
        <f t="shared" si="0"/>
        <v>-1933.1378965170006</v>
      </c>
      <c r="L16" s="2597">
        <f t="shared" ref="L16:L28" si="6">IF(K16="NO","NA",1)</f>
        <v>1</v>
      </c>
      <c r="M16" s="5" t="s">
        <v>97</v>
      </c>
      <c r="N16" s="3334">
        <f t="shared" si="2"/>
        <v>-1933.1378965170006</v>
      </c>
      <c r="O16" s="3307">
        <v>18.981818181818198</v>
      </c>
      <c r="P16" s="3334">
        <f t="shared" si="3"/>
        <v>-36.694472072068187</v>
      </c>
      <c r="Q16" s="3334" t="str">
        <f>'Table1.A(d)'!G16</f>
        <v>NA</v>
      </c>
      <c r="R16" s="3334">
        <f t="shared" ref="R16:R44" si="7">IF(SUM(P16,-SUM(Q16))=0,"NO",SUM(P16,-SUM(Q16)))</f>
        <v>-36.694472072068187</v>
      </c>
      <c r="S16" s="2597">
        <f t="shared" ref="S16:S28" si="8">IF(R16="NO","NA",1)</f>
        <v>1</v>
      </c>
      <c r="T16" s="3340">
        <f t="shared" ref="T16:T28" si="9">IF(R16="NO","NO",R16*S16*44/12)</f>
        <v>-134.54639759758336</v>
      </c>
    </row>
    <row r="17" spans="2:20" ht="18" customHeight="1" x14ac:dyDescent="0.2">
      <c r="B17" s="1730"/>
      <c r="C17" s="1570"/>
      <c r="D17" s="36" t="s">
        <v>379</v>
      </c>
      <c r="E17" s="2595" t="s">
        <v>374</v>
      </c>
      <c r="F17" s="3346"/>
      <c r="G17" s="3326">
        <v>248.934296428528</v>
      </c>
      <c r="H17" s="3326" t="s">
        <v>199</v>
      </c>
      <c r="I17" s="3326" t="s">
        <v>199</v>
      </c>
      <c r="J17" s="3326" t="s">
        <v>199</v>
      </c>
      <c r="K17" s="3334">
        <f t="shared" si="0"/>
        <v>248.934296428528</v>
      </c>
      <c r="L17" s="2597">
        <f t="shared" si="6"/>
        <v>1</v>
      </c>
      <c r="M17" s="5" t="s">
        <v>97</v>
      </c>
      <c r="N17" s="3334">
        <f t="shared" si="2"/>
        <v>248.934296428528</v>
      </c>
      <c r="O17" s="3307">
        <v>18.7909090909091</v>
      </c>
      <c r="P17" s="3334">
        <f t="shared" si="3"/>
        <v>4.6777017337978881</v>
      </c>
      <c r="Q17" s="3334" t="str">
        <f>'Table1.A(d)'!G17</f>
        <v>NA</v>
      </c>
      <c r="R17" s="3334">
        <f t="shared" si="7"/>
        <v>4.6777017337978881</v>
      </c>
      <c r="S17" s="2597">
        <f t="shared" si="8"/>
        <v>1</v>
      </c>
      <c r="T17" s="3340">
        <f t="shared" si="9"/>
        <v>17.151573023925589</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770666.72944143496</v>
      </c>
      <c r="H19" s="3326">
        <v>3165.2</v>
      </c>
      <c r="I19" s="3326">
        <v>4570</v>
      </c>
      <c r="J19" s="3326">
        <v>-8837.2800000000097</v>
      </c>
      <c r="K19" s="3334">
        <f t="shared" si="0"/>
        <v>771768.80944143492</v>
      </c>
      <c r="L19" s="2597">
        <f t="shared" si="6"/>
        <v>1</v>
      </c>
      <c r="M19" s="5" t="s">
        <v>97</v>
      </c>
      <c r="N19" s="3334">
        <f t="shared" si="2"/>
        <v>771768.80944143492</v>
      </c>
      <c r="O19" s="3307">
        <v>19.063636363636402</v>
      </c>
      <c r="P19" s="3334">
        <f t="shared" si="3"/>
        <v>14712.719939988112</v>
      </c>
      <c r="Q19" s="3334" t="str">
        <f>'Table1.A(d)'!G19</f>
        <v>NA</v>
      </c>
      <c r="R19" s="3334">
        <f t="shared" si="7"/>
        <v>14712.719939988112</v>
      </c>
      <c r="S19" s="2597">
        <f t="shared" si="8"/>
        <v>1</v>
      </c>
      <c r="T19" s="3340">
        <f t="shared" si="9"/>
        <v>53946.639779956407</v>
      </c>
    </row>
    <row r="20" spans="2:20" ht="18" customHeight="1" x14ac:dyDescent="0.2">
      <c r="B20" s="1730"/>
      <c r="C20" s="1570"/>
      <c r="D20" s="36" t="s">
        <v>306</v>
      </c>
      <c r="E20" s="2595" t="s">
        <v>374</v>
      </c>
      <c r="F20" s="3346"/>
      <c r="G20" s="3326">
        <v>22947.263484780098</v>
      </c>
      <c r="H20" s="3326">
        <v>10984.99</v>
      </c>
      <c r="I20" s="3326">
        <v>24609.009600000001</v>
      </c>
      <c r="J20" s="3326">
        <v>-4445.7</v>
      </c>
      <c r="K20" s="3334">
        <f t="shared" si="0"/>
        <v>-8201.0361152199039</v>
      </c>
      <c r="L20" s="2597">
        <f t="shared" si="6"/>
        <v>1</v>
      </c>
      <c r="M20" s="5" t="s">
        <v>97</v>
      </c>
      <c r="N20" s="3334">
        <f t="shared" si="2"/>
        <v>-8201.0361152199039</v>
      </c>
      <c r="O20" s="3307">
        <v>20.072727272727299</v>
      </c>
      <c r="P20" s="3334">
        <f t="shared" si="3"/>
        <v>-164.61716129459609</v>
      </c>
      <c r="Q20" s="3334" t="str">
        <f>'Table1.A(d)'!G20</f>
        <v>NA</v>
      </c>
      <c r="R20" s="3334">
        <f t="shared" si="7"/>
        <v>-164.61716129459609</v>
      </c>
      <c r="S20" s="2597">
        <f t="shared" si="8"/>
        <v>1</v>
      </c>
      <c r="T20" s="3340">
        <f t="shared" si="9"/>
        <v>-603.59625808018563</v>
      </c>
    </row>
    <row r="21" spans="2:20" ht="18" customHeight="1" x14ac:dyDescent="0.2">
      <c r="B21" s="1730"/>
      <c r="C21" s="1570"/>
      <c r="D21" s="36" t="s">
        <v>283</v>
      </c>
      <c r="E21" s="2595" t="s">
        <v>374</v>
      </c>
      <c r="F21" s="3346"/>
      <c r="G21" s="3326">
        <v>19819.84</v>
      </c>
      <c r="H21" s="3326">
        <v>137641.04999999999</v>
      </c>
      <c r="I21" s="3346"/>
      <c r="J21" s="3326">
        <v>967.2</v>
      </c>
      <c r="K21" s="3334">
        <f t="shared" si="0"/>
        <v>-118788.41</v>
      </c>
      <c r="L21" s="2597">
        <f t="shared" si="6"/>
        <v>1</v>
      </c>
      <c r="M21" s="5" t="s">
        <v>97</v>
      </c>
      <c r="N21" s="3334">
        <f t="shared" si="2"/>
        <v>-118788.41</v>
      </c>
      <c r="O21" s="3307">
        <v>16.4181818181818</v>
      </c>
      <c r="P21" s="3334">
        <f t="shared" si="3"/>
        <v>-1950.2897132727253</v>
      </c>
      <c r="Q21" s="3334" t="str">
        <f>'Table1.A(d)'!G21</f>
        <v>NA</v>
      </c>
      <c r="R21" s="3334">
        <f t="shared" si="7"/>
        <v>-1950.2897132727253</v>
      </c>
      <c r="S21" s="2597">
        <f t="shared" si="8"/>
        <v>1</v>
      </c>
      <c r="T21" s="3340">
        <f t="shared" si="9"/>
        <v>-7151.0622819999926</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283.66493754545502</v>
      </c>
      <c r="R22" s="3334">
        <f t="shared" si="7"/>
        <v>-283.66493754545502</v>
      </c>
      <c r="S22" s="2597">
        <f t="shared" si="8"/>
        <v>1</v>
      </c>
      <c r="T22" s="3340">
        <f t="shared" si="9"/>
        <v>-1040.1047710000018</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32527.4074770099</v>
      </c>
      <c r="H24" s="3326">
        <v>8.64</v>
      </c>
      <c r="I24" s="3346"/>
      <c r="J24" s="3326" t="s">
        <v>199</v>
      </c>
      <c r="K24" s="3334">
        <f t="shared" si="0"/>
        <v>32518.7674770099</v>
      </c>
      <c r="L24" s="2597">
        <f t="shared" si="6"/>
        <v>1</v>
      </c>
      <c r="M24" s="5" t="s">
        <v>97</v>
      </c>
      <c r="N24" s="3334">
        <f t="shared" si="2"/>
        <v>32518.7674770099</v>
      </c>
      <c r="O24" s="3307">
        <v>22.009090909090901</v>
      </c>
      <c r="P24" s="3334">
        <f t="shared" si="3"/>
        <v>715.70850965309944</v>
      </c>
      <c r="Q24" s="3334">
        <f>'Table1.A(d)'!G24</f>
        <v>772.08788880000009</v>
      </c>
      <c r="R24" s="3334">
        <f t="shared" si="7"/>
        <v>-56.379379146900646</v>
      </c>
      <c r="S24" s="2597">
        <f t="shared" si="8"/>
        <v>1</v>
      </c>
      <c r="T24" s="3340">
        <f t="shared" si="9"/>
        <v>-206.72439020530237</v>
      </c>
    </row>
    <row r="25" spans="2:20" ht="18" customHeight="1" x14ac:dyDescent="0.2">
      <c r="B25" s="1730"/>
      <c r="C25" s="1570"/>
      <c r="D25" s="36" t="s">
        <v>297</v>
      </c>
      <c r="E25" s="2595" t="s">
        <v>374</v>
      </c>
      <c r="F25" s="3346"/>
      <c r="G25" s="3326">
        <v>17188.870465737898</v>
      </c>
      <c r="H25" s="3326">
        <v>7360.36</v>
      </c>
      <c r="I25" s="3326" t="s">
        <v>199</v>
      </c>
      <c r="J25" s="3326">
        <v>-43.4</v>
      </c>
      <c r="K25" s="3334">
        <f t="shared" si="0"/>
        <v>9871.9104657378994</v>
      </c>
      <c r="L25" s="2597">
        <f t="shared" si="6"/>
        <v>1</v>
      </c>
      <c r="M25" s="5" t="s">
        <v>97</v>
      </c>
      <c r="N25" s="3334">
        <f t="shared" si="2"/>
        <v>9871.9104657378994</v>
      </c>
      <c r="O25" s="3307">
        <v>18.991363636363602</v>
      </c>
      <c r="P25" s="3334">
        <f t="shared" si="3"/>
        <v>187.481041440452</v>
      </c>
      <c r="Q25" s="3334">
        <f>'Table1.A(d)'!G25</f>
        <v>243.63849106990915</v>
      </c>
      <c r="R25" s="3334">
        <f t="shared" si="7"/>
        <v>-56.157449629457147</v>
      </c>
      <c r="S25" s="2597">
        <f t="shared" si="8"/>
        <v>1</v>
      </c>
      <c r="T25" s="3340">
        <f t="shared" si="9"/>
        <v>-205.91064864134287</v>
      </c>
    </row>
    <row r="26" spans="2:20" ht="18" customHeight="1" x14ac:dyDescent="0.2">
      <c r="B26" s="1730"/>
      <c r="C26" s="1570"/>
      <c r="D26" s="36" t="s">
        <v>384</v>
      </c>
      <c r="E26" s="2595" t="s">
        <v>374</v>
      </c>
      <c r="F26" s="3346"/>
      <c r="G26" s="3326">
        <v>22893.717874821199</v>
      </c>
      <c r="H26" s="3326" t="s">
        <v>199</v>
      </c>
      <c r="I26" s="3346"/>
      <c r="J26" s="3326" t="s">
        <v>199</v>
      </c>
      <c r="K26" s="3334">
        <f t="shared" si="0"/>
        <v>22893.717874821199</v>
      </c>
      <c r="L26" s="2597">
        <f t="shared" si="6"/>
        <v>1</v>
      </c>
      <c r="M26" s="5" t="s">
        <v>97</v>
      </c>
      <c r="N26" s="3334">
        <f t="shared" si="2"/>
        <v>22893.717874821199</v>
      </c>
      <c r="O26" s="3307">
        <v>25.261363636363601</v>
      </c>
      <c r="P26" s="3334">
        <f t="shared" si="3"/>
        <v>578.32653222417559</v>
      </c>
      <c r="Q26" s="3334">
        <f>'Table1.A(d)'!G26</f>
        <v>578.32653222417503</v>
      </c>
      <c r="R26" s="3334">
        <f t="shared" si="7"/>
        <v>5.6843418860808015E-13</v>
      </c>
      <c r="S26" s="2597">
        <f t="shared" si="8"/>
        <v>1</v>
      </c>
      <c r="T26" s="3340">
        <f t="shared" si="9"/>
        <v>2.0842586915629604E-12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18178.604625431301</v>
      </c>
      <c r="H28" s="3326">
        <v>4640.5634399999999</v>
      </c>
      <c r="I28" s="3346"/>
      <c r="J28" s="3326">
        <v>-3348.5</v>
      </c>
      <c r="K28" s="3334">
        <f t="shared" si="0"/>
        <v>16886.541185431299</v>
      </c>
      <c r="L28" s="2597">
        <f t="shared" si="6"/>
        <v>1</v>
      </c>
      <c r="M28" s="5" t="s">
        <v>97</v>
      </c>
      <c r="N28" s="3334">
        <f t="shared" si="2"/>
        <v>16886.541185431299</v>
      </c>
      <c r="O28" s="3307">
        <v>19.0363636363636</v>
      </c>
      <c r="P28" s="3334">
        <f t="shared" si="3"/>
        <v>321.45833856630065</v>
      </c>
      <c r="Q28" s="3334">
        <f>'Table1.A(d)'!G28</f>
        <v>722.35974667636401</v>
      </c>
      <c r="R28" s="3334">
        <f t="shared" si="7"/>
        <v>-400.90140811006336</v>
      </c>
      <c r="S28" s="2597">
        <f t="shared" si="8"/>
        <v>1</v>
      </c>
      <c r="T28" s="3340">
        <f t="shared" si="9"/>
        <v>-1469.9718297368991</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2099329.6058748206</v>
      </c>
      <c r="O31" s="3329"/>
      <c r="P31" s="3336">
        <f>SUM(P11:P29)</f>
        <v>39707.293048266132</v>
      </c>
      <c r="Q31" s="3336">
        <f>SUM(Q11:Q29)</f>
        <v>2600.0775963159031</v>
      </c>
      <c r="R31" s="3334">
        <f t="shared" si="7"/>
        <v>37107.215451950229</v>
      </c>
      <c r="S31" s="2598"/>
      <c r="T31" s="3342">
        <f>SUM(T11:T29)</f>
        <v>136059.7899904841</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29.836402531421999</v>
      </c>
      <c r="P34" s="3334" t="str">
        <f t="shared" si="13"/>
        <v>NA</v>
      </c>
      <c r="Q34" s="3334">
        <f>'Table1.A(d)'!G34</f>
        <v>2.25563203137551</v>
      </c>
      <c r="R34" s="3334">
        <f t="shared" si="7"/>
        <v>-2.25563203137551</v>
      </c>
      <c r="S34" s="2597">
        <f t="shared" si="14"/>
        <v>1</v>
      </c>
      <c r="T34" s="3340">
        <f t="shared" si="15"/>
        <v>-8.270650781710204</v>
      </c>
    </row>
    <row r="35" spans="2:20" ht="18" customHeight="1" x14ac:dyDescent="0.2">
      <c r="B35" s="1730"/>
      <c r="C35" s="1570"/>
      <c r="D35" s="31" t="s">
        <v>392</v>
      </c>
      <c r="E35" s="2595" t="s">
        <v>374</v>
      </c>
      <c r="F35" s="3326">
        <v>12316798</v>
      </c>
      <c r="G35" s="3326">
        <v>7417</v>
      </c>
      <c r="H35" s="3326">
        <v>11061749</v>
      </c>
      <c r="I35" s="3326" t="s">
        <v>199</v>
      </c>
      <c r="J35" s="3326">
        <v>-31611</v>
      </c>
      <c r="K35" s="3334">
        <f t="shared" si="10"/>
        <v>1294077</v>
      </c>
      <c r="L35" s="2597">
        <f t="shared" si="11"/>
        <v>1</v>
      </c>
      <c r="M35" s="55" t="s">
        <v>97</v>
      </c>
      <c r="N35" s="3334">
        <f t="shared" si="12"/>
        <v>1294077</v>
      </c>
      <c r="O35" s="3307">
        <v>24.666340225302701</v>
      </c>
      <c r="P35" s="3334">
        <f t="shared" si="13"/>
        <v>31920.143559739041</v>
      </c>
      <c r="Q35" s="3334">
        <f>'Table1.A(d)'!G35</f>
        <v>488.83994955315501</v>
      </c>
      <c r="R35" s="3334">
        <f t="shared" si="7"/>
        <v>31431.303610185885</v>
      </c>
      <c r="S35" s="2597">
        <f t="shared" si="14"/>
        <v>1</v>
      </c>
      <c r="T35" s="3340">
        <f t="shared" si="15"/>
        <v>115248.11323734825</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425446</v>
      </c>
      <c r="G37" s="3326" t="s">
        <v>199</v>
      </c>
      <c r="H37" s="3326" t="s">
        <v>199</v>
      </c>
      <c r="I37" s="3346"/>
      <c r="J37" s="3326">
        <v>2788</v>
      </c>
      <c r="K37" s="3334">
        <f t="shared" si="10"/>
        <v>422658</v>
      </c>
      <c r="L37" s="2597">
        <f t="shared" si="11"/>
        <v>1</v>
      </c>
      <c r="M37" s="55" t="s">
        <v>97</v>
      </c>
      <c r="N37" s="3334">
        <f t="shared" si="12"/>
        <v>422658</v>
      </c>
      <c r="O37" s="3307">
        <v>25.3097707202358</v>
      </c>
      <c r="P37" s="3334">
        <f t="shared" si="13"/>
        <v>10697.377073073423</v>
      </c>
      <c r="Q37" s="3334" t="str">
        <f>'Table1.A(d)'!G37</f>
        <v>NO</v>
      </c>
      <c r="R37" s="3334">
        <f t="shared" si="7"/>
        <v>10697.377073073423</v>
      </c>
      <c r="S37" s="2597">
        <f t="shared" si="14"/>
        <v>1</v>
      </c>
      <c r="T37" s="3340">
        <f t="shared" si="15"/>
        <v>39223.715934602551</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11781</v>
      </c>
      <c r="H41" s="3326">
        <v>26486</v>
      </c>
      <c r="I41" s="3346"/>
      <c r="J41" s="3326">
        <v>-4602</v>
      </c>
      <c r="K41" s="3334">
        <f t="shared" si="16"/>
        <v>-10103</v>
      </c>
      <c r="L41" s="2597">
        <f t="shared" si="17"/>
        <v>1</v>
      </c>
      <c r="M41" s="55" t="s">
        <v>97</v>
      </c>
      <c r="N41" s="3334">
        <f t="shared" si="18"/>
        <v>-10103</v>
      </c>
      <c r="O41" s="3307">
        <v>29.836402531421999</v>
      </c>
      <c r="P41" s="3334">
        <f t="shared" si="19"/>
        <v>-301.43717477495647</v>
      </c>
      <c r="Q41" s="3334">
        <f>'Table1.A(d)'!G41</f>
        <v>1873.6804322425701</v>
      </c>
      <c r="R41" s="3334">
        <f t="shared" si="7"/>
        <v>-2175.1176070175266</v>
      </c>
      <c r="S41" s="2597">
        <f t="shared" si="20"/>
        <v>1</v>
      </c>
      <c r="T41" s="3340">
        <f t="shared" si="21"/>
        <v>-7975.4312257309311</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20.336208939132</v>
      </c>
      <c r="P42" s="3334" t="str">
        <f t="shared" si="19"/>
        <v>NA</v>
      </c>
      <c r="Q42" s="3334">
        <f>'Table1.A(d)'!G42</f>
        <v>172.451825039943</v>
      </c>
      <c r="R42" s="3334">
        <f t="shared" si="7"/>
        <v>-172.451825039943</v>
      </c>
      <c r="S42" s="2597">
        <f t="shared" si="20"/>
        <v>1</v>
      </c>
      <c r="T42" s="3340">
        <f t="shared" si="21"/>
        <v>-632.32335847979095</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1706632</v>
      </c>
      <c r="O45" s="3329"/>
      <c r="P45" s="3336">
        <f>SUM(P33:P43)</f>
        <v>42316.083458037509</v>
      </c>
      <c r="Q45" s="3336">
        <f>SUM(Q33:Q43)</f>
        <v>2537.2278388670434</v>
      </c>
      <c r="R45" s="3336">
        <f>SUM(R33:R43)</f>
        <v>39778.855619170463</v>
      </c>
      <c r="S45" s="41"/>
      <c r="T45" s="3342">
        <f>SUM(T33:T43)</f>
        <v>145855.80393695837</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5916917.9919999996</v>
      </c>
      <c r="G47" s="3326">
        <v>179742</v>
      </c>
      <c r="H47" s="3326">
        <v>4413470</v>
      </c>
      <c r="I47" s="3326" t="s">
        <v>199</v>
      </c>
      <c r="J47" s="3326">
        <v>79182</v>
      </c>
      <c r="K47" s="3334">
        <f t="shared" ref="K47" si="22">IF((SUM(F47:G47)-SUM(H47:J47))=0,"NO",(SUM(F47:G47)-SUM(H47:J47)))</f>
        <v>1604007.9919999996</v>
      </c>
      <c r="L47" s="2597">
        <f t="shared" ref="L47" si="23">IF(K47="NO","NA",1)</f>
        <v>1</v>
      </c>
      <c r="M47" s="55" t="s">
        <v>97</v>
      </c>
      <c r="N47" s="3334">
        <f t="shared" ref="N47" si="24">K47</f>
        <v>1604007.9919999996</v>
      </c>
      <c r="O47" s="3307">
        <v>13.9566289216624</v>
      </c>
      <c r="P47" s="3334">
        <f t="shared" ref="P47" si="25">IFERROR(N47*O47/1000,"NA")</f>
        <v>22386.544331724825</v>
      </c>
      <c r="Q47" s="3334">
        <f>'Table1.A(d)'!G47</f>
        <v>672.08627640516499</v>
      </c>
      <c r="R47" s="3334">
        <f t="shared" ref="R47" si="26">IF(SUM(P47,-SUM(Q47))=0,"NO",SUM(P47,-SUM(Q47)))</f>
        <v>21714.458055319661</v>
      </c>
      <c r="S47" s="2597">
        <f t="shared" ref="S47" si="27">IF(R47="NO","NA",1)</f>
        <v>1</v>
      </c>
      <c r="T47" s="3340">
        <f t="shared" ref="T47" si="28">IF(R47="NO","NO",R47*S47*44/12)</f>
        <v>79619.679536172087</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1604007.9919999996</v>
      </c>
      <c r="O50" s="3331"/>
      <c r="P50" s="3336">
        <f>SUM(P47:P48)</f>
        <v>22386.544331724825</v>
      </c>
      <c r="Q50" s="3336">
        <f>SUM(Q47:Q48)</f>
        <v>672.08627640516499</v>
      </c>
      <c r="R50" s="3336">
        <f>SUM(R47:R48)</f>
        <v>21714.458055319661</v>
      </c>
      <c r="S50" s="2379"/>
      <c r="T50" s="3342">
        <f>SUM(T47:T48)</f>
        <v>79619.679536172087</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-2670.74</v>
      </c>
      <c r="K52" s="3334">
        <f t="shared" ref="K52:K53" si="29">IF((SUM(F52:G52)-SUM(H52:J52))=0,"NO",(SUM(F52:G52)-SUM(H52:J52)))</f>
        <v>2670.74</v>
      </c>
      <c r="L52" s="2597">
        <f t="shared" ref="L52:L53" si="30">IF(K52="NO","NA",1)</f>
        <v>1</v>
      </c>
      <c r="M52" s="55" t="s">
        <v>97</v>
      </c>
      <c r="N52" s="3334">
        <f t="shared" ref="N52:N53" si="31">K52</f>
        <v>2670.74</v>
      </c>
      <c r="O52" s="3307">
        <v>12.756438860303655</v>
      </c>
      <c r="P52" s="3334">
        <f t="shared" ref="P52:P53" si="32">IFERROR(N52*O52/1000,"NA")</f>
        <v>34.069131521767382</v>
      </c>
      <c r="Q52" s="3339" t="str">
        <f>'Table1.A(d)'!G52</f>
        <v>NA</v>
      </c>
      <c r="R52" s="3334">
        <f t="shared" ref="R52:R53" si="33">IF(SUM(P52,-SUM(Q52))=0,"NO",SUM(P52,-SUM(Q52)))</f>
        <v>34.069131521767382</v>
      </c>
      <c r="S52" s="2597">
        <f t="shared" ref="S52:S53" si="34">IF(R52="NO","NA",1)</f>
        <v>1</v>
      </c>
      <c r="T52" s="3340">
        <f t="shared" ref="T52:T53" si="35">IF(R52="NO","NO",R52*S52*44/12)</f>
        <v>124.92014891314706</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2670.74</v>
      </c>
      <c r="O54" s="3332"/>
      <c r="P54" s="3338">
        <f>SUM(P51:P53)</f>
        <v>34.069131521767382</v>
      </c>
      <c r="Q54" s="3338">
        <f>SUM(Q51:Q53)</f>
        <v>0</v>
      </c>
      <c r="R54" s="3338">
        <f>SUM(R51:R53)</f>
        <v>34.069131521767382</v>
      </c>
      <c r="S54" s="2399"/>
      <c r="T54" s="3344">
        <f>SUM(T51:T53)</f>
        <v>124.92014891314706</v>
      </c>
    </row>
    <row r="55" spans="2:20" ht="18" customHeight="1" thickBot="1" x14ac:dyDescent="0.25">
      <c r="B55" s="2395" t="s">
        <v>409</v>
      </c>
      <c r="C55" s="2396"/>
      <c r="D55" s="2396"/>
      <c r="E55" s="100"/>
      <c r="F55" s="3356"/>
      <c r="G55" s="3356"/>
      <c r="H55" s="3356"/>
      <c r="I55" s="3356"/>
      <c r="J55" s="3356"/>
      <c r="K55" s="3357"/>
      <c r="L55" s="2397"/>
      <c r="M55" s="2398"/>
      <c r="N55" s="3338">
        <f>SUM(N31,N45,N50,N54)</f>
        <v>5412640.3378748205</v>
      </c>
      <c r="O55" s="3332"/>
      <c r="P55" s="3338">
        <f>SUM(P31,P45,P50,P54)</f>
        <v>104443.98996955024</v>
      </c>
      <c r="Q55" s="3338">
        <f>SUM(Q31,Q45,Q50,Q54)</f>
        <v>5809.3917115881122</v>
      </c>
      <c r="R55" s="3338">
        <f>SUM(R31,R45,R50,R54)</f>
        <v>98634.59825796212</v>
      </c>
      <c r="S55" s="2399"/>
      <c r="T55" s="3344">
        <f>SUM(T31,T45,T50,T54)</f>
        <v>361660.19361252768</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2099.3296058748206</v>
      </c>
      <c r="D10" s="4127">
        <f>C10-'Table1.A(d)'!E31/1000</f>
        <v>1971.2326992966096</v>
      </c>
      <c r="E10" s="4126">
        <f>'Table1.A(b)'!T31</f>
        <v>136059.7899904841</v>
      </c>
      <c r="F10" s="4126">
        <f>'Table1.A(a)s1'!C11/1000</f>
        <v>1934.287092413404</v>
      </c>
      <c r="G10" s="4126">
        <f>'Table1.A(a)s1'!H11</f>
        <v>132879.56877565349</v>
      </c>
      <c r="H10" s="4126">
        <f>100*((D10-F10)/F10)</f>
        <v>1.9100373997279076</v>
      </c>
      <c r="I10" s="4128">
        <f>100*((E10-G10)/G10)</f>
        <v>2.3933109086167512</v>
      </c>
      <c r="L10"/>
    </row>
    <row r="11" spans="2:12" ht="18" customHeight="1" x14ac:dyDescent="0.2">
      <c r="B11" s="50" t="s">
        <v>430</v>
      </c>
      <c r="C11" s="4126">
        <f>'Table1.A(b)'!N45/1000</f>
        <v>1706.6320000000001</v>
      </c>
      <c r="D11" s="4126">
        <f>C11-'Table1.A(d)'!E45/1000</f>
        <v>1617.0250876533707</v>
      </c>
      <c r="E11" s="4126">
        <f>'Table1.A(b)'!T45</f>
        <v>145855.80393695837</v>
      </c>
      <c r="F11" s="4126">
        <f>'Table1.A(a)s1'!C12/1000</f>
        <v>1640.3547377429923</v>
      </c>
      <c r="G11" s="4126">
        <f>'Table1.A(a)s1'!H12</f>
        <v>148029.490995206</v>
      </c>
      <c r="H11" s="4126">
        <f t="shared" ref="H11:H13" si="0">100*((D11-F11)/F11)</f>
        <v>-1.422232005847796</v>
      </c>
      <c r="I11" s="4128">
        <f t="shared" ref="I11:I13" si="1">100*((E11-G11)/G11)</f>
        <v>-1.4684148703301436</v>
      </c>
      <c r="L11"/>
    </row>
    <row r="12" spans="2:12" ht="18" customHeight="1" x14ac:dyDescent="0.2">
      <c r="B12" s="50" t="s">
        <v>431</v>
      </c>
      <c r="C12" s="4126">
        <f>'Table1.A(b)'!N50/1000</f>
        <v>1604.0079919999996</v>
      </c>
      <c r="D12" s="4126">
        <f>C12-'Table1.A(d)'!E50/1000</f>
        <v>1555.8526473119996</v>
      </c>
      <c r="E12" s="4126">
        <f>'Table1.A(b)'!T50</f>
        <v>79619.679536172087</v>
      </c>
      <c r="F12" s="4126">
        <f>'Table1.A(a)s1'!C13/1000</f>
        <v>1547.9372821655329</v>
      </c>
      <c r="G12" s="4126">
        <f>'Table1.A(a)s1'!H13</f>
        <v>79252.650372390388</v>
      </c>
      <c r="H12" s="4126">
        <f t="shared" si="0"/>
        <v>0.51134921535020128</v>
      </c>
      <c r="I12" s="4128">
        <f t="shared" si="1"/>
        <v>0.46311279440764636</v>
      </c>
      <c r="L12"/>
    </row>
    <row r="13" spans="2:12" ht="18" customHeight="1" x14ac:dyDescent="0.2">
      <c r="B13" s="50" t="s">
        <v>432</v>
      </c>
      <c r="C13" s="4126">
        <f>'Table1.A(b)'!N54/1000</f>
        <v>2.6707399999999999</v>
      </c>
      <c r="D13" s="4126">
        <f>C13-SUM('Table1.A(d)'!E54)/1000</f>
        <v>2.6707399999999999</v>
      </c>
      <c r="E13" s="4126">
        <f>'Table1.A(b)'!T54</f>
        <v>124.92014891314706</v>
      </c>
      <c r="F13" s="4126">
        <f>'Table1.A(a)s1'!C14/1000</f>
        <v>2.6847728858089028</v>
      </c>
      <c r="G13" s="4126">
        <f>'Table1.A(a)s1'!H14</f>
        <v>125.94896745609121</v>
      </c>
      <c r="H13" s="4126">
        <f t="shared" si="0"/>
        <v>-0.52268427929519001</v>
      </c>
      <c r="I13" s="4128">
        <f t="shared" si="1"/>
        <v>-0.81685349528794005</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5412.64033787482</v>
      </c>
      <c r="D15" s="4196">
        <f>SUM(D10:D14)</f>
        <v>5146.7811742619797</v>
      </c>
      <c r="E15" s="4196">
        <f>SUM(E10:E14)</f>
        <v>361660.19361252768</v>
      </c>
      <c r="F15" s="4196">
        <f>SUM(F10:F14)</f>
        <v>5125.2638852077389</v>
      </c>
      <c r="G15" s="4196">
        <f>SUM(G10:G14)</f>
        <v>360287.65911070601</v>
      </c>
      <c r="H15" s="4197">
        <f t="shared" ref="H15" si="2">100*((D15-F15)/F15)</f>
        <v>0.41982792566725852</v>
      </c>
      <c r="I15" s="4198">
        <f t="shared" ref="I15" si="3">100*((E15-G15)/G15)</f>
        <v>0.38095518042707527</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8" t="s">
        <v>435</v>
      </c>
      <c r="C35" s="4499"/>
      <c r="D35" s="4499"/>
      <c r="E35" s="4499"/>
      <c r="F35" s="4499"/>
      <c r="G35" s="4499"/>
      <c r="H35" s="4499"/>
      <c r="I35" s="4500"/>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81c01dc6-2c49-4730-b140-874c95cac377"/>
    <ds:schemaRef ds:uri="http://purl.org/dc/terms/"/>
    <ds:schemaRef ds:uri="http://schemas.microsoft.com/office/2006/documentManagement/types"/>
    <ds:schemaRef ds:uri="3c3f7c97-9070-4768-a3ac-fb4f4af74aa6"/>
    <ds:schemaRef ds:uri="http://schemas.microsoft.com/office/2006/metadata/properties"/>
    <ds:schemaRef ds:uri="http://purl.org/dc/elements/1.1/"/>
    <ds:schemaRef ds:uri="http://schemas.microsoft.com/office/infopath/2007/PartnerControls"/>
    <ds:schemaRef ds:uri="f3ac41a9-262d-4755-bd43-8a680e000c6c"/>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