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5" documentId="13_ncr:1_{A184E954-8751-49E1-B68E-162854546EF6}" xr6:coauthVersionLast="47" xr6:coauthVersionMax="47" xr10:uidLastSave="{1DA310C8-0C20-4B7F-BCBA-5BCBF85212D1}"/>
  <bookViews>
    <workbookView xWindow="330" yWindow="705" windowWidth="28005" windowHeight="1399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12" i="8" s="1"/>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4" i="8" l="1"/>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V37" i="75"/>
  <c r="AL22" i="76"/>
  <c r="AL24" i="78"/>
  <c r="AL24" i="76"/>
  <c r="AL24" i="77"/>
  <c r="AL33" i="125" l="1"/>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E11" i="76"/>
  <c r="AL11" i="76" s="1"/>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8" l="1"/>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Z11" i="75"/>
  <c r="AL10" i="125"/>
  <c r="AN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O12" i="70" l="1"/>
  <c r="C22" i="70"/>
  <c r="C30" i="70"/>
  <c r="Q26" i="70"/>
  <c r="I50" i="70"/>
  <c r="I18" i="70"/>
  <c r="I41" i="70"/>
  <c r="I22" i="70" l="1"/>
  <c r="C41" i="70"/>
  <c r="O50" i="70"/>
  <c r="C18" i="70"/>
  <c r="O18" i="70"/>
  <c r="O11" i="70" s="1"/>
  <c r="O30" i="70"/>
  <c r="S26" i="70"/>
  <c r="R26" i="70"/>
  <c r="T26" i="70"/>
  <c r="O22" i="70"/>
  <c r="O41" i="70"/>
  <c r="I30" i="70"/>
  <c r="I12" i="70"/>
  <c r="I11" i="70" s="1"/>
  <c r="C12" i="70"/>
  <c r="O10" i="70" l="1"/>
  <c r="C11" i="70"/>
  <c r="C10" i="70" s="1"/>
  <c r="I10" i="70"/>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I35" i="47"/>
  <c r="D18" i="52" l="1"/>
  <c r="K18" i="52"/>
  <c r="L19" i="50"/>
  <c r="F18" i="50"/>
  <c r="Q21" i="51"/>
  <c r="S22" i="51"/>
  <c r="S21" i="51" s="1"/>
  <c r="D12" i="51"/>
  <c r="K12" i="51"/>
  <c r="N11" i="53"/>
  <c r="E21" i="51"/>
  <c r="D22" i="51"/>
  <c r="K22" i="51"/>
  <c r="F21" i="51"/>
  <c r="L22" i="51"/>
  <c r="D15" i="52"/>
  <c r="E14" i="52"/>
  <c r="K15" i="52"/>
  <c r="D16" i="52"/>
  <c r="K16" i="52"/>
  <c r="S19" i="50"/>
  <c r="S18" i="50" s="1"/>
  <c r="Q18" i="50"/>
  <c r="E18" i="50"/>
  <c r="K18" i="50" s="1"/>
  <c r="D19" i="50"/>
  <c r="K19" i="50"/>
  <c r="P17" i="52"/>
  <c r="P11" i="52" s="1"/>
  <c r="P10" i="52" s="1"/>
  <c r="P11" i="51"/>
  <c r="O19" i="52" l="1"/>
  <c r="S19" i="52" s="1"/>
  <c r="G16" i="52"/>
  <c r="H16" i="52"/>
  <c r="I16" i="52"/>
  <c r="J16" i="52"/>
  <c r="P22" i="49"/>
  <c r="U22" i="49" s="1"/>
  <c r="O18" i="52"/>
  <c r="M17" i="52"/>
  <c r="M11" i="52" s="1"/>
  <c r="M11" i="53"/>
  <c r="O12" i="53"/>
  <c r="G19" i="50"/>
  <c r="H19" i="50"/>
  <c r="J19" i="50"/>
  <c r="D18" i="50"/>
  <c r="I19" i="50"/>
  <c r="N17" i="52"/>
  <c r="N11" i="52" s="1"/>
  <c r="O18" i="51"/>
  <c r="S18" i="51" s="1"/>
  <c r="H12" i="51"/>
  <c r="G12" i="51"/>
  <c r="J12" i="51"/>
  <c r="I12" i="51"/>
  <c r="K14" i="52"/>
  <c r="I15" i="52"/>
  <c r="H15" i="52"/>
  <c r="G15" i="52"/>
  <c r="D14" i="52"/>
  <c r="J15" i="52"/>
  <c r="P15" i="49"/>
  <c r="U15" i="49" s="1"/>
  <c r="O12" i="51"/>
  <c r="M11" i="51"/>
  <c r="L18" i="50"/>
  <c r="F13" i="50"/>
  <c r="L21" i="51"/>
  <c r="F15" i="51"/>
  <c r="G22" i="51"/>
  <c r="I22" i="51"/>
  <c r="J22" i="51"/>
  <c r="H22" i="51"/>
  <c r="D21" i="51"/>
  <c r="P14" i="49"/>
  <c r="K21" i="51"/>
  <c r="N11" i="51"/>
  <c r="H18" i="52"/>
  <c r="I18" i="52"/>
  <c r="J18" i="52"/>
  <c r="G18" i="52"/>
  <c r="G45" i="59"/>
  <c r="G22" i="59"/>
  <c r="G16" i="59"/>
  <c r="G24" i="59" l="1"/>
  <c r="F23" i="59"/>
  <c r="G23" i="59" s="1"/>
  <c r="G21" i="51"/>
  <c r="I21" i="51"/>
  <c r="H21" i="51"/>
  <c r="J21" i="51"/>
  <c r="F50" i="59"/>
  <c r="G51" i="59"/>
  <c r="G14" i="59"/>
  <c r="O17" i="52"/>
  <c r="O11" i="52" s="1"/>
  <c r="S18" i="52"/>
  <c r="S17" i="52" s="1"/>
  <c r="S11" i="52" s="1"/>
  <c r="H14" i="52"/>
  <c r="G14" i="52"/>
  <c r="J14" i="52"/>
  <c r="I14" i="52"/>
  <c r="S12" i="51"/>
  <c r="S12" i="53"/>
  <c r="S11" i="53" s="1"/>
  <c r="O11" i="53"/>
  <c r="F10" i="51"/>
  <c r="L10" i="51" s="1"/>
  <c r="L15" i="51"/>
  <c r="H18" i="50"/>
  <c r="J18" i="50"/>
  <c r="G18" i="50"/>
  <c r="I18" i="50"/>
  <c r="G39" i="59"/>
  <c r="F38" i="59"/>
  <c r="O14" i="51"/>
  <c r="S14" i="51" s="1"/>
  <c r="L13" i="50"/>
  <c r="F10" i="50"/>
  <c r="L10" i="50" s="1"/>
  <c r="F17" i="59"/>
  <c r="G17" i="59" s="1"/>
  <c r="G18" i="59"/>
  <c r="F49" i="59" l="1"/>
  <c r="G50" i="59"/>
  <c r="G38" i="59"/>
  <c r="F37" i="59"/>
  <c r="C21" i="47"/>
  <c r="C24" i="47"/>
  <c r="O11" i="51"/>
  <c r="T23" i="49"/>
  <c r="T16" i="49" s="1"/>
  <c r="T10" i="49" s="1"/>
  <c r="Q16" i="51"/>
  <c r="Q15" i="51" s="1"/>
  <c r="D21" i="49"/>
  <c r="Q14" i="53"/>
  <c r="Q13" i="53" s="1"/>
  <c r="Q10" i="53" s="1"/>
  <c r="R14" i="53"/>
  <c r="R13" i="53" s="1"/>
  <c r="R10" i="53" s="1"/>
  <c r="Q14" i="50"/>
  <c r="Q13" i="50" s="1"/>
  <c r="S25" i="49"/>
  <c r="S17" i="49"/>
  <c r="S11" i="49"/>
  <c r="E16" i="51" l="1"/>
  <c r="D17" i="51"/>
  <c r="K17" i="51"/>
  <c r="D15" i="50"/>
  <c r="E14" i="50"/>
  <c r="K15" i="50"/>
  <c r="L13" i="49"/>
  <c r="D13" i="49"/>
  <c r="D24" i="49"/>
  <c r="F23" i="49"/>
  <c r="M24" i="49"/>
  <c r="G33" i="59"/>
  <c r="F32" i="59"/>
  <c r="D16" i="53"/>
  <c r="K16" i="53"/>
  <c r="E14" i="53"/>
  <c r="L12" i="49"/>
  <c r="D12" i="49"/>
  <c r="D18" i="49"/>
  <c r="L18" i="49"/>
  <c r="E17" i="49"/>
  <c r="G37" i="59"/>
  <c r="F66" i="59"/>
  <c r="G67" i="59"/>
  <c r="F43" i="59"/>
  <c r="G44" i="59"/>
  <c r="D37" i="52"/>
  <c r="E36" i="52"/>
  <c r="K37" i="52"/>
  <c r="I21" i="59"/>
  <c r="F20" i="59"/>
  <c r="H21" i="59"/>
  <c r="G21" i="59"/>
  <c r="E25" i="49"/>
  <c r="L26" i="49"/>
  <c r="D26" i="49"/>
  <c r="D15" i="53"/>
  <c r="F14" i="53"/>
  <c r="L15" i="53"/>
  <c r="F48" i="59"/>
  <c r="G48" i="59" s="1"/>
  <c r="G49" i="59"/>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J21" i="49"/>
  <c r="N14" i="53"/>
  <c r="N13" i="53" s="1"/>
  <c r="N10" i="53" s="1"/>
  <c r="R23" i="49"/>
  <c r="R19" i="49"/>
  <c r="R16" i="49" s="1"/>
  <c r="K21" i="49"/>
  <c r="S19" i="49"/>
  <c r="S16" i="49" s="1"/>
  <c r="S10" i="49" s="1"/>
  <c r="L21" i="49"/>
  <c r="O11" i="49"/>
  <c r="Q16" i="49" l="1"/>
  <c r="F16" i="49"/>
  <c r="M23" i="49"/>
  <c r="P12" i="49"/>
  <c r="N11" i="49"/>
  <c r="M16" i="51"/>
  <c r="M15" i="51" s="1"/>
  <c r="M10" i="51" s="1"/>
  <c r="O17" i="51"/>
  <c r="K12" i="49"/>
  <c r="J12" i="49"/>
  <c r="G12" i="49"/>
  <c r="H12" i="49"/>
  <c r="J24" i="49"/>
  <c r="G24" i="49"/>
  <c r="D23" i="49"/>
  <c r="K24" i="49"/>
  <c r="H24" i="49"/>
  <c r="G66" i="59"/>
  <c r="F65" i="59"/>
  <c r="K13" i="49"/>
  <c r="J13" i="49"/>
  <c r="G13" i="49"/>
  <c r="H13" i="49"/>
  <c r="O15" i="50"/>
  <c r="M14" i="50"/>
  <c r="M13" i="50" s="1"/>
  <c r="G20" i="59"/>
  <c r="F19" i="59"/>
  <c r="E13" i="53"/>
  <c r="K13" i="53" s="1"/>
  <c r="C50" i="57"/>
  <c r="K14" i="53"/>
  <c r="L20" i="49"/>
  <c r="E19" i="49"/>
  <c r="D20" i="49"/>
  <c r="P26" i="49"/>
  <c r="N25" i="49"/>
  <c r="E35" i="52"/>
  <c r="K36" i="52"/>
  <c r="H16" i="53"/>
  <c r="G16" i="53"/>
  <c r="I16" i="53"/>
  <c r="E13" i="50"/>
  <c r="K13" i="50" s="1"/>
  <c r="K14" i="50"/>
  <c r="C23" i="57"/>
  <c r="N23" i="49"/>
  <c r="P24" i="49"/>
  <c r="J16" i="53"/>
  <c r="D36" i="52"/>
  <c r="H37" i="52"/>
  <c r="J37" i="52"/>
  <c r="G37" i="52"/>
  <c r="I37" i="52"/>
  <c r="J15" i="50"/>
  <c r="D14" i="50"/>
  <c r="G15" i="50"/>
  <c r="H15" i="50"/>
  <c r="I15" i="50"/>
  <c r="O16" i="53"/>
  <c r="L14" i="53"/>
  <c r="F13" i="53"/>
  <c r="H15" i="53"/>
  <c r="J15" i="53"/>
  <c r="D14" i="53"/>
  <c r="G15" i="53"/>
  <c r="G15" i="59"/>
  <c r="F13" i="59"/>
  <c r="P18" i="49"/>
  <c r="N17" i="49"/>
  <c r="K26" i="49"/>
  <c r="G26" i="49"/>
  <c r="D25" i="49"/>
  <c r="H26" i="49"/>
  <c r="J26" i="49"/>
  <c r="I26" i="49"/>
  <c r="L17" i="49"/>
  <c r="C15" i="57"/>
  <c r="E16" i="49"/>
  <c r="L16" i="49" s="1"/>
  <c r="F31" i="59"/>
  <c r="G32" i="59"/>
  <c r="O37" i="52"/>
  <c r="M36" i="52"/>
  <c r="M35" i="52" s="1"/>
  <c r="M23" i="52" s="1"/>
  <c r="M10" i="52" s="1"/>
  <c r="L22" i="52"/>
  <c r="F21" i="52"/>
  <c r="D22" i="52"/>
  <c r="G43" i="59"/>
  <c r="F42" i="59"/>
  <c r="J17" i="51"/>
  <c r="D16" i="51"/>
  <c r="H17" i="51"/>
  <c r="G17" i="51"/>
  <c r="I17" i="51"/>
  <c r="O15" i="53"/>
  <c r="M14" i="53"/>
  <c r="M13" i="53" s="1"/>
  <c r="M10" i="53" s="1"/>
  <c r="P13" i="49"/>
  <c r="U13" i="49" s="1"/>
  <c r="R11" i="49"/>
  <c r="R10" i="49" s="1"/>
  <c r="H21" i="49"/>
  <c r="L25" i="49"/>
  <c r="C18" i="57"/>
  <c r="J18" i="49"/>
  <c r="K18" i="49"/>
  <c r="D17" i="49"/>
  <c r="G18" i="49"/>
  <c r="H18" i="49"/>
  <c r="K16" i="51"/>
  <c r="E15" i="51"/>
  <c r="K15" i="51" s="1"/>
  <c r="C32" i="57"/>
  <c r="J14" i="50" l="1"/>
  <c r="H14" i="50"/>
  <c r="G14" i="50"/>
  <c r="D13" i="50"/>
  <c r="C48" i="57"/>
  <c r="P21" i="49"/>
  <c r="G21" i="49"/>
  <c r="G42" i="59"/>
  <c r="F36" i="59"/>
  <c r="G36" i="59" s="1"/>
  <c r="P14" i="53"/>
  <c r="P13" i="53" s="1"/>
  <c r="P10" i="53" s="1"/>
  <c r="N19" i="49"/>
  <c r="N16" i="49" s="1"/>
  <c r="N10" i="49" s="1"/>
  <c r="P20" i="49"/>
  <c r="C30" i="57"/>
  <c r="G22" i="52"/>
  <c r="H22" i="52"/>
  <c r="J22" i="52"/>
  <c r="I22" i="52"/>
  <c r="D21" i="52"/>
  <c r="F17" i="52"/>
  <c r="L21" i="52"/>
  <c r="L13" i="53"/>
  <c r="F10" i="53"/>
  <c r="L10" i="53" s="1"/>
  <c r="E23" i="52"/>
  <c r="K23" i="52" s="1"/>
  <c r="K35" i="52"/>
  <c r="S17" i="51"/>
  <c r="S16" i="51" s="1"/>
  <c r="S15" i="51" s="1"/>
  <c r="C19" i="47" s="1"/>
  <c r="O16" i="51"/>
  <c r="O15" i="51" s="1"/>
  <c r="O10" i="51" s="1"/>
  <c r="J36" i="52"/>
  <c r="H36" i="52"/>
  <c r="D35" i="52"/>
  <c r="G36" i="52"/>
  <c r="J17" i="49"/>
  <c r="H17" i="49"/>
  <c r="K17" i="49"/>
  <c r="G17" i="49"/>
  <c r="I17" i="49"/>
  <c r="U26" i="49"/>
  <c r="U25" i="49" s="1"/>
  <c r="P25" i="49"/>
  <c r="I25" i="49" s="1"/>
  <c r="O14" i="50"/>
  <c r="O13" i="50" s="1"/>
  <c r="S15" i="50"/>
  <c r="S14" i="50" s="1"/>
  <c r="S13" i="50" s="1"/>
  <c r="C16" i="47" s="1"/>
  <c r="G23" i="49"/>
  <c r="J23" i="49"/>
  <c r="H23" i="49"/>
  <c r="K23" i="49"/>
  <c r="I24" i="49"/>
  <c r="U24" i="49"/>
  <c r="U23" i="49" s="1"/>
  <c r="P23" i="49"/>
  <c r="I23" i="49" s="1"/>
  <c r="G20" i="49"/>
  <c r="D19" i="49"/>
  <c r="H20" i="49"/>
  <c r="K20" i="49"/>
  <c r="J20" i="49"/>
  <c r="I13" i="49"/>
  <c r="P11" i="49"/>
  <c r="U12" i="49"/>
  <c r="O19" i="49"/>
  <c r="O16" i="49" s="1"/>
  <c r="O10" i="49" s="1"/>
  <c r="G14" i="53"/>
  <c r="H14" i="53"/>
  <c r="D13" i="53"/>
  <c r="I14" i="53"/>
  <c r="J14" i="53"/>
  <c r="J25" i="49"/>
  <c r="G25" i="49"/>
  <c r="K25" i="49"/>
  <c r="H25" i="49"/>
  <c r="S37" i="52"/>
  <c r="S36" i="52" s="1"/>
  <c r="S35" i="52" s="1"/>
  <c r="S23" i="52" s="1"/>
  <c r="O36" i="52"/>
  <c r="O35" i="52" s="1"/>
  <c r="O23" i="52" s="1"/>
  <c r="O10" i="52" s="1"/>
  <c r="S16" i="53"/>
  <c r="G16" i="51"/>
  <c r="J16" i="51"/>
  <c r="D15" i="51"/>
  <c r="I16" i="51"/>
  <c r="H16" i="51"/>
  <c r="C16" i="57"/>
  <c r="L19" i="49"/>
  <c r="I18" i="49"/>
  <c r="U18" i="49"/>
  <c r="U17" i="49" s="1"/>
  <c r="P17" i="49"/>
  <c r="C21" i="57"/>
  <c r="M16" i="49"/>
  <c r="F10" i="49"/>
  <c r="M10" i="49" s="1"/>
  <c r="G65" i="59"/>
  <c r="F59" i="59"/>
  <c r="I15" i="53"/>
  <c r="S15" i="53"/>
  <c r="O14" i="53"/>
  <c r="O13" i="53" s="1"/>
  <c r="O10" i="53" s="1"/>
  <c r="F25" i="59"/>
  <c r="G25" i="59" s="1"/>
  <c r="G31" i="59"/>
  <c r="G13" i="59"/>
  <c r="F12" i="59"/>
  <c r="I12" i="49"/>
  <c r="D23" i="52" l="1"/>
  <c r="I35" i="52"/>
  <c r="J35" i="52"/>
  <c r="G35" i="52"/>
  <c r="H35" i="52"/>
  <c r="G12" i="59"/>
  <c r="F11" i="59"/>
  <c r="G19" i="49"/>
  <c r="K19" i="49"/>
  <c r="H19" i="49"/>
  <c r="J19" i="49"/>
  <c r="P19" i="49"/>
  <c r="I19" i="49" s="1"/>
  <c r="U20" i="49"/>
  <c r="H13" i="53"/>
  <c r="I13" i="53"/>
  <c r="G13" i="53"/>
  <c r="J13" i="53"/>
  <c r="U21" i="49"/>
  <c r="I21" i="49"/>
  <c r="I14" i="50"/>
  <c r="I13" i="50"/>
  <c r="G13" i="50"/>
  <c r="H13" i="50"/>
  <c r="J13" i="50"/>
  <c r="G59" i="59"/>
  <c r="C22" i="47"/>
  <c r="C20" i="47" s="1"/>
  <c r="S10" i="52"/>
  <c r="J15" i="51"/>
  <c r="H15" i="51"/>
  <c r="G15" i="51"/>
  <c r="I15" i="51"/>
  <c r="P16" i="49"/>
  <c r="P10" i="49" s="1"/>
  <c r="I36" i="52"/>
  <c r="F11" i="52"/>
  <c r="L17" i="52"/>
  <c r="D16" i="49"/>
  <c r="C20" i="57"/>
  <c r="D12" i="53"/>
  <c r="E11" i="53"/>
  <c r="K12" i="53"/>
  <c r="S14" i="53"/>
  <c r="S13" i="53" s="1"/>
  <c r="I20" i="49"/>
  <c r="H21" i="52"/>
  <c r="J21" i="52"/>
  <c r="G21" i="52"/>
  <c r="I21" i="52"/>
  <c r="C13" i="57"/>
  <c r="J20" i="48"/>
  <c r="F20" i="48"/>
  <c r="M17" i="48"/>
  <c r="H20" i="48" l="1"/>
  <c r="H21" i="48" s="1"/>
  <c r="E10" i="53"/>
  <c r="K10" i="53" s="1"/>
  <c r="K11" i="53"/>
  <c r="C47" i="57"/>
  <c r="J21" i="48"/>
  <c r="M12" i="48"/>
  <c r="G12" i="53"/>
  <c r="J12" i="53"/>
  <c r="H12" i="53"/>
  <c r="D11" i="53"/>
  <c r="I12" i="53"/>
  <c r="M15" i="48"/>
  <c r="H16" i="49"/>
  <c r="J16" i="49"/>
  <c r="K16" i="49"/>
  <c r="G16" i="49"/>
  <c r="I16" i="49"/>
  <c r="F10" i="59"/>
  <c r="D12" i="50"/>
  <c r="E11" i="50"/>
  <c r="M10" i="48"/>
  <c r="C20" i="48"/>
  <c r="E20" i="48"/>
  <c r="L11" i="52"/>
  <c r="F10" i="52"/>
  <c r="L10" i="52" s="1"/>
  <c r="M13" i="48"/>
  <c r="F21" i="48" s="1"/>
  <c r="U19" i="49"/>
  <c r="U16" i="49" s="1"/>
  <c r="C13" i="47" s="1"/>
  <c r="L14" i="49"/>
  <c r="D14" i="49"/>
  <c r="E11" i="49"/>
  <c r="K20" i="52"/>
  <c r="D20" i="52"/>
  <c r="E17" i="52"/>
  <c r="M18" i="48"/>
  <c r="K20" i="48"/>
  <c r="K21" i="48" s="1"/>
  <c r="D11" i="54"/>
  <c r="D10" i="54" s="1"/>
  <c r="E10" i="54"/>
  <c r="C46" i="109"/>
  <c r="D13" i="51"/>
  <c r="E11" i="51"/>
  <c r="C25" i="47"/>
  <c r="S10" i="53"/>
  <c r="I23" i="52"/>
  <c r="H23" i="52"/>
  <c r="J23" i="52"/>
  <c r="G23" i="52"/>
  <c r="D32" i="57"/>
  <c r="D30" i="57" s="1"/>
  <c r="F30" i="57" s="1"/>
  <c r="H30" i="57"/>
  <c r="H72" i="34"/>
  <c r="G74" i="34"/>
  <c r="G76" i="34"/>
  <c r="I65" i="34"/>
  <c r="G67" i="34"/>
  <c r="H67" i="34"/>
  <c r="H69" i="34"/>
  <c r="I67" i="34"/>
  <c r="H71" i="34"/>
  <c r="G73" i="34"/>
  <c r="G75" i="34"/>
  <c r="H66" i="34"/>
  <c r="H73" i="34"/>
  <c r="H75" i="34"/>
  <c r="I66" i="34"/>
  <c r="G68" i="34"/>
  <c r="I73" i="34"/>
  <c r="I75" i="34"/>
  <c r="G70" i="34"/>
  <c r="G80" i="34"/>
  <c r="G82" i="34"/>
  <c r="G84" i="34"/>
  <c r="G88" i="34"/>
  <c r="H80" i="34"/>
  <c r="H82" i="34"/>
  <c r="H84" i="34"/>
  <c r="H86" i="34"/>
  <c r="H88" i="34"/>
  <c r="I78" i="34"/>
  <c r="I80" i="34"/>
  <c r="I86" i="34"/>
  <c r="G79" i="34"/>
  <c r="G81" i="34"/>
  <c r="G85" i="34"/>
  <c r="G89" i="34"/>
  <c r="H83" i="34"/>
  <c r="H87" i="34"/>
  <c r="H89" i="34"/>
  <c r="I81" i="34"/>
  <c r="I55" i="34"/>
  <c r="H59" i="34"/>
  <c r="H61" i="34"/>
  <c r="G63" i="34"/>
  <c r="I61" i="34"/>
  <c r="I52" i="34"/>
  <c r="G54" i="34"/>
  <c r="H54" i="34"/>
  <c r="H58" i="34"/>
  <c r="I54" i="34"/>
  <c r="I56" i="34"/>
  <c r="H52" i="34"/>
  <c r="H53" i="34"/>
  <c r="G55" i="34"/>
  <c r="G57" i="34"/>
  <c r="H55" i="34"/>
  <c r="H57" i="34"/>
  <c r="G59" i="34"/>
  <c r="I92" i="34"/>
  <c r="I94" i="34"/>
  <c r="I100" i="34"/>
  <c r="J107" i="34"/>
  <c r="J109" i="34"/>
  <c r="J111" i="34"/>
  <c r="J113" i="34"/>
  <c r="K107" i="34"/>
  <c r="K109" i="34"/>
  <c r="K111" i="34"/>
  <c r="K113" i="34"/>
  <c r="K115" i="34"/>
  <c r="M107" i="34"/>
  <c r="M109" i="34"/>
  <c r="M111" i="34"/>
  <c r="M113" i="34"/>
  <c r="M115" i="34"/>
  <c r="I93" i="34"/>
  <c r="I95" i="34"/>
  <c r="I101" i="34"/>
  <c r="J106" i="34"/>
  <c r="J116" i="34"/>
  <c r="K106" i="34"/>
  <c r="K108" i="34"/>
  <c r="K110" i="34"/>
  <c r="K112" i="34"/>
  <c r="K114" i="34"/>
  <c r="K116" i="34"/>
  <c r="M106" i="34"/>
  <c r="M108" i="34"/>
  <c r="M110" i="34"/>
  <c r="M112" i="34"/>
  <c r="M114" i="34"/>
  <c r="M116" i="34"/>
  <c r="T29" i="25"/>
  <c r="G123" i="34"/>
  <c r="H127" i="34"/>
  <c r="I123" i="34"/>
  <c r="I127" i="34"/>
  <c r="I129" i="34"/>
  <c r="G129" i="34"/>
  <c r="G119" i="34"/>
  <c r="G127" i="34"/>
  <c r="G120" i="34"/>
  <c r="G124" i="34"/>
  <c r="I119" i="34"/>
  <c r="H120" i="34"/>
  <c r="H122" i="34"/>
  <c r="H124" i="34"/>
  <c r="O29" i="25"/>
  <c r="H128" i="34"/>
  <c r="I120" i="34"/>
  <c r="I122" i="34"/>
  <c r="I124" i="34"/>
  <c r="I126" i="34"/>
  <c r="G118" i="34"/>
  <c r="I128" i="34"/>
  <c r="G121" i="34"/>
  <c r="I118" i="34"/>
  <c r="H132" i="34"/>
  <c r="G137" i="34"/>
  <c r="H137" i="34"/>
  <c r="G134" i="34"/>
  <c r="H142" i="34"/>
  <c r="H134" i="34"/>
  <c r="G139" i="34"/>
  <c r="G132" i="34"/>
  <c r="H136" i="34"/>
  <c r="H141" i="34"/>
  <c r="F30" i="25"/>
  <c r="G136" i="34"/>
  <c r="G141" i="34"/>
  <c r="G133" i="34"/>
  <c r="G138" i="34"/>
  <c r="G140" i="34"/>
  <c r="H133" i="34"/>
  <c r="H138" i="34"/>
  <c r="R30" i="25"/>
  <c r="G143" i="34"/>
  <c r="G135" i="34"/>
  <c r="H143" i="34"/>
  <c r="H140" i="34"/>
  <c r="U30" i="25"/>
  <c r="O30" i="25"/>
  <c r="G142" i="34"/>
  <c r="H147" i="34"/>
  <c r="I156" i="34"/>
  <c r="H149" i="34"/>
  <c r="H158" i="34"/>
  <c r="I149" i="34"/>
  <c r="H151" i="34"/>
  <c r="I158" i="34"/>
  <c r="H153" i="34"/>
  <c r="H155" i="34"/>
  <c r="I155" i="34"/>
  <c r="H152" i="34"/>
  <c r="H154" i="34"/>
  <c r="I16" i="59"/>
  <c r="D18" i="57"/>
  <c r="M48" i="34"/>
  <c r="K50" i="34"/>
  <c r="L41" i="34"/>
  <c r="M50" i="34"/>
  <c r="M41" i="34"/>
  <c r="K43" i="34"/>
  <c r="J45" i="34"/>
  <c r="M43" i="34"/>
  <c r="K45" i="34"/>
  <c r="K47" i="34"/>
  <c r="M47" i="34"/>
  <c r="K42" i="34"/>
  <c r="M45" i="34"/>
  <c r="L47" i="34"/>
  <c r="K49" i="34"/>
  <c r="J44" i="34"/>
  <c r="J40" i="34"/>
  <c r="K40" i="34"/>
  <c r="J42" i="34"/>
  <c r="M49" i="34"/>
  <c r="M40" i="34"/>
  <c r="K41" i="34"/>
  <c r="L50" i="34"/>
  <c r="M42" i="34"/>
  <c r="K44" i="34"/>
  <c r="M46" i="34"/>
  <c r="L44" i="34"/>
  <c r="K46" i="34"/>
  <c r="M44" i="34"/>
  <c r="K48" i="34"/>
  <c r="L42" i="34"/>
  <c r="L45" i="34"/>
  <c r="L43" i="34"/>
  <c r="L48" i="34"/>
  <c r="L49" i="34"/>
  <c r="L46" i="34"/>
  <c r="L40" i="34"/>
  <c r="I27" i="34"/>
  <c r="G33" i="34"/>
  <c r="G35" i="34"/>
  <c r="I31" i="34"/>
  <c r="G37" i="34"/>
  <c r="H26" i="34"/>
  <c r="G28" i="34"/>
  <c r="H28" i="34"/>
  <c r="G30" i="34"/>
  <c r="G32" i="34"/>
  <c r="I28" i="34"/>
  <c r="H30" i="34"/>
  <c r="H32" i="34"/>
  <c r="G34" i="34"/>
  <c r="I30" i="34"/>
  <c r="I32" i="34"/>
  <c r="G36" i="34"/>
  <c r="G26" i="34"/>
  <c r="H36" i="34"/>
  <c r="I36" i="34"/>
  <c r="G27" i="34"/>
  <c r="G29" i="34"/>
  <c r="I33" i="34"/>
  <c r="H27" i="34"/>
  <c r="G31" i="34"/>
  <c r="D16" i="57"/>
  <c r="I22" i="59"/>
  <c r="I45" i="59"/>
  <c r="I15" i="59"/>
  <c r="H16" i="59"/>
  <c r="H22" i="59"/>
  <c r="H15" i="59"/>
  <c r="H45" i="59"/>
  <c r="D12" i="57"/>
  <c r="K13" i="51"/>
  <c r="Q11" i="50"/>
  <c r="Q10" i="50" s="1"/>
  <c r="I31" i="25" l="1"/>
  <c r="G152" i="34"/>
  <c r="I125" i="34"/>
  <c r="I99" i="34"/>
  <c r="D112" i="34"/>
  <c r="G112" i="34" s="1"/>
  <c r="G99" i="34"/>
  <c r="I98" i="34"/>
  <c r="G100" i="34"/>
  <c r="D113" i="34"/>
  <c r="G113" i="34" s="1"/>
  <c r="G58" i="34"/>
  <c r="I85" i="34"/>
  <c r="I84" i="34"/>
  <c r="G86" i="34"/>
  <c r="K64" i="34"/>
  <c r="G69" i="34"/>
  <c r="I72" i="34"/>
  <c r="G72" i="34"/>
  <c r="C29" i="57"/>
  <c r="E10" i="51"/>
  <c r="L11" i="49"/>
  <c r="C12" i="57"/>
  <c r="E10" i="49"/>
  <c r="L10" i="49" s="1"/>
  <c r="K11" i="50"/>
  <c r="E10" i="50"/>
  <c r="K10" i="50" s="1"/>
  <c r="J48" i="34"/>
  <c r="R27" i="25" s="1"/>
  <c r="R26" i="25" s="1"/>
  <c r="F39" i="34"/>
  <c r="I39" i="34" s="1"/>
  <c r="I13" i="34"/>
  <c r="G148" i="34"/>
  <c r="D31" i="25"/>
  <c r="K38" i="59"/>
  <c r="H39" i="59"/>
  <c r="K23" i="59"/>
  <c r="H23" i="59" s="1"/>
  <c r="H24" i="59"/>
  <c r="G15" i="34"/>
  <c r="D41" i="34"/>
  <c r="G41" i="34" s="1"/>
  <c r="D48" i="34"/>
  <c r="G48" i="34" s="1"/>
  <c r="G22" i="34"/>
  <c r="G18" i="34"/>
  <c r="D44" i="34"/>
  <c r="G44" i="34" s="1"/>
  <c r="D42" i="34"/>
  <c r="G42" i="34" s="1"/>
  <c r="G16" i="34"/>
  <c r="I153" i="34"/>
  <c r="C31" i="25"/>
  <c r="G147" i="34"/>
  <c r="J146" i="34"/>
  <c r="K30" i="25"/>
  <c r="M131" i="34"/>
  <c r="M130" i="34" s="1"/>
  <c r="G30" i="25"/>
  <c r="I97" i="34"/>
  <c r="D110" i="34"/>
  <c r="G110" i="34" s="1"/>
  <c r="G97" i="34"/>
  <c r="I96" i="34"/>
  <c r="D111" i="34"/>
  <c r="G111" i="34" s="1"/>
  <c r="G98" i="34"/>
  <c r="H62" i="34"/>
  <c r="K51" i="34"/>
  <c r="G56" i="34"/>
  <c r="I57" i="34"/>
  <c r="I83" i="34"/>
  <c r="G83" i="34"/>
  <c r="I82" i="34"/>
  <c r="H68" i="34"/>
  <c r="I76" i="34"/>
  <c r="H70" i="34"/>
  <c r="J14" i="49"/>
  <c r="G14" i="49"/>
  <c r="I14" i="49"/>
  <c r="H14" i="49"/>
  <c r="K14" i="49"/>
  <c r="D11" i="49"/>
  <c r="J12" i="50"/>
  <c r="D11" i="50"/>
  <c r="G11" i="53"/>
  <c r="H11" i="53"/>
  <c r="D10" i="53"/>
  <c r="J11" i="53"/>
  <c r="I11" i="53"/>
  <c r="J43" i="34"/>
  <c r="H27" i="25" s="1"/>
  <c r="H26" i="25" s="1"/>
  <c r="S13" i="51"/>
  <c r="S11" i="51" s="1"/>
  <c r="Q11" i="51"/>
  <c r="Q10" i="51" s="1"/>
  <c r="I18" i="57"/>
  <c r="E18" i="57"/>
  <c r="K20" i="59"/>
  <c r="L25" i="34"/>
  <c r="H29" i="34"/>
  <c r="H34" i="34"/>
  <c r="J25" i="34"/>
  <c r="H35" i="34"/>
  <c r="E49" i="34"/>
  <c r="H49" i="34" s="1"/>
  <c r="H23" i="34"/>
  <c r="E46" i="34"/>
  <c r="H46" i="34" s="1"/>
  <c r="H20" i="34"/>
  <c r="H16" i="34"/>
  <c r="E42" i="34"/>
  <c r="H42" i="34" s="1"/>
  <c r="H14" i="34"/>
  <c r="E40" i="34"/>
  <c r="H40" i="34" s="1"/>
  <c r="M12" i="34"/>
  <c r="M39" i="34"/>
  <c r="M38" i="34" s="1"/>
  <c r="I157" i="34"/>
  <c r="H148" i="34"/>
  <c r="H31" i="25"/>
  <c r="G151" i="34"/>
  <c r="H135" i="34"/>
  <c r="M117" i="34"/>
  <c r="I121" i="34"/>
  <c r="G95" i="34"/>
  <c r="D108" i="34"/>
  <c r="G108" i="34" s="1"/>
  <c r="G96" i="34"/>
  <c r="D109" i="34"/>
  <c r="G109" i="34" s="1"/>
  <c r="H60" i="34"/>
  <c r="I71" i="34"/>
  <c r="I68" i="34"/>
  <c r="I13" i="51"/>
  <c r="G13" i="51"/>
  <c r="H13" i="51"/>
  <c r="J13" i="51"/>
  <c r="D11" i="51"/>
  <c r="I18" i="34"/>
  <c r="F44" i="34"/>
  <c r="I44" i="34" s="1"/>
  <c r="I14" i="34"/>
  <c r="F40" i="34"/>
  <c r="I40" i="34" s="1"/>
  <c r="K27" i="25"/>
  <c r="K26" i="25" s="1"/>
  <c r="E45" i="34"/>
  <c r="H45" i="34" s="1"/>
  <c r="H19" i="34"/>
  <c r="M31" i="25"/>
  <c r="G154" i="34"/>
  <c r="D30" i="25"/>
  <c r="J117" i="34"/>
  <c r="C29" i="25"/>
  <c r="D106" i="34"/>
  <c r="G106" i="34" s="1"/>
  <c r="G93" i="34"/>
  <c r="K91" i="34"/>
  <c r="K90" i="34" s="1"/>
  <c r="K105" i="34"/>
  <c r="K104" i="34" s="1"/>
  <c r="D107" i="34"/>
  <c r="G107" i="34" s="1"/>
  <c r="G94" i="34"/>
  <c r="I53" i="34"/>
  <c r="I79" i="34"/>
  <c r="K77" i="34"/>
  <c r="G27" i="25"/>
  <c r="D50" i="34"/>
  <c r="G50" i="34" s="1"/>
  <c r="G24" i="34"/>
  <c r="L146" i="34"/>
  <c r="U29" i="25"/>
  <c r="R29" i="25"/>
  <c r="U28" i="25"/>
  <c r="E116" i="34"/>
  <c r="H116" i="34" s="1"/>
  <c r="H103" i="34"/>
  <c r="J115" i="34"/>
  <c r="T28" i="25"/>
  <c r="E115" i="34"/>
  <c r="H115" i="34" s="1"/>
  <c r="H102" i="34"/>
  <c r="G53" i="34"/>
  <c r="I63" i="34"/>
  <c r="L77" i="34"/>
  <c r="G71" i="34"/>
  <c r="H74" i="34"/>
  <c r="C46" i="65"/>
  <c r="H33" i="34"/>
  <c r="M29" i="25"/>
  <c r="J114" i="34"/>
  <c r="R28" i="25"/>
  <c r="H101" i="34"/>
  <c r="E114" i="34"/>
  <c r="H114" i="34" s="1"/>
  <c r="O28" i="25"/>
  <c r="E113" i="34"/>
  <c r="H113" i="34" s="1"/>
  <c r="H100" i="34"/>
  <c r="M64" i="34"/>
  <c r="E21" i="48"/>
  <c r="D15" i="57"/>
  <c r="D13" i="57" s="1"/>
  <c r="H13" i="57"/>
  <c r="H11" i="57" s="1"/>
  <c r="H37" i="34"/>
  <c r="I37" i="34"/>
  <c r="H21" i="34"/>
  <c r="E47" i="34"/>
  <c r="H47" i="34" s="1"/>
  <c r="G150" i="34"/>
  <c r="G31" i="25"/>
  <c r="L17" i="59"/>
  <c r="I17" i="59" s="1"/>
  <c r="I18" i="59"/>
  <c r="K25" i="34"/>
  <c r="F43" i="34"/>
  <c r="I43" i="34" s="1"/>
  <c r="I17" i="34"/>
  <c r="D27" i="25"/>
  <c r="G14" i="34"/>
  <c r="D40" i="34"/>
  <c r="G40" i="34" s="1"/>
  <c r="D47" i="34"/>
  <c r="G47" i="34" s="1"/>
  <c r="G21" i="34"/>
  <c r="H150" i="34"/>
  <c r="G153" i="34"/>
  <c r="K31" i="25"/>
  <c r="K146" i="34"/>
  <c r="H30" i="25"/>
  <c r="M30" i="25"/>
  <c r="T30" i="25"/>
  <c r="I30" i="25"/>
  <c r="J131" i="34"/>
  <c r="J130" i="34" s="1"/>
  <c r="C30" i="25"/>
  <c r="L117" i="34"/>
  <c r="K29" i="25"/>
  <c r="G126" i="34"/>
  <c r="G125" i="34"/>
  <c r="I29" i="25"/>
  <c r="H125" i="34"/>
  <c r="J112" i="34"/>
  <c r="M28" i="25"/>
  <c r="H99" i="34"/>
  <c r="E112" i="34"/>
  <c r="H112" i="34" s="1"/>
  <c r="K28" i="25"/>
  <c r="H98" i="34"/>
  <c r="E111" i="34"/>
  <c r="H111" i="34" s="1"/>
  <c r="I62" i="34"/>
  <c r="L51" i="34"/>
  <c r="H56" i="34"/>
  <c r="I59" i="34"/>
  <c r="H85" i="34"/>
  <c r="L38" i="59"/>
  <c r="I39" i="59"/>
  <c r="L43" i="59"/>
  <c r="I44" i="59"/>
  <c r="H15" i="34"/>
  <c r="E41" i="34"/>
  <c r="H41" i="34" s="1"/>
  <c r="E39" i="34"/>
  <c r="H39" i="34" s="1"/>
  <c r="H13" i="34"/>
  <c r="U31" i="25"/>
  <c r="G158" i="34"/>
  <c r="L12" i="34"/>
  <c r="L39" i="34"/>
  <c r="L38" i="34" s="1"/>
  <c r="I34" i="34"/>
  <c r="I35" i="34"/>
  <c r="J50" i="34"/>
  <c r="U27" i="25" s="1"/>
  <c r="U26" i="25" s="1"/>
  <c r="I15" i="34"/>
  <c r="F41" i="34"/>
  <c r="I41" i="34" s="1"/>
  <c r="I27" i="25"/>
  <c r="G20" i="34"/>
  <c r="D46" i="34"/>
  <c r="G46" i="34" s="1"/>
  <c r="G13" i="34"/>
  <c r="D39" i="34"/>
  <c r="G39" i="34" s="1"/>
  <c r="G19" i="34"/>
  <c r="D45" i="34"/>
  <c r="G45" i="34" s="1"/>
  <c r="G157" i="34"/>
  <c r="T31" i="25"/>
  <c r="I148" i="34"/>
  <c r="I147" i="34"/>
  <c r="F29" i="25"/>
  <c r="H29" i="25"/>
  <c r="H119" i="34"/>
  <c r="G29" i="25"/>
  <c r="H123" i="34"/>
  <c r="J110" i="34"/>
  <c r="I28" i="25" s="1"/>
  <c r="H97" i="34"/>
  <c r="E110" i="34"/>
  <c r="H110" i="34" s="1"/>
  <c r="H28" i="25"/>
  <c r="H96" i="34"/>
  <c r="E109" i="34"/>
  <c r="H109" i="34" s="1"/>
  <c r="I60" i="34"/>
  <c r="J64" i="34"/>
  <c r="I70" i="34"/>
  <c r="C46" i="57"/>
  <c r="H139" i="34"/>
  <c r="D29" i="25"/>
  <c r="G122" i="34"/>
  <c r="H121" i="34"/>
  <c r="J108" i="34"/>
  <c r="G28" i="25" s="1"/>
  <c r="H95" i="34"/>
  <c r="E108" i="34"/>
  <c r="H108" i="34" s="1"/>
  <c r="F28" i="25"/>
  <c r="E107" i="34"/>
  <c r="H107" i="34" s="1"/>
  <c r="H94" i="34"/>
  <c r="G62" i="34"/>
  <c r="J51" i="34"/>
  <c r="H81" i="34"/>
  <c r="L64" i="34"/>
  <c r="H76" i="34"/>
  <c r="M21" i="48"/>
  <c r="M20" i="48"/>
  <c r="C21" i="48"/>
  <c r="K17" i="59"/>
  <c r="H17" i="59" s="1"/>
  <c r="H18" i="59"/>
  <c r="L13" i="59"/>
  <c r="I14" i="59"/>
  <c r="D23" i="57"/>
  <c r="D21" i="57" s="1"/>
  <c r="H21" i="57"/>
  <c r="H20" i="57" s="1"/>
  <c r="I15" i="57"/>
  <c r="G13" i="57"/>
  <c r="E15" i="57"/>
  <c r="I16" i="57"/>
  <c r="E16" i="57"/>
  <c r="F48" i="34"/>
  <c r="I48" i="34" s="1"/>
  <c r="I22" i="34"/>
  <c r="F46" i="34"/>
  <c r="I46" i="34" s="1"/>
  <c r="I20" i="34"/>
  <c r="E44" i="34"/>
  <c r="H44" i="34" s="1"/>
  <c r="H18" i="34"/>
  <c r="F49" i="34"/>
  <c r="I49" i="34" s="1"/>
  <c r="I23" i="34"/>
  <c r="G23" i="34"/>
  <c r="D49" i="34"/>
  <c r="G49" i="34" s="1"/>
  <c r="J41" i="34"/>
  <c r="F27" i="25" s="1"/>
  <c r="F26" i="25" s="1"/>
  <c r="H157" i="34"/>
  <c r="I151" i="34"/>
  <c r="K131" i="34"/>
  <c r="K130" i="34" s="1"/>
  <c r="K117" i="34"/>
  <c r="L91" i="34"/>
  <c r="L90" i="34" s="1"/>
  <c r="D28" i="25"/>
  <c r="H93" i="34"/>
  <c r="E106" i="34"/>
  <c r="H106" i="34" s="1"/>
  <c r="M105" i="34"/>
  <c r="M104" i="34" s="1"/>
  <c r="M91" i="34"/>
  <c r="M90" i="34" s="1"/>
  <c r="J91" i="34"/>
  <c r="J105" i="34"/>
  <c r="C28" i="25" s="1"/>
  <c r="F47" i="22" s="1"/>
  <c r="H92" i="34"/>
  <c r="E105" i="34"/>
  <c r="H105" i="34" s="1"/>
  <c r="G60" i="34"/>
  <c r="H79" i="34"/>
  <c r="M77" i="34"/>
  <c r="J77" i="34"/>
  <c r="H78" i="34"/>
  <c r="G65" i="34"/>
  <c r="I74" i="34"/>
  <c r="H65" i="34"/>
  <c r="K17" i="52"/>
  <c r="E11" i="52"/>
  <c r="K13" i="59"/>
  <c r="H14" i="59"/>
  <c r="I12" i="57"/>
  <c r="L23" i="59"/>
  <c r="I23" i="59" s="1"/>
  <c r="I24" i="59"/>
  <c r="H24" i="34"/>
  <c r="E50" i="34"/>
  <c r="H50" i="34" s="1"/>
  <c r="K12" i="34"/>
  <c r="K39" i="34"/>
  <c r="K38" i="34" s="1"/>
  <c r="F42" i="34"/>
  <c r="I42" i="34" s="1"/>
  <c r="I16" i="34"/>
  <c r="E43" i="34"/>
  <c r="H43" i="34" s="1"/>
  <c r="H17" i="34"/>
  <c r="G156" i="34"/>
  <c r="R31" i="25"/>
  <c r="I26" i="34"/>
  <c r="L20" i="59"/>
  <c r="U14" i="49"/>
  <c r="U11" i="49" s="1"/>
  <c r="Q11" i="49"/>
  <c r="Q10" i="49" s="1"/>
  <c r="H31" i="34"/>
  <c r="D43" i="34"/>
  <c r="G43" i="34" s="1"/>
  <c r="G17" i="34"/>
  <c r="J46" i="34"/>
  <c r="M27" i="25"/>
  <c r="J49" i="34"/>
  <c r="T27" i="25" s="1"/>
  <c r="T26" i="25" s="1"/>
  <c r="I21" i="34"/>
  <c r="F47" i="34"/>
  <c r="I47" i="34" s="1"/>
  <c r="J39" i="34"/>
  <c r="J12" i="34"/>
  <c r="I152" i="34"/>
  <c r="O31" i="25"/>
  <c r="G155" i="34"/>
  <c r="G149" i="34"/>
  <c r="F31" i="25"/>
  <c r="H156" i="34"/>
  <c r="G128" i="34"/>
  <c r="H126" i="34"/>
  <c r="H129" i="34"/>
  <c r="H118" i="34"/>
  <c r="I103" i="34"/>
  <c r="G103" i="34"/>
  <c r="D116" i="34"/>
  <c r="G116" i="34" s="1"/>
  <c r="I102" i="34"/>
  <c r="D105" i="34"/>
  <c r="G105" i="34" s="1"/>
  <c r="G92" i="34"/>
  <c r="G52" i="34"/>
  <c r="I58" i="34"/>
  <c r="H63" i="34"/>
  <c r="I89" i="34"/>
  <c r="I88" i="34"/>
  <c r="G78" i="34"/>
  <c r="G66" i="34"/>
  <c r="I69" i="34"/>
  <c r="G20" i="52"/>
  <c r="H20" i="52"/>
  <c r="J20" i="52"/>
  <c r="I20" i="52"/>
  <c r="D17" i="52"/>
  <c r="G21" i="57"/>
  <c r="I23" i="57"/>
  <c r="E23" i="57"/>
  <c r="I32" i="57"/>
  <c r="G30" i="57"/>
  <c r="E32" i="57"/>
  <c r="M25" i="34"/>
  <c r="I29" i="34"/>
  <c r="F50" i="34"/>
  <c r="I50" i="34" s="1"/>
  <c r="I24" i="34"/>
  <c r="H22" i="34"/>
  <c r="E48" i="34"/>
  <c r="H48" i="34" s="1"/>
  <c r="I19" i="34"/>
  <c r="F45" i="34"/>
  <c r="I45" i="34" s="1"/>
  <c r="J47" i="34"/>
  <c r="O27" i="25" s="1"/>
  <c r="O26" i="25" s="1"/>
  <c r="I150" i="34"/>
  <c r="M146" i="34"/>
  <c r="I154" i="34"/>
  <c r="D114" i="34"/>
  <c r="G114" i="34" s="1"/>
  <c r="G101" i="34"/>
  <c r="D115" i="34"/>
  <c r="G115" i="34" s="1"/>
  <c r="G102" i="34"/>
  <c r="M51" i="34"/>
  <c r="G61" i="34"/>
  <c r="I87" i="34"/>
  <c r="G87" i="34"/>
  <c r="C23" i="47"/>
  <c r="K12" i="50"/>
  <c r="I29" i="57"/>
  <c r="F14" i="124"/>
  <c r="D14" i="124" s="1"/>
  <c r="T10" i="25" l="1"/>
  <c r="T43" i="25"/>
  <c r="T39" i="25" s="1"/>
  <c r="H10" i="25"/>
  <c r="H43" i="25"/>
  <c r="H39" i="25" s="1"/>
  <c r="O47" i="22"/>
  <c r="D22" i="73"/>
  <c r="E22" i="73" s="1"/>
  <c r="F10" i="25"/>
  <c r="F43" i="25"/>
  <c r="F39" i="25" s="1"/>
  <c r="O10" i="25"/>
  <c r="O43" i="25"/>
  <c r="O39" i="25" s="1"/>
  <c r="U43" i="25"/>
  <c r="U39" i="25" s="1"/>
  <c r="U10" i="25"/>
  <c r="R43" i="25"/>
  <c r="R39" i="25" s="1"/>
  <c r="R10" i="25"/>
  <c r="K11" i="49"/>
  <c r="H11" i="49"/>
  <c r="I11" i="49"/>
  <c r="G11" i="49"/>
  <c r="J11" i="49"/>
  <c r="D10" i="49"/>
  <c r="K32" i="59"/>
  <c r="H33" i="59"/>
  <c r="G17" i="52"/>
  <c r="H17" i="52"/>
  <c r="J17" i="52"/>
  <c r="I17" i="52"/>
  <c r="D11" i="52"/>
  <c r="M26" i="25"/>
  <c r="K12" i="59"/>
  <c r="H13" i="59"/>
  <c r="F49" i="22"/>
  <c r="K50" i="59"/>
  <c r="H51" i="59"/>
  <c r="I26" i="25"/>
  <c r="I31" i="47"/>
  <c r="E30" i="47"/>
  <c r="E50" i="109" s="1"/>
  <c r="E50" i="65" s="1"/>
  <c r="P49" i="70" s="1"/>
  <c r="Q49" i="70" s="1"/>
  <c r="C10" i="127"/>
  <c r="L50" i="59"/>
  <c r="I51" i="59"/>
  <c r="E10" i="52"/>
  <c r="K10" i="52" s="1"/>
  <c r="K11" i="52"/>
  <c r="C11" i="57"/>
  <c r="E12" i="57"/>
  <c r="J104" i="34"/>
  <c r="J90" i="34" s="1"/>
  <c r="D26" i="25"/>
  <c r="F50" i="22"/>
  <c r="D11" i="57"/>
  <c r="F13" i="57"/>
  <c r="K43" i="25"/>
  <c r="K39" i="25" s="1"/>
  <c r="K10" i="25"/>
  <c r="I10" i="53"/>
  <c r="H10" i="53"/>
  <c r="G10" i="53"/>
  <c r="J10" i="53"/>
  <c r="K37" i="59"/>
  <c r="H38" i="59"/>
  <c r="K11" i="51"/>
  <c r="D45" i="70"/>
  <c r="E45" i="70" s="1"/>
  <c r="M11" i="34"/>
  <c r="M10" i="34" s="1"/>
  <c r="K10" i="51"/>
  <c r="C30" i="47"/>
  <c r="I32" i="47"/>
  <c r="L42" i="59"/>
  <c r="I42" i="59" s="1"/>
  <c r="I43" i="59"/>
  <c r="C27" i="25"/>
  <c r="L37" i="59"/>
  <c r="E18" i="47" s="1"/>
  <c r="E17" i="47" s="1"/>
  <c r="E45" i="109" s="1"/>
  <c r="E45" i="65" s="1"/>
  <c r="P44" i="70" s="1"/>
  <c r="Q44" i="70" s="1"/>
  <c r="I38" i="59"/>
  <c r="E29" i="57"/>
  <c r="C28" i="57"/>
  <c r="E28" i="57" s="1"/>
  <c r="K11" i="34"/>
  <c r="K10" i="34" s="1"/>
  <c r="C47" i="109"/>
  <c r="G28" i="57"/>
  <c r="I30" i="57"/>
  <c r="E19" i="47" s="1"/>
  <c r="E30" i="57"/>
  <c r="C12" i="47"/>
  <c r="U10" i="49"/>
  <c r="K19" i="59"/>
  <c r="H20" i="59"/>
  <c r="H28" i="57"/>
  <c r="D29" i="57"/>
  <c r="D28" i="57" s="1"/>
  <c r="F28" i="57" s="1"/>
  <c r="K43" i="59"/>
  <c r="H44" i="59"/>
  <c r="I13" i="57"/>
  <c r="E13" i="47" s="1"/>
  <c r="E13" i="57"/>
  <c r="J302" i="56"/>
  <c r="J281" i="56"/>
  <c r="G306" i="56"/>
  <c r="G281" i="56" s="1"/>
  <c r="J38" i="34"/>
  <c r="J11" i="34" s="1"/>
  <c r="L19" i="59"/>
  <c r="I19" i="59" s="1"/>
  <c r="I20" i="59"/>
  <c r="L11" i="34"/>
  <c r="L10" i="34" s="1"/>
  <c r="F48" i="22"/>
  <c r="G11" i="51"/>
  <c r="H11" i="51"/>
  <c r="I11" i="51"/>
  <c r="D10" i="51"/>
  <c r="J11" i="51"/>
  <c r="F21" i="57"/>
  <c r="D20" i="57"/>
  <c r="F20" i="57" s="1"/>
  <c r="J423" i="56"/>
  <c r="J416" i="56" s="1"/>
  <c r="J415" i="56"/>
  <c r="G427" i="56"/>
  <c r="G11" i="57"/>
  <c r="D10" i="50"/>
  <c r="J10" i="50" s="1"/>
  <c r="J11" i="50"/>
  <c r="L32" i="59"/>
  <c r="I33" i="59"/>
  <c r="J282" i="56"/>
  <c r="G307" i="56"/>
  <c r="G282" i="56" s="1"/>
  <c r="G20" i="57"/>
  <c r="I21" i="57"/>
  <c r="E21" i="57"/>
  <c r="L12" i="59"/>
  <c r="I13" i="59"/>
  <c r="G26" i="25"/>
  <c r="S10" i="51"/>
  <c r="C18" i="47"/>
  <c r="G10" i="126"/>
  <c r="H10" i="126"/>
  <c r="C30" i="128"/>
  <c r="C23" i="128"/>
  <c r="C21" i="128" s="1"/>
  <c r="C10" i="128" s="1"/>
  <c r="C67" i="109"/>
  <c r="C11" i="126"/>
  <c r="F16" i="124"/>
  <c r="D16" i="124" s="1"/>
  <c r="R44" i="70" l="1"/>
  <c r="I20" i="57"/>
  <c r="E20" i="57"/>
  <c r="G415" i="56"/>
  <c r="G423" i="56"/>
  <c r="J331" i="56"/>
  <c r="J327" i="56" s="1"/>
  <c r="J320" i="56" s="1"/>
  <c r="D22" i="47" s="1"/>
  <c r="I22" i="47" s="1"/>
  <c r="J411" i="56"/>
  <c r="J404" i="56" s="1"/>
  <c r="I28" i="57"/>
  <c r="D43" i="25"/>
  <c r="D39" i="25" s="1"/>
  <c r="D10" i="25"/>
  <c r="C11" i="47"/>
  <c r="C66" i="65"/>
  <c r="O67" i="109"/>
  <c r="I10" i="25"/>
  <c r="I43" i="25"/>
  <c r="I39" i="25" s="1"/>
  <c r="N11" i="50"/>
  <c r="H12" i="50"/>
  <c r="D13" i="47"/>
  <c r="I13" i="47" s="1"/>
  <c r="H19" i="59"/>
  <c r="L36" i="59"/>
  <c r="I36" i="59" s="1"/>
  <c r="I37" i="59"/>
  <c r="D18" i="47"/>
  <c r="H37" i="59"/>
  <c r="K31" i="59"/>
  <c r="H32" i="59"/>
  <c r="L31" i="59"/>
  <c r="I32" i="59"/>
  <c r="O12" i="50"/>
  <c r="M11" i="50"/>
  <c r="G12" i="50"/>
  <c r="J10" i="34"/>
  <c r="F46" i="22"/>
  <c r="C26" i="25"/>
  <c r="C43" i="25" s="1"/>
  <c r="E11" i="57"/>
  <c r="C10" i="57"/>
  <c r="K49" i="59"/>
  <c r="H50" i="59"/>
  <c r="I10" i="49"/>
  <c r="H10" i="49"/>
  <c r="J10" i="49"/>
  <c r="G10" i="49"/>
  <c r="K10" i="49"/>
  <c r="O49" i="22"/>
  <c r="D24" i="73"/>
  <c r="E24" i="73" s="1"/>
  <c r="F13" i="124"/>
  <c r="G11" i="124"/>
  <c r="C17" i="47"/>
  <c r="I18" i="47"/>
  <c r="C10" i="126"/>
  <c r="G43" i="25"/>
  <c r="G39" i="25" s="1"/>
  <c r="G10" i="25"/>
  <c r="J295" i="56"/>
  <c r="J277" i="56"/>
  <c r="G302" i="56"/>
  <c r="K11" i="59"/>
  <c r="D12" i="47"/>
  <c r="H12" i="59"/>
  <c r="F22" i="73"/>
  <c r="G10" i="51"/>
  <c r="I10" i="51"/>
  <c r="H10" i="51"/>
  <c r="J10" i="51"/>
  <c r="I30" i="47"/>
  <c r="C50" i="109"/>
  <c r="L49" i="59"/>
  <c r="I50" i="59"/>
  <c r="M43" i="25"/>
  <c r="M39" i="25" s="1"/>
  <c r="M10" i="25"/>
  <c r="I11" i="52"/>
  <c r="J11" i="52"/>
  <c r="G11" i="52"/>
  <c r="H11" i="52"/>
  <c r="D10" i="52"/>
  <c r="C47" i="65"/>
  <c r="F11" i="126"/>
  <c r="F10" i="126" s="1"/>
  <c r="D12" i="1" s="1"/>
  <c r="E16" i="47"/>
  <c r="E14" i="47" s="1"/>
  <c r="E44" i="109" s="1"/>
  <c r="E44" i="65" s="1"/>
  <c r="P43" i="70" s="1"/>
  <c r="Q43" i="70" s="1"/>
  <c r="I11" i="57"/>
  <c r="K42" i="59"/>
  <c r="H43" i="59"/>
  <c r="F11" i="57"/>
  <c r="E12" i="47"/>
  <c r="E11" i="47" s="1"/>
  <c r="L11" i="59"/>
  <c r="I12" i="59"/>
  <c r="D23" i="73"/>
  <c r="E23" i="73" s="1"/>
  <c r="O48" i="22"/>
  <c r="F45" i="70"/>
  <c r="O50" i="22"/>
  <c r="D25" i="73"/>
  <c r="E25" i="73" s="1"/>
  <c r="R49" i="70"/>
  <c r="F18" i="124"/>
  <c r="E43" i="109" l="1"/>
  <c r="E43" i="65" s="1"/>
  <c r="P42" i="70" s="1"/>
  <c r="Q42" i="70" s="1"/>
  <c r="D11" i="47"/>
  <c r="D13" i="124"/>
  <c r="D11" i="124" s="1"/>
  <c r="F11" i="124"/>
  <c r="W43" i="25"/>
  <c r="C43" i="109"/>
  <c r="I11" i="47"/>
  <c r="R43" i="70"/>
  <c r="L48" i="59"/>
  <c r="I48" i="59" s="1"/>
  <c r="E21" i="47"/>
  <c r="E20" i="47" s="1"/>
  <c r="E46" i="109" s="1"/>
  <c r="E46" i="65" s="1"/>
  <c r="P45" i="70" s="1"/>
  <c r="Q45" i="70" s="1"/>
  <c r="I49" i="59"/>
  <c r="H11" i="59"/>
  <c r="F24" i="73"/>
  <c r="F45" i="22"/>
  <c r="O46" i="22"/>
  <c r="D21" i="73"/>
  <c r="E21" i="73" s="1"/>
  <c r="D11" i="1"/>
  <c r="J12" i="1"/>
  <c r="F23" i="73"/>
  <c r="O50" i="109"/>
  <c r="C50" i="65"/>
  <c r="I11" i="59"/>
  <c r="J270" i="56"/>
  <c r="J269" i="56" s="1"/>
  <c r="J10" i="56" s="1"/>
  <c r="G277" i="56"/>
  <c r="S12" i="50"/>
  <c r="S11" i="50" s="1"/>
  <c r="O11" i="50"/>
  <c r="I12" i="50"/>
  <c r="D18" i="124"/>
  <c r="D17" i="124" s="1"/>
  <c r="F17" i="124"/>
  <c r="G17" i="124" s="1"/>
  <c r="G10" i="124" s="1"/>
  <c r="C29" i="47" s="1"/>
  <c r="D46" i="70"/>
  <c r="E46" i="70" s="1"/>
  <c r="M10" i="50"/>
  <c r="G10" i="50" s="1"/>
  <c r="G11" i="50"/>
  <c r="N10" i="50"/>
  <c r="H10" i="50" s="1"/>
  <c r="H11" i="50"/>
  <c r="E11" i="126"/>
  <c r="L25" i="59"/>
  <c r="I25" i="59" s="1"/>
  <c r="I31" i="59"/>
  <c r="G411" i="56"/>
  <c r="G331" i="56"/>
  <c r="G327" i="56" s="1"/>
  <c r="K48" i="59"/>
  <c r="H48" i="59" s="1"/>
  <c r="H49" i="59"/>
  <c r="D16" i="47"/>
  <c r="K25" i="59"/>
  <c r="H25" i="59" s="1"/>
  <c r="H31" i="59"/>
  <c r="F25" i="73"/>
  <c r="E10" i="126"/>
  <c r="D19" i="47"/>
  <c r="I19" i="47" s="1"/>
  <c r="H42" i="59"/>
  <c r="D65" i="70"/>
  <c r="E65" i="70" s="1"/>
  <c r="K66" i="65"/>
  <c r="J10" i="52"/>
  <c r="G10" i="52"/>
  <c r="H10" i="52"/>
  <c r="I10" i="52"/>
  <c r="C45" i="109"/>
  <c r="K36" i="59"/>
  <c r="H36" i="59" s="1"/>
  <c r="I12" i="47"/>
  <c r="O10" i="50" l="1"/>
  <c r="I10" i="50" s="1"/>
  <c r="I11" i="50"/>
  <c r="D52" i="109"/>
  <c r="J11" i="1"/>
  <c r="C15" i="47"/>
  <c r="S10" i="50"/>
  <c r="F21" i="73"/>
  <c r="F28" i="109"/>
  <c r="O45" i="22"/>
  <c r="C43" i="65"/>
  <c r="C45" i="65"/>
  <c r="D17" i="47"/>
  <c r="D14" i="47"/>
  <c r="D44" i="109" s="1"/>
  <c r="D44" i="65" s="1"/>
  <c r="J43" i="70" s="1"/>
  <c r="K43" i="70" s="1"/>
  <c r="I16" i="47"/>
  <c r="K50" i="65"/>
  <c r="D49" i="70"/>
  <c r="E49" i="70" s="1"/>
  <c r="F10" i="124"/>
  <c r="F65" i="70"/>
  <c r="D21" i="47"/>
  <c r="F46" i="70"/>
  <c r="D10" i="124"/>
  <c r="C49" i="109"/>
  <c r="I29" i="47"/>
  <c r="D43" i="109"/>
  <c r="D43" i="65" s="1"/>
  <c r="J42" i="70" s="1"/>
  <c r="K42" i="70" s="1"/>
  <c r="R45" i="70"/>
  <c r="R42" i="70"/>
  <c r="L42" i="70" l="1"/>
  <c r="F49" i="70"/>
  <c r="H49" i="70"/>
  <c r="F28" i="65"/>
  <c r="K28" i="65" s="1"/>
  <c r="O28" i="109"/>
  <c r="F11" i="129"/>
  <c r="D23" i="1"/>
  <c r="J23" i="1" s="1"/>
  <c r="D22" i="128"/>
  <c r="G10" i="127"/>
  <c r="E11" i="127"/>
  <c r="O49" i="109"/>
  <c r="C49" i="65"/>
  <c r="L43" i="70"/>
  <c r="D45" i="109"/>
  <c r="I17" i="47"/>
  <c r="E22" i="1"/>
  <c r="E21" i="1" s="1"/>
  <c r="E55" i="109" s="1"/>
  <c r="E55" i="65" s="1"/>
  <c r="P54" i="70" s="1"/>
  <c r="Q54" i="70" s="1"/>
  <c r="G10" i="129"/>
  <c r="I15" i="47"/>
  <c r="C14" i="47"/>
  <c r="E22" i="128"/>
  <c r="H21" i="128"/>
  <c r="F10" i="127"/>
  <c r="D11" i="127"/>
  <c r="D20" i="47"/>
  <c r="I21" i="47"/>
  <c r="D44" i="70"/>
  <c r="E44" i="70" s="1"/>
  <c r="D22" i="1"/>
  <c r="F10" i="129"/>
  <c r="D27" i="128"/>
  <c r="O43" i="109"/>
  <c r="D52" i="65"/>
  <c r="O52" i="109"/>
  <c r="I21" i="128"/>
  <c r="F22" i="128"/>
  <c r="K43" i="65"/>
  <c r="D42" i="70"/>
  <c r="E42" i="70" s="1"/>
  <c r="D12" i="43"/>
  <c r="D31" i="128"/>
  <c r="G30" i="128"/>
  <c r="D30" i="128" s="1"/>
  <c r="E10" i="46"/>
  <c r="C45" i="38" s="1"/>
  <c r="E14" i="43"/>
  <c r="C46" i="38"/>
  <c r="E38" i="38"/>
  <c r="J38" i="38" s="1"/>
  <c r="E37" i="38"/>
  <c r="J37" i="38" s="1"/>
  <c r="E23" i="43"/>
  <c r="D12" i="46"/>
  <c r="E22" i="43"/>
  <c r="E39" i="38"/>
  <c r="J39" i="38" s="1"/>
  <c r="F42" i="70" l="1"/>
  <c r="D21" i="1"/>
  <c r="J22" i="1"/>
  <c r="E16" i="1"/>
  <c r="E15" i="1" s="1"/>
  <c r="E10" i="127"/>
  <c r="R54" i="70"/>
  <c r="F44" i="70"/>
  <c r="D11" i="46"/>
  <c r="F21" i="128"/>
  <c r="I10" i="128"/>
  <c r="J46" i="38"/>
  <c r="C39" i="109"/>
  <c r="E40" i="38"/>
  <c r="J40" i="38" s="1"/>
  <c r="E19" i="43"/>
  <c r="E18" i="43"/>
  <c r="D46" i="109"/>
  <c r="I20" i="47"/>
  <c r="D45" i="65"/>
  <c r="O45" i="109"/>
  <c r="D13" i="46"/>
  <c r="C38" i="109"/>
  <c r="J45" i="38"/>
  <c r="C10" i="38"/>
  <c r="D16" i="1"/>
  <c r="D10" i="127"/>
  <c r="E17" i="43"/>
  <c r="E21" i="128"/>
  <c r="H10" i="128"/>
  <c r="E35" i="38"/>
  <c r="E11" i="43"/>
  <c r="G23" i="128"/>
  <c r="C44" i="109"/>
  <c r="I14" i="47"/>
  <c r="C10" i="47"/>
  <c r="D48" i="70"/>
  <c r="E48" i="70" s="1"/>
  <c r="K49" i="65"/>
  <c r="J51" i="70"/>
  <c r="K51" i="70" s="1"/>
  <c r="K52" i="65"/>
  <c r="F21" i="43"/>
  <c r="E42" i="38" s="1"/>
  <c r="J42" i="38" s="1"/>
  <c r="E13" i="43"/>
  <c r="F12" i="43"/>
  <c r="E36" i="38" s="1"/>
  <c r="J36" i="38" s="1"/>
  <c r="E16" i="43"/>
  <c r="C53" i="11"/>
  <c r="P22" i="12"/>
  <c r="K42" i="12"/>
  <c r="K19" i="12"/>
  <c r="K47" i="12"/>
  <c r="K24" i="12"/>
  <c r="F42" i="15"/>
  <c r="K26" i="12"/>
  <c r="K16" i="12"/>
  <c r="K13" i="12"/>
  <c r="F41" i="15"/>
  <c r="P34" i="12"/>
  <c r="E50" i="15"/>
  <c r="K37" i="12"/>
  <c r="F13" i="33"/>
  <c r="F10" i="43" l="1"/>
  <c r="J44" i="70"/>
  <c r="K44" i="70" s="1"/>
  <c r="K45" i="65"/>
  <c r="G12" i="33"/>
  <c r="G11" i="33" s="1"/>
  <c r="G10" i="33" s="1"/>
  <c r="C13" i="25"/>
  <c r="C12" i="25" s="1"/>
  <c r="C11" i="25" s="1"/>
  <c r="N47" i="12"/>
  <c r="L47" i="12"/>
  <c r="Q24" i="12"/>
  <c r="H24" i="15"/>
  <c r="Q22" i="12"/>
  <c r="G31" i="15"/>
  <c r="H22" i="15"/>
  <c r="Q41" i="12"/>
  <c r="H41" i="15"/>
  <c r="N19" i="12"/>
  <c r="P19" i="12" s="1"/>
  <c r="R19" i="12" s="1"/>
  <c r="S19" i="12" s="1"/>
  <c r="T19" i="12" s="1"/>
  <c r="L19" i="12"/>
  <c r="J35" i="38"/>
  <c r="E34" i="38"/>
  <c r="N13" i="12"/>
  <c r="P13" i="12" s="1"/>
  <c r="R13" i="12" s="1"/>
  <c r="S13" i="12" s="1"/>
  <c r="T13" i="12" s="1"/>
  <c r="L13" i="12"/>
  <c r="H28" i="15"/>
  <c r="Q28" i="12"/>
  <c r="D19" i="1"/>
  <c r="D18" i="1" s="1"/>
  <c r="D54" i="109" s="1"/>
  <c r="D54" i="65" s="1"/>
  <c r="J53" i="70" s="1"/>
  <c r="E10" i="128"/>
  <c r="D46" i="65"/>
  <c r="O46" i="109"/>
  <c r="N24" i="12"/>
  <c r="P24" i="12" s="1"/>
  <c r="L24" i="12"/>
  <c r="I50" i="15"/>
  <c r="F50" i="15" s="1"/>
  <c r="F47" i="15"/>
  <c r="K35" i="12"/>
  <c r="K28" i="12"/>
  <c r="I45" i="15"/>
  <c r="F35" i="15"/>
  <c r="N26" i="12"/>
  <c r="P26" i="12" s="1"/>
  <c r="L26" i="12"/>
  <c r="E31" i="15"/>
  <c r="H45" i="132"/>
  <c r="H42" i="132" s="1"/>
  <c r="H36" i="132"/>
  <c r="H39" i="132"/>
  <c r="H35" i="132"/>
  <c r="C24" i="22" s="1"/>
  <c r="C25" i="42"/>
  <c r="Q34" i="12"/>
  <c r="H34" i="15"/>
  <c r="G45" i="15"/>
  <c r="H45" i="15" s="1"/>
  <c r="L51" i="70"/>
  <c r="H47" i="15"/>
  <c r="G50" i="15"/>
  <c r="H50" i="15" s="1"/>
  <c r="Q47" i="12"/>
  <c r="K52" i="12"/>
  <c r="H26" i="15"/>
  <c r="Q26" i="12"/>
  <c r="Q37" i="12"/>
  <c r="H37" i="15"/>
  <c r="F26" i="15"/>
  <c r="I31" i="15"/>
  <c r="K15" i="12"/>
  <c r="E64" i="132"/>
  <c r="H64" i="132"/>
  <c r="C31" i="22" s="1"/>
  <c r="N16" i="12"/>
  <c r="P16" i="12" s="1"/>
  <c r="R16" i="12" s="1"/>
  <c r="S16" i="12" s="1"/>
  <c r="T16" i="12" s="1"/>
  <c r="L16" i="12"/>
  <c r="K21" i="12"/>
  <c r="K20" i="12"/>
  <c r="K25" i="12"/>
  <c r="F48" i="70"/>
  <c r="D15" i="1"/>
  <c r="J16" i="1"/>
  <c r="O39" i="109"/>
  <c r="C39" i="65"/>
  <c r="K41" i="12"/>
  <c r="E45" i="15"/>
  <c r="E55" i="15" s="1"/>
  <c r="C42" i="109"/>
  <c r="C31" i="109"/>
  <c r="E53" i="109"/>
  <c r="E53" i="65" s="1"/>
  <c r="P52" i="70" s="1"/>
  <c r="Q52" i="70" s="1"/>
  <c r="E10" i="1"/>
  <c r="E51" i="109" s="1"/>
  <c r="E51" i="65" s="1"/>
  <c r="P50" i="70" s="1"/>
  <c r="Q50" i="70" s="1"/>
  <c r="N37" i="12"/>
  <c r="P37" i="12" s="1"/>
  <c r="L37" i="12"/>
  <c r="K17" i="12"/>
  <c r="L42" i="12"/>
  <c r="N42" i="12"/>
  <c r="P42" i="12" s="1"/>
  <c r="F10" i="128"/>
  <c r="E19" i="1"/>
  <c r="E18" i="1" s="1"/>
  <c r="E54" i="109" s="1"/>
  <c r="E54" i="65" s="1"/>
  <c r="P53" i="70" s="1"/>
  <c r="K11" i="12"/>
  <c r="K40" i="12"/>
  <c r="C44" i="65"/>
  <c r="O44" i="109"/>
  <c r="O38" i="109"/>
  <c r="C38" i="65"/>
  <c r="D55" i="109"/>
  <c r="J21" i="1"/>
  <c r="D23" i="128"/>
  <c r="G21" i="128"/>
  <c r="H25" i="15"/>
  <c r="Q25" i="12"/>
  <c r="F28" i="15"/>
  <c r="H42" i="15"/>
  <c r="Q42" i="12"/>
  <c r="R42" i="12" s="1"/>
  <c r="S42" i="12" s="1"/>
  <c r="T42" i="12" s="1"/>
  <c r="Q35" i="12"/>
  <c r="H35" i="15"/>
  <c r="E12" i="43"/>
  <c r="E33" i="132"/>
  <c r="K22" i="132"/>
  <c r="L22" i="132"/>
  <c r="I164" i="34"/>
  <c r="F28" i="33"/>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L20" i="41"/>
  <c r="L15" i="41" s="1"/>
  <c r="L10" i="41" s="1"/>
  <c r="J28" i="41"/>
  <c r="J27" i="41" s="1"/>
  <c r="J30" i="41"/>
  <c r="M20" i="41"/>
  <c r="M15" i="41" s="1"/>
  <c r="M10" i="41" s="1"/>
  <c r="K28" i="41"/>
  <c r="K27" i="41" s="1"/>
  <c r="K30" i="41"/>
  <c r="R22" i="41"/>
  <c r="L28" i="41"/>
  <c r="L27" i="41" s="1"/>
  <c r="L30" i="41"/>
  <c r="O28" i="41"/>
  <c r="O27" i="41" s="1"/>
  <c r="Q28" i="41"/>
  <c r="Q27" i="41" s="1"/>
  <c r="N30" i="41"/>
  <c r="N48" i="41" s="1"/>
  <c r="N49" i="41" s="1"/>
  <c r="O30" i="41"/>
  <c r="R33" i="41"/>
  <c r="Q30" i="41"/>
  <c r="Q48" i="41" s="1"/>
  <c r="Q49" i="41" s="1"/>
  <c r="G22" i="40"/>
  <c r="E22" i="41" s="1"/>
  <c r="G29" i="40"/>
  <c r="E29" i="41" s="1"/>
  <c r="G23" i="40"/>
  <c r="E23" i="41" s="1"/>
  <c r="G26" i="40"/>
  <c r="E26" i="41" s="1"/>
  <c r="G21" i="40"/>
  <c r="E21" i="41" s="1"/>
  <c r="J49" i="41"/>
  <c r="K49" i="41"/>
  <c r="L49" i="41"/>
  <c r="V47" i="41"/>
  <c r="C81" i="10"/>
  <c r="C22" i="10"/>
  <c r="C27" i="10"/>
  <c r="C104" i="10"/>
  <c r="H98" i="132"/>
  <c r="C58" i="22" s="1"/>
  <c r="G28" i="39"/>
  <c r="G27" i="39" s="1"/>
  <c r="D19" i="38" s="1"/>
  <c r="J19" i="38" s="1"/>
  <c r="G45" i="39"/>
  <c r="K28" i="40"/>
  <c r="K27" i="40" s="1"/>
  <c r="D29" i="38" s="1"/>
  <c r="C22" i="22"/>
  <c r="O22" i="22" s="1"/>
  <c r="G25" i="39"/>
  <c r="G24" i="39" s="1"/>
  <c r="D18" i="38" s="1"/>
  <c r="J18" i="38" s="1"/>
  <c r="K25" i="40"/>
  <c r="K24" i="40" s="1"/>
  <c r="D28" i="38" s="1"/>
  <c r="J28" i="38" s="1"/>
  <c r="K45" i="40"/>
  <c r="G39" i="39"/>
  <c r="G30" i="39"/>
  <c r="D20" i="38" s="1"/>
  <c r="J20" i="38" s="1"/>
  <c r="X30" i="41"/>
  <c r="E30" i="38" s="1"/>
  <c r="Y17" i="25"/>
  <c r="Y16" i="25" s="1"/>
  <c r="H72" i="132" l="1"/>
  <c r="C36" i="22"/>
  <c r="F98" i="10"/>
  <c r="G98" i="10"/>
  <c r="C26" i="40"/>
  <c r="F26" i="39"/>
  <c r="C26" i="41"/>
  <c r="C25" i="41" s="1"/>
  <c r="C24" i="41" s="1"/>
  <c r="C25" i="39"/>
  <c r="O48" i="41"/>
  <c r="F20" i="41"/>
  <c r="R21" i="41"/>
  <c r="K38" i="65"/>
  <c r="D37" i="70"/>
  <c r="E37" i="70" s="1"/>
  <c r="D53" i="109"/>
  <c r="J15" i="1"/>
  <c r="D10" i="1"/>
  <c r="L15" i="12"/>
  <c r="N15" i="12"/>
  <c r="P15" i="12" s="1"/>
  <c r="R15" i="12" s="1"/>
  <c r="S15" i="12" s="1"/>
  <c r="T15" i="12" s="1"/>
  <c r="I31" i="22"/>
  <c r="AJ18" i="25"/>
  <c r="AJ16" i="25" s="1"/>
  <c r="Y41" i="25"/>
  <c r="Y39" i="25" s="1"/>
  <c r="Y10" i="25"/>
  <c r="C21" i="10"/>
  <c r="C30" i="10"/>
  <c r="K20" i="40"/>
  <c r="K15" i="40" s="1"/>
  <c r="E18" i="22"/>
  <c r="J22" i="132"/>
  <c r="F120" i="10"/>
  <c r="C103" i="10"/>
  <c r="G120" i="10"/>
  <c r="C21" i="40"/>
  <c r="C15" i="39"/>
  <c r="C21" i="41"/>
  <c r="F21" i="39"/>
  <c r="R32" i="41"/>
  <c r="M30" i="41"/>
  <c r="I54" i="22"/>
  <c r="AJ35" i="25"/>
  <c r="F14" i="45"/>
  <c r="F10" i="45" s="1"/>
  <c r="R50" i="70"/>
  <c r="I55" i="15"/>
  <c r="F55" i="15" s="1"/>
  <c r="F31" i="15"/>
  <c r="G55" i="15"/>
  <c r="H55" i="15" s="1"/>
  <c r="H31" i="15"/>
  <c r="G84" i="10"/>
  <c r="F84" i="10"/>
  <c r="C23" i="41"/>
  <c r="U23" i="41" s="1"/>
  <c r="C23" i="40"/>
  <c r="J23" i="40" s="1"/>
  <c r="F23" i="39"/>
  <c r="R26" i="41"/>
  <c r="M25" i="41"/>
  <c r="E73" i="132"/>
  <c r="R52" i="70"/>
  <c r="Q31" i="12"/>
  <c r="R22" i="12"/>
  <c r="S22" i="12" s="1"/>
  <c r="T22" i="12" s="1"/>
  <c r="K44" i="65"/>
  <c r="D43" i="70"/>
  <c r="E43" i="70" s="1"/>
  <c r="L25" i="12"/>
  <c r="N25" i="12"/>
  <c r="P25" i="12" s="1"/>
  <c r="R25" i="12" s="1"/>
  <c r="S25" i="12" s="1"/>
  <c r="T25" i="12" s="1"/>
  <c r="F45" i="15"/>
  <c r="X20" i="41"/>
  <c r="C16" i="10"/>
  <c r="C22" i="41"/>
  <c r="F22" i="39"/>
  <c r="C22" i="40"/>
  <c r="J22" i="40" s="1"/>
  <c r="R46" i="41"/>
  <c r="M45" i="41"/>
  <c r="R45" i="41" s="1"/>
  <c r="E63" i="132"/>
  <c r="L40" i="12"/>
  <c r="N40" i="12"/>
  <c r="P40" i="12" s="1"/>
  <c r="R40" i="12" s="1"/>
  <c r="S40" i="12" s="1"/>
  <c r="T40" i="12" s="1"/>
  <c r="C31" i="65"/>
  <c r="L20" i="12"/>
  <c r="N20" i="12"/>
  <c r="P20" i="12" s="1"/>
  <c r="R20" i="12" s="1"/>
  <c r="S20" i="12" s="1"/>
  <c r="T20" i="12" s="1"/>
  <c r="R37" i="12"/>
  <c r="S37" i="12" s="1"/>
  <c r="T37" i="12" s="1"/>
  <c r="R34" i="12"/>
  <c r="Q45" i="12"/>
  <c r="N28" i="12"/>
  <c r="P28" i="12" s="1"/>
  <c r="R28" i="12" s="1"/>
  <c r="S28" i="12" s="1"/>
  <c r="T28" i="12" s="1"/>
  <c r="L28" i="12"/>
  <c r="G20" i="39"/>
  <c r="G15" i="39" s="1"/>
  <c r="C112" i="10"/>
  <c r="C111" i="10" s="1"/>
  <c r="C100" i="10"/>
  <c r="AJ34" i="25"/>
  <c r="AJ33" i="25" s="1"/>
  <c r="AJ44" i="25" s="1"/>
  <c r="J162" i="34"/>
  <c r="I53" i="22"/>
  <c r="H48" i="57"/>
  <c r="D50" i="57"/>
  <c r="D48" i="57" s="1"/>
  <c r="F48" i="57" s="1"/>
  <c r="K39" i="40"/>
  <c r="K30" i="40" s="1"/>
  <c r="D30" i="38" s="1"/>
  <c r="J30" i="38" s="1"/>
  <c r="O58" i="22"/>
  <c r="C57" i="22"/>
  <c r="C15" i="10"/>
  <c r="C26" i="10"/>
  <c r="C13" i="10" s="1"/>
  <c r="W47" i="41"/>
  <c r="F43" i="39"/>
  <c r="C43" i="40"/>
  <c r="C43" i="41"/>
  <c r="C39" i="41" s="1"/>
  <c r="C39" i="39"/>
  <c r="F39" i="39" s="1"/>
  <c r="L48" i="41"/>
  <c r="F25" i="33"/>
  <c r="F26" i="33"/>
  <c r="H164" i="34"/>
  <c r="F46" i="132"/>
  <c r="E46" i="132"/>
  <c r="N11" i="12"/>
  <c r="L11" i="12"/>
  <c r="N21" i="12"/>
  <c r="P21" i="12" s="1"/>
  <c r="R21" i="12" s="1"/>
  <c r="S21" i="12" s="1"/>
  <c r="T21" i="12" s="1"/>
  <c r="L21" i="12"/>
  <c r="R26" i="12"/>
  <c r="S26" i="12" s="1"/>
  <c r="T26" i="12" s="1"/>
  <c r="N35" i="12"/>
  <c r="L35" i="12"/>
  <c r="I30" i="41"/>
  <c r="I48" i="41" s="1"/>
  <c r="I49" i="41" s="1"/>
  <c r="R38" i="41"/>
  <c r="F27" i="45"/>
  <c r="C42" i="65"/>
  <c r="J34" i="38"/>
  <c r="E33" i="38"/>
  <c r="N50" i="12"/>
  <c r="C12" i="13" s="1"/>
  <c r="D12" i="13" s="1"/>
  <c r="P47" i="12"/>
  <c r="P50" i="12" s="1"/>
  <c r="C45" i="39"/>
  <c r="F45" i="39" s="1"/>
  <c r="C46" i="40"/>
  <c r="F46" i="39"/>
  <c r="C46" i="41"/>
  <c r="C45" i="41" s="1"/>
  <c r="C30" i="22"/>
  <c r="H52" i="132"/>
  <c r="C40" i="10"/>
  <c r="C36" i="41"/>
  <c r="C36" i="40"/>
  <c r="J36" i="40" s="1"/>
  <c r="F36" i="39"/>
  <c r="C37" i="41"/>
  <c r="F37" i="39"/>
  <c r="C37" i="40"/>
  <c r="J37" i="40" s="1"/>
  <c r="G164" i="34"/>
  <c r="G23" i="132"/>
  <c r="E23" i="132"/>
  <c r="F23" i="132"/>
  <c r="L52" i="12"/>
  <c r="N52" i="12"/>
  <c r="C40" i="25"/>
  <c r="C10" i="25"/>
  <c r="I35" i="132"/>
  <c r="I45" i="132"/>
  <c r="I42" i="132" s="1"/>
  <c r="L66" i="59"/>
  <c r="I67" i="59"/>
  <c r="C38" i="40"/>
  <c r="J38" i="40" s="1"/>
  <c r="C38" i="41"/>
  <c r="U38" i="41" s="1"/>
  <c r="X28" i="41"/>
  <c r="U29" i="41"/>
  <c r="E31" i="38"/>
  <c r="J31" i="38" s="1"/>
  <c r="F69" i="10"/>
  <c r="G69" i="10"/>
  <c r="C29" i="10"/>
  <c r="C68" i="10"/>
  <c r="C60" i="10" s="1"/>
  <c r="C17" i="22"/>
  <c r="C102" i="10"/>
  <c r="C105" i="10"/>
  <c r="C23" i="10"/>
  <c r="C11" i="10" s="1"/>
  <c r="C34" i="41"/>
  <c r="F34" i="39"/>
  <c r="C34" i="40"/>
  <c r="J34" i="40" s="1"/>
  <c r="C35" i="41"/>
  <c r="F35" i="39"/>
  <c r="C35" i="40"/>
  <c r="J35" i="40" s="1"/>
  <c r="R23" i="41"/>
  <c r="K20" i="41"/>
  <c r="K15" i="41" s="1"/>
  <c r="K10" i="41" s="1"/>
  <c r="K48" i="41" s="1"/>
  <c r="R43" i="41"/>
  <c r="M39" i="41"/>
  <c r="R39" i="41" s="1"/>
  <c r="F21" i="45"/>
  <c r="G24" i="132"/>
  <c r="G10" i="128"/>
  <c r="D21" i="128"/>
  <c r="L41" i="12"/>
  <c r="N41" i="12"/>
  <c r="P41" i="12" s="1"/>
  <c r="Q50" i="12"/>
  <c r="R47" i="12"/>
  <c r="G24" i="33"/>
  <c r="G23" i="33" s="1"/>
  <c r="G22" i="33" s="1"/>
  <c r="X17" i="25"/>
  <c r="X16" i="25" s="1"/>
  <c r="C12" i="10"/>
  <c r="C96" i="10"/>
  <c r="C88" i="10" s="1"/>
  <c r="F33" i="39"/>
  <c r="C33" i="40"/>
  <c r="J33" i="40" s="1"/>
  <c r="C33" i="41"/>
  <c r="D38" i="70"/>
  <c r="E38" i="70" s="1"/>
  <c r="K39" i="65"/>
  <c r="R24" i="12"/>
  <c r="S24" i="12" s="1"/>
  <c r="T24" i="12" s="1"/>
  <c r="C50" i="10"/>
  <c r="C28" i="39"/>
  <c r="C29" i="41"/>
  <c r="C28" i="41" s="1"/>
  <c r="C27" i="41" s="1"/>
  <c r="C29" i="40"/>
  <c r="F29" i="39"/>
  <c r="F28" i="41"/>
  <c r="R29" i="41"/>
  <c r="N17" i="12"/>
  <c r="P17" i="12" s="1"/>
  <c r="R17" i="12" s="1"/>
  <c r="S17" i="12" s="1"/>
  <c r="T17" i="12" s="1"/>
  <c r="L17" i="12"/>
  <c r="L44" i="70"/>
  <c r="F32" i="39"/>
  <c r="C32" i="41"/>
  <c r="C32" i="40"/>
  <c r="C30" i="39"/>
  <c r="F30" i="39" s="1"/>
  <c r="J20" i="41"/>
  <c r="J15" i="41" s="1"/>
  <c r="J10" i="41" s="1"/>
  <c r="J48" i="41" s="1"/>
  <c r="D55" i="65"/>
  <c r="O55" i="109"/>
  <c r="J45" i="70"/>
  <c r="K45" i="70" s="1"/>
  <c r="K46" i="65"/>
  <c r="R41" i="12"/>
  <c r="S41" i="12" s="1"/>
  <c r="T41" i="12" s="1"/>
  <c r="C99" i="11"/>
  <c r="D16" i="20"/>
  <c r="C10" i="20"/>
  <c r="M9" i="20" s="1"/>
  <c r="L9" i="20" s="1"/>
  <c r="G24" i="114"/>
  <c r="E38" i="7"/>
  <c r="F23" i="114"/>
  <c r="G26" i="114"/>
  <c r="G23" i="114"/>
  <c r="F14" i="114"/>
  <c r="F26" i="114"/>
  <c r="G14" i="114"/>
  <c r="F25" i="114"/>
  <c r="D14" i="16"/>
  <c r="F38" i="114"/>
  <c r="G30" i="114"/>
  <c r="G38" i="114"/>
  <c r="G12" i="114"/>
  <c r="F11" i="16"/>
  <c r="D13" i="16"/>
  <c r="I27" i="114"/>
  <c r="J27" i="114"/>
  <c r="H38" i="114"/>
  <c r="F24" i="114"/>
  <c r="E15" i="16"/>
  <c r="C10" i="16"/>
  <c r="E35" i="114"/>
  <c r="H35" i="114" s="1"/>
  <c r="I70" i="132"/>
  <c r="I67" i="132" s="1"/>
  <c r="H70" i="132"/>
  <c r="H67" i="132" s="1"/>
  <c r="C34" i="22" s="1"/>
  <c r="J70" i="132"/>
  <c r="J67" i="132" s="1"/>
  <c r="H50" i="132"/>
  <c r="H47" i="132" s="1"/>
  <c r="C26" i="22" s="1"/>
  <c r="O26" i="22" s="1"/>
  <c r="F91" i="10"/>
  <c r="G94" i="10"/>
  <c r="E61" i="10"/>
  <c r="E16" i="132"/>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E15" i="19" l="1"/>
  <c r="C49" i="7" s="1"/>
  <c r="E27" i="19"/>
  <c r="E25" i="19" s="1"/>
  <c r="E28" i="19" s="1"/>
  <c r="G35" i="114"/>
  <c r="J32" i="114"/>
  <c r="J17" i="9"/>
  <c r="E17" i="7" s="1"/>
  <c r="J11" i="9"/>
  <c r="J24" i="9"/>
  <c r="E18" i="7" s="1"/>
  <c r="I27" i="8"/>
  <c r="J66" i="8"/>
  <c r="G37" i="114"/>
  <c r="J36" i="114"/>
  <c r="K10" i="114"/>
  <c r="E43" i="7" s="1"/>
  <c r="H11" i="114"/>
  <c r="F38" i="70"/>
  <c r="C39" i="25"/>
  <c r="W40" i="25"/>
  <c r="C30" i="41"/>
  <c r="U30" i="41" s="1"/>
  <c r="R30" i="41"/>
  <c r="F89" i="10"/>
  <c r="H96" i="10"/>
  <c r="H88" i="10" s="1"/>
  <c r="C28" i="7" s="1"/>
  <c r="E97" i="10"/>
  <c r="J22" i="10"/>
  <c r="G22" i="10" s="1"/>
  <c r="G32" i="10"/>
  <c r="J50" i="10"/>
  <c r="G51" i="10"/>
  <c r="E108" i="10"/>
  <c r="H105" i="10"/>
  <c r="H102" i="10"/>
  <c r="E102" i="10" s="1"/>
  <c r="J26" i="8"/>
  <c r="I30" i="8"/>
  <c r="J38" i="9"/>
  <c r="E20" i="7" s="1"/>
  <c r="J52" i="9"/>
  <c r="E22" i="7" s="1"/>
  <c r="I36" i="114"/>
  <c r="F37" i="114"/>
  <c r="K21" i="114"/>
  <c r="E44" i="7" s="1"/>
  <c r="H22" i="114"/>
  <c r="L45" i="70"/>
  <c r="E35" i="109"/>
  <c r="J33" i="38"/>
  <c r="J43" i="40"/>
  <c r="D30" i="70"/>
  <c r="E30" i="70" s="1"/>
  <c r="G37" i="10"/>
  <c r="J27" i="10"/>
  <c r="H16" i="10"/>
  <c r="C25" i="7" s="1"/>
  <c r="E17" i="10"/>
  <c r="J95" i="9"/>
  <c r="F16" i="20"/>
  <c r="E19" i="132"/>
  <c r="J13" i="9"/>
  <c r="E41" i="10"/>
  <c r="H40" i="10"/>
  <c r="D10" i="128"/>
  <c r="C19" i="1"/>
  <c r="N54" i="12"/>
  <c r="C13" i="13" s="1"/>
  <c r="D13" i="13" s="1"/>
  <c r="P52" i="12"/>
  <c r="C99" i="10"/>
  <c r="R20" i="41"/>
  <c r="R15" i="41" s="1"/>
  <c r="R10" i="41" s="1"/>
  <c r="F15" i="41"/>
  <c r="F10" i="41" s="1"/>
  <c r="G17" i="10"/>
  <c r="J16" i="10"/>
  <c r="E25" i="7" s="1"/>
  <c r="F51" i="10"/>
  <c r="I50" i="10"/>
  <c r="H24" i="9"/>
  <c r="C18" i="7" s="1"/>
  <c r="I65" i="9"/>
  <c r="J54" i="70"/>
  <c r="K54" i="70" s="1"/>
  <c r="K55" i="65"/>
  <c r="X15" i="41"/>
  <c r="U20" i="41"/>
  <c r="U21" i="41"/>
  <c r="C20" i="41"/>
  <c r="C15" i="41" s="1"/>
  <c r="C10" i="41" s="1"/>
  <c r="I67" i="9"/>
  <c r="I60" i="9"/>
  <c r="I95" i="9"/>
  <c r="E34" i="22"/>
  <c r="E27" i="22" s="1"/>
  <c r="E25" i="109" s="1"/>
  <c r="E25" i="65" s="1"/>
  <c r="P25" i="70" s="1"/>
  <c r="Q25" i="70" s="1"/>
  <c r="J52" i="132"/>
  <c r="G22" i="114"/>
  <c r="J21" i="114"/>
  <c r="D44" i="7" s="1"/>
  <c r="R28" i="41"/>
  <c r="F27" i="41"/>
  <c r="U28" i="41"/>
  <c r="X27" i="41"/>
  <c r="C27" i="22"/>
  <c r="D41" i="70"/>
  <c r="E41" i="70" s="1"/>
  <c r="P11" i="12"/>
  <c r="N31" i="12"/>
  <c r="D17" i="38"/>
  <c r="G10" i="39"/>
  <c r="C10" i="39"/>
  <c r="F15" i="39"/>
  <c r="AJ41" i="25"/>
  <c r="AJ39" i="25" s="1"/>
  <c r="AJ10" i="25"/>
  <c r="C24" i="39"/>
  <c r="F24" i="39" s="1"/>
  <c r="F25" i="39"/>
  <c r="F11" i="20"/>
  <c r="I10" i="20"/>
  <c r="E53" i="7" s="1"/>
  <c r="N62" i="109"/>
  <c r="I102" i="10"/>
  <c r="F102" i="10" s="1"/>
  <c r="F108" i="10"/>
  <c r="I105" i="10"/>
  <c r="J26" i="10"/>
  <c r="G36" i="10"/>
  <c r="H50" i="10"/>
  <c r="E51" i="10"/>
  <c r="I81" i="9"/>
  <c r="E16" i="20"/>
  <c r="J45" i="9"/>
  <c r="E21" i="7" s="1"/>
  <c r="E12" i="16"/>
  <c r="G11" i="16"/>
  <c r="D19" i="16"/>
  <c r="F18" i="16"/>
  <c r="D18" i="16" s="1"/>
  <c r="C16" i="19"/>
  <c r="D16" i="19" s="1"/>
  <c r="L24" i="114"/>
  <c r="L21" i="114" s="1"/>
  <c r="C11" i="19"/>
  <c r="C58" i="7"/>
  <c r="C17" i="19"/>
  <c r="E23" i="19"/>
  <c r="E29" i="19" s="1"/>
  <c r="M24" i="41"/>
  <c r="R24" i="41" s="1"/>
  <c r="R25" i="41"/>
  <c r="C20" i="40"/>
  <c r="J21" i="40"/>
  <c r="O31" i="22"/>
  <c r="V14" i="73"/>
  <c r="I27" i="22"/>
  <c r="I100" i="10"/>
  <c r="F113" i="10"/>
  <c r="I112" i="10"/>
  <c r="I111" i="10" s="1"/>
  <c r="I26" i="10"/>
  <c r="F36" i="10"/>
  <c r="E36" i="10"/>
  <c r="H26" i="10"/>
  <c r="J119" i="9"/>
  <c r="J118" i="9" s="1"/>
  <c r="I52" i="9"/>
  <c r="D22" i="7" s="1"/>
  <c r="D34" i="22"/>
  <c r="D27" i="22" s="1"/>
  <c r="D25" i="109" s="1"/>
  <c r="D25" i="65" s="1"/>
  <c r="J25" i="70" s="1"/>
  <c r="K25" i="70" s="1"/>
  <c r="I52" i="132"/>
  <c r="G25" i="114"/>
  <c r="I21" i="114"/>
  <c r="C44" i="7" s="1"/>
  <c r="F22" i="114"/>
  <c r="J32" i="40"/>
  <c r="J29" i="40"/>
  <c r="C28" i="40"/>
  <c r="G12" i="10"/>
  <c r="F12" i="10"/>
  <c r="E12" i="10"/>
  <c r="F20" i="45"/>
  <c r="C30" i="109"/>
  <c r="O57" i="22"/>
  <c r="G121" i="10"/>
  <c r="J104" i="10"/>
  <c r="G104" i="10" s="1"/>
  <c r="X41" i="25"/>
  <c r="X10" i="25"/>
  <c r="F43" i="70"/>
  <c r="F103" i="10"/>
  <c r="G103" i="10"/>
  <c r="J26" i="40"/>
  <c r="C25" i="40"/>
  <c r="F97" i="10"/>
  <c r="I96" i="10"/>
  <c r="I14" i="10" s="1"/>
  <c r="F17" i="10"/>
  <c r="I16" i="10"/>
  <c r="D25" i="7" s="1"/>
  <c r="E120" i="10"/>
  <c r="H103" i="10"/>
  <c r="E103" i="10" s="1"/>
  <c r="J105" i="10"/>
  <c r="J102" i="10"/>
  <c r="G102" i="10" s="1"/>
  <c r="G108" i="10"/>
  <c r="I119" i="9"/>
  <c r="I118" i="9" s="1"/>
  <c r="I23" i="10"/>
  <c r="F23" i="10" s="1"/>
  <c r="F33" i="10"/>
  <c r="I102" i="9"/>
  <c r="G11" i="114"/>
  <c r="J10" i="114"/>
  <c r="D43" i="7" s="1"/>
  <c r="H100" i="10"/>
  <c r="E113" i="10"/>
  <c r="H112" i="10"/>
  <c r="H111" i="10" s="1"/>
  <c r="J61" i="9"/>
  <c r="G31" i="10"/>
  <c r="J21" i="10"/>
  <c r="J60" i="9"/>
  <c r="J67" i="9"/>
  <c r="K66" i="59"/>
  <c r="H67" i="59"/>
  <c r="D15" i="16"/>
  <c r="I10" i="114"/>
  <c r="C43" i="7" s="1"/>
  <c r="F11" i="114"/>
  <c r="G18" i="16"/>
  <c r="E18" i="16" s="1"/>
  <c r="E19" i="16"/>
  <c r="J16" i="114"/>
  <c r="G18" i="114"/>
  <c r="C14" i="20"/>
  <c r="M10" i="20" s="1"/>
  <c r="L10" i="20" s="1"/>
  <c r="F28" i="39"/>
  <c r="C27" i="39"/>
  <c r="F27" i="39" s="1"/>
  <c r="H22" i="132"/>
  <c r="L65" i="59"/>
  <c r="I66" i="59"/>
  <c r="S34" i="12"/>
  <c r="T34" i="12" s="1"/>
  <c r="D51" i="109"/>
  <c r="D51" i="65" s="1"/>
  <c r="J50" i="70" s="1"/>
  <c r="K50" i="70" s="1"/>
  <c r="C15" i="68"/>
  <c r="E32" i="10"/>
  <c r="H22" i="10"/>
  <c r="E22" i="10" s="1"/>
  <c r="F37" i="10"/>
  <c r="I27" i="10"/>
  <c r="H30" i="8"/>
  <c r="H61" i="9"/>
  <c r="F121" i="10"/>
  <c r="I104" i="10"/>
  <c r="F104" i="10" s="1"/>
  <c r="I30" i="10"/>
  <c r="I21" i="10"/>
  <c r="I11" i="10" s="1"/>
  <c r="F31" i="10"/>
  <c r="H31" i="9"/>
  <c r="C19" i="7" s="1"/>
  <c r="H45" i="9"/>
  <c r="C21" i="7" s="1"/>
  <c r="H81" i="9"/>
  <c r="J25" i="8"/>
  <c r="I26" i="8"/>
  <c r="D47" i="57"/>
  <c r="D46" i="57" s="1"/>
  <c r="H46" i="57"/>
  <c r="H10" i="57" s="1"/>
  <c r="H37" i="114"/>
  <c r="K36" i="114"/>
  <c r="K31" i="114" s="1"/>
  <c r="E45" i="7" s="1"/>
  <c r="G13" i="114"/>
  <c r="H14" i="114"/>
  <c r="C109" i="11"/>
  <c r="C108" i="11" s="1"/>
  <c r="C94" i="11"/>
  <c r="C93" i="11" s="1"/>
  <c r="R50" i="12"/>
  <c r="S47" i="12"/>
  <c r="T47" i="12" s="1"/>
  <c r="T50" i="12" s="1"/>
  <c r="E12" i="13" s="1"/>
  <c r="O17" i="22"/>
  <c r="C16" i="22"/>
  <c r="J46" i="40"/>
  <c r="C45" i="40"/>
  <c r="J45" i="40" s="1"/>
  <c r="G89" i="10"/>
  <c r="J112" i="10"/>
  <c r="J111" i="10" s="1"/>
  <c r="J100" i="10"/>
  <c r="G113" i="10"/>
  <c r="H67" i="9"/>
  <c r="H60" i="9"/>
  <c r="I61" i="9"/>
  <c r="I32" i="114"/>
  <c r="I31" i="114" s="1"/>
  <c r="C45" i="7" s="1"/>
  <c r="F35" i="114"/>
  <c r="J81" i="10"/>
  <c r="E27" i="7" s="1"/>
  <c r="G82" i="10"/>
  <c r="H25" i="8"/>
  <c r="J40" i="10"/>
  <c r="G41" i="10"/>
  <c r="E69" i="10"/>
  <c r="H68" i="10"/>
  <c r="H60" i="10" s="1"/>
  <c r="H29" i="10"/>
  <c r="F41" i="10"/>
  <c r="I40" i="10"/>
  <c r="G61" i="10"/>
  <c r="J60" i="10"/>
  <c r="G97" i="10"/>
  <c r="J96" i="10"/>
  <c r="J14" i="10" s="1"/>
  <c r="G14" i="10" s="1"/>
  <c r="I81" i="10"/>
  <c r="D27" i="7" s="1"/>
  <c r="F82" i="10"/>
  <c r="I38" i="9"/>
  <c r="D20" i="7" s="1"/>
  <c r="I62" i="9"/>
  <c r="J81" i="9"/>
  <c r="J63" i="8"/>
  <c r="I50" i="57"/>
  <c r="G48" i="57"/>
  <c r="E50" i="57"/>
  <c r="J102" i="9"/>
  <c r="E19" i="109"/>
  <c r="E19" i="65" s="1"/>
  <c r="P19" i="70" s="1"/>
  <c r="Q19" i="70" s="1"/>
  <c r="D24" i="22"/>
  <c r="I22" i="132"/>
  <c r="O18" i="22"/>
  <c r="E16" i="22"/>
  <c r="D53" i="65"/>
  <c r="O53" i="109"/>
  <c r="C35" i="22"/>
  <c r="O36" i="22"/>
  <c r="H104" i="10"/>
  <c r="E104" i="10" s="1"/>
  <c r="E121" i="10"/>
  <c r="H99" i="11"/>
  <c r="E99" i="11" s="1"/>
  <c r="E114" i="11"/>
  <c r="F32" i="10"/>
  <c r="I22" i="10"/>
  <c r="F22" i="10" s="1"/>
  <c r="H102" i="9"/>
  <c r="E33" i="10"/>
  <c r="H23" i="10"/>
  <c r="E23" i="10" s="1"/>
  <c r="I60" i="10"/>
  <c r="F61" i="10"/>
  <c r="H21" i="10"/>
  <c r="H30" i="10"/>
  <c r="E31" i="10"/>
  <c r="H119" i="9"/>
  <c r="H118" i="9" s="1"/>
  <c r="J65" i="9"/>
  <c r="J12" i="9"/>
  <c r="H38" i="9"/>
  <c r="C20" i="7" s="1"/>
  <c r="I47" i="57"/>
  <c r="E24" i="47" s="1"/>
  <c r="I24" i="47" s="1"/>
  <c r="G46" i="57"/>
  <c r="E47" i="57"/>
  <c r="G29" i="10"/>
  <c r="C28" i="10"/>
  <c r="C14" i="10" s="1"/>
  <c r="C10" i="10" s="1"/>
  <c r="F29" i="10"/>
  <c r="N45" i="12"/>
  <c r="C11" i="13" s="1"/>
  <c r="D11" i="13" s="1"/>
  <c r="P35" i="12"/>
  <c r="V27" i="73"/>
  <c r="W27" i="73" s="1"/>
  <c r="O53" i="22"/>
  <c r="I52" i="22"/>
  <c r="Q55" i="12"/>
  <c r="V28" i="73"/>
  <c r="W28" i="73" s="1"/>
  <c r="O54" i="22"/>
  <c r="D27" i="38"/>
  <c r="K10" i="40"/>
  <c r="F37" i="70"/>
  <c r="E20" i="132"/>
  <c r="E21" i="132"/>
  <c r="J30" i="10"/>
  <c r="J31" i="9"/>
  <c r="E19" i="7" s="1"/>
  <c r="I12" i="9"/>
  <c r="J61" i="8"/>
  <c r="H53" i="8"/>
  <c r="C14" i="7" s="1"/>
  <c r="J75" i="8"/>
  <c r="J53" i="8"/>
  <c r="E14" i="7" s="1"/>
  <c r="J68" i="8"/>
  <c r="E47" i="10"/>
  <c r="N63" i="109"/>
  <c r="E95" i="10"/>
  <c r="M63" i="109"/>
  <c r="K63" i="109"/>
  <c r="L63" i="109"/>
  <c r="H27" i="8" l="1"/>
  <c r="H32" i="8"/>
  <c r="F11" i="10"/>
  <c r="I61" i="8"/>
  <c r="I68" i="8"/>
  <c r="H66" i="8"/>
  <c r="H82" i="8"/>
  <c r="H12" i="9"/>
  <c r="C14" i="22"/>
  <c r="O14" i="22" s="1"/>
  <c r="E13" i="132"/>
  <c r="D16" i="22"/>
  <c r="O24" i="22"/>
  <c r="V10" i="73"/>
  <c r="W10" i="73" s="1"/>
  <c r="W14" i="73"/>
  <c r="J13" i="10"/>
  <c r="G13" i="10" s="1"/>
  <c r="G26" i="10"/>
  <c r="R27" i="41"/>
  <c r="F48" i="41"/>
  <c r="D15" i="20"/>
  <c r="G14" i="20"/>
  <c r="C54" i="7" s="1"/>
  <c r="E37" i="10"/>
  <c r="H27" i="10"/>
  <c r="J30" i="8"/>
  <c r="J21" i="8"/>
  <c r="I16" i="9"/>
  <c r="C12" i="22"/>
  <c r="E11" i="132"/>
  <c r="I46" i="57"/>
  <c r="E46" i="57"/>
  <c r="G10" i="57"/>
  <c r="M62" i="109"/>
  <c r="H52" i="7"/>
  <c r="M61" i="109" s="1"/>
  <c r="I75" i="8"/>
  <c r="H95" i="9"/>
  <c r="O52" i="22"/>
  <c r="I29" i="109"/>
  <c r="I15" i="10"/>
  <c r="F15" i="10" s="1"/>
  <c r="F27" i="10"/>
  <c r="K65" i="59"/>
  <c r="H66" i="59"/>
  <c r="G21" i="10"/>
  <c r="H13" i="10"/>
  <c r="E13" i="10" s="1"/>
  <c r="E26" i="10"/>
  <c r="F10" i="39"/>
  <c r="C18" i="1"/>
  <c r="J19" i="1"/>
  <c r="C20" i="10"/>
  <c r="R19" i="70"/>
  <c r="H52" i="9"/>
  <c r="C22" i="7" s="1"/>
  <c r="J22" i="7" s="1"/>
  <c r="X39" i="25"/>
  <c r="G30" i="22"/>
  <c r="AH41" i="25"/>
  <c r="C15" i="40"/>
  <c r="J20" i="40"/>
  <c r="D11" i="38"/>
  <c r="J17" i="38"/>
  <c r="F30" i="70"/>
  <c r="W39" i="25"/>
  <c r="F25" i="22"/>
  <c r="G10" i="16"/>
  <c r="C39" i="7" s="1"/>
  <c r="E11" i="16"/>
  <c r="H11" i="16"/>
  <c r="D12" i="16"/>
  <c r="H11" i="9"/>
  <c r="H16" i="9"/>
  <c r="E11" i="20"/>
  <c r="H10" i="20"/>
  <c r="D53" i="7" s="1"/>
  <c r="I66" i="8"/>
  <c r="H75" i="8"/>
  <c r="J16" i="9"/>
  <c r="P45" i="12"/>
  <c r="R35" i="12"/>
  <c r="H13" i="9"/>
  <c r="C24" i="109"/>
  <c r="F46" i="57"/>
  <c r="D10" i="57"/>
  <c r="F10" i="57" s="1"/>
  <c r="H17" i="9"/>
  <c r="C17" i="7" s="1"/>
  <c r="O34" i="22"/>
  <c r="I52" i="7"/>
  <c r="N61" i="109" s="1"/>
  <c r="N55" i="12"/>
  <c r="C10" i="13"/>
  <c r="L54" i="70"/>
  <c r="C39" i="40"/>
  <c r="I11" i="9"/>
  <c r="I17" i="9"/>
  <c r="D17" i="7" s="1"/>
  <c r="J28" i="40"/>
  <c r="C27" i="40"/>
  <c r="J27" i="40" s="1"/>
  <c r="J10" i="9"/>
  <c r="H61" i="8"/>
  <c r="H68" i="8"/>
  <c r="J20" i="7"/>
  <c r="F26" i="10"/>
  <c r="I13" i="10"/>
  <c r="F13" i="10" s="1"/>
  <c r="P31" i="12"/>
  <c r="R11" i="12"/>
  <c r="S11" i="12" s="1"/>
  <c r="T11" i="12" s="1"/>
  <c r="T31" i="12" s="1"/>
  <c r="R25" i="70"/>
  <c r="I63" i="8"/>
  <c r="E27" i="38"/>
  <c r="U15" i="41"/>
  <c r="X10" i="41"/>
  <c r="I31" i="9"/>
  <c r="D19" i="7" s="1"/>
  <c r="J19" i="7" s="1"/>
  <c r="J23" i="10"/>
  <c r="G33" i="10"/>
  <c r="J62" i="8"/>
  <c r="J60" i="8" s="1"/>
  <c r="E15" i="7" s="1"/>
  <c r="I32" i="8"/>
  <c r="I25" i="8"/>
  <c r="O35" i="22"/>
  <c r="C26" i="109"/>
  <c r="I48" i="57"/>
  <c r="E25" i="47" s="1"/>
  <c r="E23" i="47" s="1"/>
  <c r="E48" i="57"/>
  <c r="L50" i="70"/>
  <c r="F14" i="10"/>
  <c r="E62" i="109"/>
  <c r="E61" i="65" s="1"/>
  <c r="P60" i="70" s="1"/>
  <c r="Q60" i="70" s="1"/>
  <c r="J31" i="114"/>
  <c r="D45" i="7" s="1"/>
  <c r="D42" i="7" s="1"/>
  <c r="D20" i="109" s="1"/>
  <c r="D20" i="65" s="1"/>
  <c r="J20" i="70" s="1"/>
  <c r="K20" i="70" s="1"/>
  <c r="H18" i="8"/>
  <c r="I45" i="9"/>
  <c r="D21" i="7" s="1"/>
  <c r="J21" i="7" s="1"/>
  <c r="L62" i="109"/>
  <c r="G52" i="7"/>
  <c r="L61" i="109" s="1"/>
  <c r="H62" i="8"/>
  <c r="G100" i="10"/>
  <c r="J99" i="10"/>
  <c r="E29" i="7" s="1"/>
  <c r="H62" i="9"/>
  <c r="O30" i="109"/>
  <c r="C30" i="65"/>
  <c r="J44" i="7"/>
  <c r="F41" i="70"/>
  <c r="O35" i="109"/>
  <c r="E35" i="65"/>
  <c r="J27" i="8"/>
  <c r="J82" i="8"/>
  <c r="E21" i="10"/>
  <c r="H20" i="10"/>
  <c r="C26" i="7" s="1"/>
  <c r="G10" i="20"/>
  <c r="C53" i="7" s="1"/>
  <c r="D11" i="20"/>
  <c r="I21" i="8"/>
  <c r="I14" i="20"/>
  <c r="E54" i="7" s="1"/>
  <c r="E63" i="109" s="1"/>
  <c r="E62" i="65" s="1"/>
  <c r="P61" i="70" s="1"/>
  <c r="Q61" i="70" s="1"/>
  <c r="F15" i="20"/>
  <c r="F52" i="7"/>
  <c r="K61" i="109" s="1"/>
  <c r="K62" i="109"/>
  <c r="H44" i="11"/>
  <c r="I53" i="8"/>
  <c r="D14" i="7" s="1"/>
  <c r="J14" i="7" s="1"/>
  <c r="I13" i="9"/>
  <c r="C13" i="22"/>
  <c r="O13" i="22" s="1"/>
  <c r="E12" i="132"/>
  <c r="D21" i="38"/>
  <c r="D22" i="38"/>
  <c r="J27" i="38"/>
  <c r="J52" i="70"/>
  <c r="K52" i="70" s="1"/>
  <c r="K53" i="65"/>
  <c r="H28" i="10"/>
  <c r="H14" i="10" s="1"/>
  <c r="E14" i="10" s="1"/>
  <c r="E29" i="10"/>
  <c r="J32" i="8"/>
  <c r="C42" i="7"/>
  <c r="J43" i="7"/>
  <c r="J59" i="9"/>
  <c r="E23" i="7" s="1"/>
  <c r="E16" i="7" s="1"/>
  <c r="E14" i="109" s="1"/>
  <c r="E14" i="65" s="1"/>
  <c r="P14" i="70" s="1"/>
  <c r="Q14" i="70" s="1"/>
  <c r="H99" i="10"/>
  <c r="C29" i="7" s="1"/>
  <c r="J29" i="7" s="1"/>
  <c r="E100" i="10"/>
  <c r="J25" i="40"/>
  <c r="C24" i="40"/>
  <c r="J24" i="40" s="1"/>
  <c r="J58" i="7"/>
  <c r="C57" i="7"/>
  <c r="H18" i="132"/>
  <c r="H14" i="132" s="1"/>
  <c r="C15" i="22" s="1"/>
  <c r="O15" i="22" s="1"/>
  <c r="H11" i="10"/>
  <c r="F10" i="16"/>
  <c r="D39" i="7" s="1"/>
  <c r="D38" i="7" s="1"/>
  <c r="H14" i="20"/>
  <c r="D54" i="7" s="1"/>
  <c r="D63" i="109" s="1"/>
  <c r="D62" i="65" s="1"/>
  <c r="J61" i="70" s="1"/>
  <c r="K61" i="70" s="1"/>
  <c r="E15" i="20"/>
  <c r="H21" i="8"/>
  <c r="E24" i="109"/>
  <c r="E24" i="65" s="1"/>
  <c r="P24" i="70" s="1"/>
  <c r="Q24" i="70" s="1"/>
  <c r="E10" i="22"/>
  <c r="E22" i="109" s="1"/>
  <c r="E22" i="65" s="1"/>
  <c r="P22" i="70" s="1"/>
  <c r="Q22" i="70" s="1"/>
  <c r="H81" i="10"/>
  <c r="C27" i="7" s="1"/>
  <c r="J27" i="7" s="1"/>
  <c r="E82" i="10"/>
  <c r="J18" i="8"/>
  <c r="J24" i="8"/>
  <c r="E13" i="7" s="1"/>
  <c r="I82" i="8"/>
  <c r="I99" i="10"/>
  <c r="D29" i="7" s="1"/>
  <c r="F100" i="10"/>
  <c r="C25" i="109"/>
  <c r="I59" i="9"/>
  <c r="D23" i="7" s="1"/>
  <c r="E42" i="7"/>
  <c r="H63" i="8"/>
  <c r="J88" i="10"/>
  <c r="E28" i="7" s="1"/>
  <c r="I20" i="10"/>
  <c r="D26" i="7" s="1"/>
  <c r="D24" i="7" s="1"/>
  <c r="D15" i="109" s="1"/>
  <c r="D15" i="65" s="1"/>
  <c r="J15" i="70" s="1"/>
  <c r="K15" i="70" s="1"/>
  <c r="F21" i="10"/>
  <c r="L59" i="59"/>
  <c r="I65" i="59"/>
  <c r="L25" i="70"/>
  <c r="E29" i="38"/>
  <c r="J29" i="38" s="1"/>
  <c r="U27" i="41"/>
  <c r="J25" i="7"/>
  <c r="J49" i="7"/>
  <c r="C47" i="7"/>
  <c r="H65" i="9"/>
  <c r="H26" i="8"/>
  <c r="I62" i="8"/>
  <c r="I24" i="9"/>
  <c r="D18" i="7" s="1"/>
  <c r="J18" i="7" s="1"/>
  <c r="I25" i="109"/>
  <c r="I25" i="65" s="1"/>
  <c r="I10" i="22"/>
  <c r="I22" i="109" s="1"/>
  <c r="R52" i="12"/>
  <c r="P54" i="12"/>
  <c r="J15" i="10"/>
  <c r="G15" i="10" s="1"/>
  <c r="G27" i="10"/>
  <c r="I88" i="10"/>
  <c r="D28" i="7" s="1"/>
  <c r="R14" i="70" l="1"/>
  <c r="L20" i="70"/>
  <c r="J47" i="7"/>
  <c r="C21" i="109"/>
  <c r="L52" i="70"/>
  <c r="R54" i="12"/>
  <c r="S52" i="12"/>
  <c r="T52" i="12" s="1"/>
  <c r="T54" i="12" s="1"/>
  <c r="E13" i="13" s="1"/>
  <c r="D19" i="109"/>
  <c r="D19" i="65" s="1"/>
  <c r="J19" i="70" s="1"/>
  <c r="K19" i="70" s="1"/>
  <c r="D37" i="7"/>
  <c r="D18" i="109" s="1"/>
  <c r="D18" i="65" s="1"/>
  <c r="J18" i="70" s="1"/>
  <c r="K18" i="70" s="1"/>
  <c r="I10" i="9"/>
  <c r="Y14" i="73"/>
  <c r="X14" i="73"/>
  <c r="Z14" i="73"/>
  <c r="H20" i="8"/>
  <c r="E12" i="7"/>
  <c r="C20" i="109"/>
  <c r="J42" i="7"/>
  <c r="R61" i="70"/>
  <c r="J20" i="8"/>
  <c r="I24" i="8"/>
  <c r="D13" i="7" s="1"/>
  <c r="I18" i="8"/>
  <c r="U10" i="41"/>
  <c r="X50" i="41"/>
  <c r="U50" i="41" s="1"/>
  <c r="I23" i="8"/>
  <c r="K59" i="59"/>
  <c r="D25" i="47"/>
  <c r="H65" i="59"/>
  <c r="J14" i="8"/>
  <c r="E20" i="109"/>
  <c r="E20" i="65" s="1"/>
  <c r="P20" i="70" s="1"/>
  <c r="Q20" i="70" s="1"/>
  <c r="E37" i="7"/>
  <c r="E18" i="109" s="1"/>
  <c r="E18" i="65" s="1"/>
  <c r="P18" i="70" s="1"/>
  <c r="Q18" i="70" s="1"/>
  <c r="K35" i="65"/>
  <c r="P34" i="70"/>
  <c r="Q34" i="70" s="1"/>
  <c r="J39" i="40"/>
  <c r="C30" i="40"/>
  <c r="J30" i="40" s="1"/>
  <c r="D62" i="109"/>
  <c r="D61" i="65" s="1"/>
  <c r="J60" i="70" s="1"/>
  <c r="K60" i="70" s="1"/>
  <c r="D52" i="7"/>
  <c r="D61" i="109" s="1"/>
  <c r="D60" i="65" s="1"/>
  <c r="J59" i="70" s="1"/>
  <c r="K59" i="70" s="1"/>
  <c r="R60" i="70"/>
  <c r="H23" i="11"/>
  <c r="C24" i="65"/>
  <c r="D24" i="70" s="1"/>
  <c r="E24" i="70" s="1"/>
  <c r="J23" i="8"/>
  <c r="H10" i="10"/>
  <c r="E11" i="10"/>
  <c r="E22" i="38"/>
  <c r="J22" i="38" s="1"/>
  <c r="E21" i="38"/>
  <c r="H19" i="8"/>
  <c r="J57" i="7"/>
  <c r="C66" i="109"/>
  <c r="J45" i="7"/>
  <c r="I29" i="65"/>
  <c r="K29" i="65" s="1"/>
  <c r="O29" i="109"/>
  <c r="I10" i="57"/>
  <c r="E10" i="57"/>
  <c r="E27" i="10"/>
  <c r="H15" i="10"/>
  <c r="E15" i="10" s="1"/>
  <c r="I59" i="59"/>
  <c r="L10" i="59"/>
  <c r="I10" i="59" s="1"/>
  <c r="I14" i="8"/>
  <c r="H17" i="8"/>
  <c r="H60" i="8"/>
  <c r="C15" i="7" s="1"/>
  <c r="J15" i="7" s="1"/>
  <c r="S35" i="12"/>
  <c r="T35" i="12" s="1"/>
  <c r="T45" i="12" s="1"/>
  <c r="E11" i="13" s="1"/>
  <c r="R45" i="12"/>
  <c r="J11" i="38"/>
  <c r="D32" i="109"/>
  <c r="D24" i="109"/>
  <c r="D24" i="65" s="1"/>
  <c r="J24" i="70" s="1"/>
  <c r="K24" i="70" s="1"/>
  <c r="D10" i="22"/>
  <c r="H23" i="8"/>
  <c r="C25" i="65"/>
  <c r="D25" i="70" s="1"/>
  <c r="E25" i="70" s="1"/>
  <c r="R22" i="70"/>
  <c r="H24" i="8"/>
  <c r="C13" i="7" s="1"/>
  <c r="I19" i="8"/>
  <c r="I20" i="8"/>
  <c r="D10" i="13"/>
  <c r="C15" i="13"/>
  <c r="H10" i="9"/>
  <c r="J18" i="1"/>
  <c r="C10" i="1"/>
  <c r="C54" i="109"/>
  <c r="J54" i="7"/>
  <c r="C63" i="109"/>
  <c r="J53" i="7"/>
  <c r="C52" i="7"/>
  <c r="C62" i="109"/>
  <c r="J11" i="10"/>
  <c r="G23" i="10"/>
  <c r="C10" i="40"/>
  <c r="J10" i="40" s="1"/>
  <c r="J15" i="40"/>
  <c r="R24" i="70"/>
  <c r="D29" i="70"/>
  <c r="E29" i="70" s="1"/>
  <c r="K30" i="65"/>
  <c r="E47" i="109"/>
  <c r="E47" i="65" s="1"/>
  <c r="P46" i="70" s="1"/>
  <c r="Q46" i="70" s="1"/>
  <c r="E10" i="47"/>
  <c r="E42" i="109" s="1"/>
  <c r="E42" i="65" s="1"/>
  <c r="P41" i="70" s="1"/>
  <c r="Q41" i="70" s="1"/>
  <c r="H10" i="16"/>
  <c r="D11" i="16"/>
  <c r="J13" i="73"/>
  <c r="AH39" i="25"/>
  <c r="H10" i="132"/>
  <c r="I60" i="8"/>
  <c r="D15" i="7" s="1"/>
  <c r="L15" i="70"/>
  <c r="G27" i="22"/>
  <c r="O30" i="22"/>
  <c r="I22" i="65"/>
  <c r="I10" i="109"/>
  <c r="I10" i="65" s="1"/>
  <c r="J19" i="8"/>
  <c r="J28" i="7"/>
  <c r="H59" i="9"/>
  <c r="C23" i="7" s="1"/>
  <c r="J23" i="7" s="1"/>
  <c r="E10" i="13"/>
  <c r="T55" i="12"/>
  <c r="J39" i="7"/>
  <c r="C38" i="7"/>
  <c r="J20" i="10"/>
  <c r="E26" i="7" s="1"/>
  <c r="E24" i="7" s="1"/>
  <c r="E15" i="109" s="1"/>
  <c r="E15" i="65" s="1"/>
  <c r="P15" i="70" s="1"/>
  <c r="Q15" i="70" s="1"/>
  <c r="I10" i="10"/>
  <c r="H14" i="8"/>
  <c r="C26" i="65"/>
  <c r="O26" i="109"/>
  <c r="C11" i="22"/>
  <c r="O12" i="22"/>
  <c r="C24" i="7"/>
  <c r="L61" i="70"/>
  <c r="D33" i="109"/>
  <c r="J21" i="38"/>
  <c r="E52" i="7"/>
  <c r="E61" i="109" s="1"/>
  <c r="E60" i="65" s="1"/>
  <c r="P59" i="70" s="1"/>
  <c r="Q59" i="70" s="1"/>
  <c r="P55" i="12"/>
  <c r="R31" i="12"/>
  <c r="R55" i="12" s="1"/>
  <c r="D16" i="7"/>
  <c r="D14" i="109" s="1"/>
  <c r="D14" i="65" s="1"/>
  <c r="J14" i="70" s="1"/>
  <c r="K14" i="70" s="1"/>
  <c r="J17" i="7"/>
  <c r="O25" i="22"/>
  <c r="D11" i="73"/>
  <c r="F16" i="22"/>
  <c r="K26" i="65" l="1"/>
  <c r="D26" i="70"/>
  <c r="E26" i="70" s="1"/>
  <c r="C54" i="65"/>
  <c r="O54" i="109"/>
  <c r="C51" i="109"/>
  <c r="J10" i="1"/>
  <c r="E33" i="109"/>
  <c r="E33" i="65" s="1"/>
  <c r="P32" i="70" s="1"/>
  <c r="Q32" i="70" s="1"/>
  <c r="H16" i="11"/>
  <c r="H16" i="8" s="1"/>
  <c r="C56" i="7" s="1"/>
  <c r="R20" i="70"/>
  <c r="R59" i="70"/>
  <c r="D33" i="65"/>
  <c r="O33" i="109"/>
  <c r="G10" i="22"/>
  <c r="G22" i="109" s="1"/>
  <c r="G25" i="109"/>
  <c r="O27" i="22"/>
  <c r="G13" i="13"/>
  <c r="I13" i="13" s="1"/>
  <c r="J10" i="73"/>
  <c r="K10" i="73" s="1"/>
  <c r="K13" i="73"/>
  <c r="F25" i="70"/>
  <c r="I17" i="8"/>
  <c r="D12" i="7"/>
  <c r="C21" i="65"/>
  <c r="O21" i="109"/>
  <c r="J10" i="10"/>
  <c r="G11" i="10"/>
  <c r="D15" i="13"/>
  <c r="L59" i="70"/>
  <c r="D10" i="73"/>
  <c r="E10" i="73" s="1"/>
  <c r="E11" i="73"/>
  <c r="R41" i="70"/>
  <c r="O62" i="109"/>
  <c r="C61" i="65"/>
  <c r="D22" i="109"/>
  <c r="D22" i="65" s="1"/>
  <c r="J22" i="70" s="1"/>
  <c r="K22" i="70" s="1"/>
  <c r="C12" i="68"/>
  <c r="J17" i="8"/>
  <c r="L60" i="70"/>
  <c r="D23" i="47"/>
  <c r="I25" i="47"/>
  <c r="F24" i="109"/>
  <c r="F24" i="65" s="1"/>
  <c r="K24" i="65" s="1"/>
  <c r="F10" i="22"/>
  <c r="F22" i="109" s="1"/>
  <c r="C61" i="109"/>
  <c r="J52" i="7"/>
  <c r="C16" i="7"/>
  <c r="E15" i="13"/>
  <c r="O66" i="109"/>
  <c r="C65" i="65"/>
  <c r="H59" i="59"/>
  <c r="K10" i="59"/>
  <c r="H10" i="59" s="1"/>
  <c r="L18" i="70"/>
  <c r="C15" i="109"/>
  <c r="J24" i="7"/>
  <c r="F29" i="70"/>
  <c r="O63" i="109"/>
  <c r="C62" i="65"/>
  <c r="J13" i="7"/>
  <c r="C12" i="7"/>
  <c r="D32" i="65"/>
  <c r="O32" i="109"/>
  <c r="O24" i="109"/>
  <c r="R34" i="70"/>
  <c r="L19" i="70"/>
  <c r="R15" i="70"/>
  <c r="C37" i="7"/>
  <c r="C19" i="109"/>
  <c r="J38" i="7"/>
  <c r="L24" i="70"/>
  <c r="C23" i="109"/>
  <c r="O11" i="22"/>
  <c r="C10" i="22"/>
  <c r="J26" i="7"/>
  <c r="F24" i="70"/>
  <c r="C20" i="65"/>
  <c r="O20" i="109"/>
  <c r="R46" i="70"/>
  <c r="L14" i="70"/>
  <c r="R18" i="70"/>
  <c r="E13" i="109"/>
  <c r="E13" i="65" s="1"/>
  <c r="P13" i="70" s="1"/>
  <c r="Q13" i="70" s="1"/>
  <c r="O16" i="22"/>
  <c r="J32" i="70" l="1"/>
  <c r="K32" i="70" s="1"/>
  <c r="K33" i="65"/>
  <c r="R32" i="70"/>
  <c r="L22" i="70"/>
  <c r="O19" i="109"/>
  <c r="C19" i="65"/>
  <c r="J16" i="7"/>
  <c r="C14" i="109"/>
  <c r="K61" i="65"/>
  <c r="D60" i="70"/>
  <c r="E60" i="70" s="1"/>
  <c r="C51" i="65"/>
  <c r="O51" i="109"/>
  <c r="G10" i="109"/>
  <c r="G10" i="65" s="1"/>
  <c r="G22" i="65"/>
  <c r="O15" i="109"/>
  <c r="C15" i="65"/>
  <c r="C13" i="109"/>
  <c r="J12" i="7"/>
  <c r="O10" i="22"/>
  <c r="C22" i="109"/>
  <c r="D61" i="70"/>
  <c r="E61" i="70" s="1"/>
  <c r="K62" i="65"/>
  <c r="O61" i="109"/>
  <c r="C60" i="65"/>
  <c r="F22" i="65"/>
  <c r="F10" i="109"/>
  <c r="F10" i="65" s="1"/>
  <c r="L13" i="73"/>
  <c r="J37" i="7"/>
  <c r="C18" i="109"/>
  <c r="L10" i="73"/>
  <c r="C65" i="109"/>
  <c r="J56" i="7"/>
  <c r="C23" i="65"/>
  <c r="O23" i="109"/>
  <c r="F11" i="73"/>
  <c r="G11" i="73"/>
  <c r="H11" i="73"/>
  <c r="K54" i="65"/>
  <c r="D53" i="70"/>
  <c r="E53" i="70" s="1"/>
  <c r="D64" i="70"/>
  <c r="C64" i="70" s="1"/>
  <c r="E64" i="70" s="1"/>
  <c r="K65" i="65"/>
  <c r="D47" i="109"/>
  <c r="I23" i="47"/>
  <c r="D10" i="47"/>
  <c r="F10" i="73"/>
  <c r="F26" i="70"/>
  <c r="J31" i="70"/>
  <c r="K31" i="70" s="1"/>
  <c r="K32" i="65"/>
  <c r="R13" i="70"/>
  <c r="K20" i="65"/>
  <c r="D20" i="70"/>
  <c r="E20" i="70" s="1"/>
  <c r="D21" i="70"/>
  <c r="E21" i="70" s="1"/>
  <c r="K21" i="65"/>
  <c r="D13" i="109"/>
  <c r="D13" i="65" s="1"/>
  <c r="J13" i="70" s="1"/>
  <c r="K13" i="70" s="1"/>
  <c r="G25" i="65"/>
  <c r="K25" i="65" s="1"/>
  <c r="O25" i="109"/>
  <c r="C14" i="65" l="1"/>
  <c r="O14" i="109"/>
  <c r="L31" i="70"/>
  <c r="O18" i="109"/>
  <c r="C18" i="65"/>
  <c r="D19" i="70"/>
  <c r="E19" i="70" s="1"/>
  <c r="K19" i="65"/>
  <c r="L13" i="70"/>
  <c r="C13" i="65"/>
  <c r="O13" i="109"/>
  <c r="D15" i="70"/>
  <c r="E15" i="70" s="1"/>
  <c r="K15" i="65"/>
  <c r="F20" i="70"/>
  <c r="K23" i="65"/>
  <c r="D23" i="70"/>
  <c r="E23" i="70" s="1"/>
  <c r="F21" i="70"/>
  <c r="C64" i="65"/>
  <c r="O65" i="109"/>
  <c r="D42" i="109"/>
  <c r="C14" i="68"/>
  <c r="I10" i="47"/>
  <c r="D59" i="70"/>
  <c r="E59" i="70" s="1"/>
  <c r="K60" i="65"/>
  <c r="D47" i="65"/>
  <c r="O47" i="109"/>
  <c r="D50" i="70"/>
  <c r="E50" i="70" s="1"/>
  <c r="K51" i="65"/>
  <c r="F53" i="70"/>
  <c r="F60" i="70"/>
  <c r="F61" i="70"/>
  <c r="F64" i="70"/>
  <c r="C22" i="65"/>
  <c r="O22" i="109"/>
  <c r="L32" i="70"/>
  <c r="D22" i="70" l="1"/>
  <c r="E22" i="70" s="1"/>
  <c r="K22" i="65"/>
  <c r="F50" i="70"/>
  <c r="F23" i="70"/>
  <c r="F19" i="70"/>
  <c r="D18" i="70"/>
  <c r="E18" i="70" s="1"/>
  <c r="K18" i="65"/>
  <c r="F59" i="70"/>
  <c r="F15" i="70"/>
  <c r="J46" i="70"/>
  <c r="K46" i="70" s="1"/>
  <c r="K47" i="65"/>
  <c r="D42" i="65"/>
  <c r="O42" i="109"/>
  <c r="D63" i="70"/>
  <c r="E63" i="70" s="1"/>
  <c r="K64" i="65"/>
  <c r="D13" i="70"/>
  <c r="E13" i="70" s="1"/>
  <c r="K13" i="65"/>
  <c r="D14" i="70"/>
  <c r="E14" i="70" s="1"/>
  <c r="K14" i="65"/>
  <c r="F18" i="70" l="1"/>
  <c r="F63" i="70"/>
  <c r="J41" i="70"/>
  <c r="K41" i="70" s="1"/>
  <c r="K42" i="65"/>
  <c r="L46" i="70"/>
  <c r="F14" i="70"/>
  <c r="F13" i="70"/>
  <c r="F22" i="70"/>
  <c r="G16" i="45"/>
  <c r="G17" i="45"/>
  <c r="H12" i="45"/>
  <c r="G12" i="45"/>
  <c r="G19" i="45"/>
  <c r="H29" i="45"/>
  <c r="G13" i="45"/>
  <c r="H26" i="45"/>
  <c r="H19" i="45"/>
  <c r="H17" i="45"/>
  <c r="H18" i="45"/>
  <c r="H16" i="45"/>
  <c r="G18" i="45"/>
  <c r="G26" i="45"/>
  <c r="G29" i="45"/>
  <c r="H13" i="45"/>
  <c r="L41" i="70" l="1"/>
  <c r="H11" i="45"/>
  <c r="I10" i="45"/>
  <c r="G11" i="45"/>
  <c r="D32" i="38"/>
  <c r="G10" i="42"/>
  <c r="F11" i="42"/>
  <c r="J21" i="45"/>
  <c r="H22" i="45"/>
  <c r="I27" i="45"/>
  <c r="G27" i="45" s="1"/>
  <c r="G28" i="45"/>
  <c r="J27" i="45"/>
  <c r="H27" i="45" s="1"/>
  <c r="H28" i="45"/>
  <c r="I14" i="45"/>
  <c r="G14" i="45" s="1"/>
  <c r="G15" i="45"/>
  <c r="I21" i="45"/>
  <c r="G22" i="45"/>
  <c r="J14" i="45"/>
  <c r="H14" i="45" s="1"/>
  <c r="H15" i="45"/>
  <c r="C41" i="11"/>
  <c r="G71" i="8" l="1"/>
  <c r="F71" i="8"/>
  <c r="E71" i="8"/>
  <c r="C26" i="8"/>
  <c r="G34" i="8"/>
  <c r="F34" i="8"/>
  <c r="E34" i="8"/>
  <c r="J20" i="45"/>
  <c r="H20" i="45" s="1"/>
  <c r="H21" i="45"/>
  <c r="F84" i="8"/>
  <c r="E84" i="8"/>
  <c r="G84" i="8"/>
  <c r="C66" i="8"/>
  <c r="G88" i="8"/>
  <c r="E88" i="8"/>
  <c r="F88" i="8"/>
  <c r="D34" i="109"/>
  <c r="J32" i="38"/>
  <c r="F77" i="8"/>
  <c r="G77" i="8"/>
  <c r="E77" i="8"/>
  <c r="C27" i="8"/>
  <c r="F35" i="8"/>
  <c r="E35" i="8"/>
  <c r="G35" i="8"/>
  <c r="I20" i="45"/>
  <c r="G20" i="45" s="1"/>
  <c r="G21" i="45"/>
  <c r="E78" i="8"/>
  <c r="F78" i="8"/>
  <c r="G78" i="8"/>
  <c r="C25" i="8"/>
  <c r="C32" i="8"/>
  <c r="G33" i="8"/>
  <c r="E33" i="8"/>
  <c r="F33" i="8"/>
  <c r="D44" i="38"/>
  <c r="D10" i="38" s="1"/>
  <c r="G10" i="45"/>
  <c r="E56" i="8"/>
  <c r="G56" i="8"/>
  <c r="F56" i="8"/>
  <c r="C21" i="8"/>
  <c r="E57" i="8"/>
  <c r="F57" i="8"/>
  <c r="G57" i="8"/>
  <c r="C53" i="8"/>
  <c r="G54" i="8"/>
  <c r="E54" i="8"/>
  <c r="F54" i="8"/>
  <c r="C61" i="8"/>
  <c r="C68" i="8"/>
  <c r="G69" i="8"/>
  <c r="F69" i="8"/>
  <c r="E69" i="8"/>
  <c r="J10" i="45"/>
  <c r="C62" i="8"/>
  <c r="F70" i="8"/>
  <c r="E70" i="8"/>
  <c r="G70" i="8"/>
  <c r="C75" i="8"/>
  <c r="G76" i="8"/>
  <c r="E76" i="8"/>
  <c r="F76" i="8"/>
  <c r="C82" i="8"/>
  <c r="F83" i="8"/>
  <c r="E83" i="8"/>
  <c r="G83" i="8"/>
  <c r="C30" i="8"/>
  <c r="E38" i="8"/>
  <c r="F38" i="8"/>
  <c r="G38" i="8"/>
  <c r="C19" i="11"/>
  <c r="C12" i="11" s="1"/>
  <c r="C20" i="11"/>
  <c r="C62" i="11"/>
  <c r="C40" i="11"/>
  <c r="G58" i="11"/>
  <c r="F58" i="11"/>
  <c r="D31" i="109" l="1"/>
  <c r="C13" i="68"/>
  <c r="I53" i="11"/>
  <c r="F54" i="11"/>
  <c r="G26" i="11"/>
  <c r="J25" i="11"/>
  <c r="J18" i="11"/>
  <c r="F26" i="11"/>
  <c r="I25" i="11"/>
  <c r="I18" i="11"/>
  <c r="F31" i="11"/>
  <c r="I23" i="11"/>
  <c r="C44" i="11"/>
  <c r="E44" i="11" s="1"/>
  <c r="E52" i="11"/>
  <c r="J109" i="11"/>
  <c r="J108" i="11" s="1"/>
  <c r="E36" i="7" s="1"/>
  <c r="E34" i="7" s="1"/>
  <c r="E17" i="109" s="1"/>
  <c r="E17" i="65" s="1"/>
  <c r="P17" i="70" s="1"/>
  <c r="Q17" i="70" s="1"/>
  <c r="J94" i="11"/>
  <c r="G110" i="11"/>
  <c r="J39" i="11"/>
  <c r="G47" i="11"/>
  <c r="J46" i="11"/>
  <c r="H25" i="11"/>
  <c r="H18" i="11"/>
  <c r="E26" i="11"/>
  <c r="H62" i="11"/>
  <c r="E62" i="11" s="1"/>
  <c r="E69" i="11"/>
  <c r="H20" i="11"/>
  <c r="E28" i="11"/>
  <c r="H40" i="11"/>
  <c r="E40" i="11" s="1"/>
  <c r="E48" i="11"/>
  <c r="C25" i="11"/>
  <c r="C18" i="11"/>
  <c r="J40" i="11"/>
  <c r="G40" i="11" s="1"/>
  <c r="G48" i="11"/>
  <c r="J62" i="11"/>
  <c r="G62" i="11" s="1"/>
  <c r="G69" i="11"/>
  <c r="C23" i="8"/>
  <c r="E30" i="8"/>
  <c r="F30" i="8"/>
  <c r="G30" i="8"/>
  <c r="G62" i="8"/>
  <c r="F62" i="8"/>
  <c r="E62" i="8"/>
  <c r="C18" i="8"/>
  <c r="C24" i="8"/>
  <c r="E25" i="8"/>
  <c r="G25" i="8"/>
  <c r="F25" i="8"/>
  <c r="F114" i="11"/>
  <c r="I99" i="11"/>
  <c r="F99" i="11" s="1"/>
  <c r="E44" i="38"/>
  <c r="H10" i="45"/>
  <c r="E85" i="8"/>
  <c r="F85" i="8"/>
  <c r="G85" i="8"/>
  <c r="I44" i="11"/>
  <c r="F44" i="11" s="1"/>
  <c r="F52" i="11"/>
  <c r="E49" i="11"/>
  <c r="H41" i="11"/>
  <c r="E41" i="11" s="1"/>
  <c r="E27" i="11"/>
  <c r="H19" i="11"/>
  <c r="G31" i="11"/>
  <c r="J23" i="11"/>
  <c r="C23" i="11"/>
  <c r="E31" i="11"/>
  <c r="C14" i="8"/>
  <c r="F21" i="8"/>
  <c r="G21" i="8"/>
  <c r="E21" i="8"/>
  <c r="I19" i="11"/>
  <c r="F27" i="11"/>
  <c r="J66" i="11"/>
  <c r="G67" i="11"/>
  <c r="J60" i="11"/>
  <c r="F48" i="11"/>
  <c r="I40" i="11"/>
  <c r="F40" i="11" s="1"/>
  <c r="E54" i="11"/>
  <c r="H53" i="11"/>
  <c r="F67" i="11"/>
  <c r="I60" i="11"/>
  <c r="I66" i="11"/>
  <c r="D34" i="65"/>
  <c r="O34" i="109"/>
  <c r="E47" i="11"/>
  <c r="H39" i="11"/>
  <c r="H46" i="11"/>
  <c r="F49" i="11"/>
  <c r="I41" i="11"/>
  <c r="F41" i="11" s="1"/>
  <c r="J19" i="11"/>
  <c r="G27" i="11"/>
  <c r="J20" i="11"/>
  <c r="G28" i="11"/>
  <c r="E110" i="11"/>
  <c r="H109" i="11"/>
  <c r="H108" i="11" s="1"/>
  <c r="C36" i="7" s="1"/>
  <c r="H94" i="11"/>
  <c r="G49" i="11"/>
  <c r="J41" i="11"/>
  <c r="G41" i="11" s="1"/>
  <c r="F28" i="11"/>
  <c r="I20" i="11"/>
  <c r="C13" i="11"/>
  <c r="C19" i="8"/>
  <c r="F26" i="8"/>
  <c r="G26" i="8"/>
  <c r="E26" i="8"/>
  <c r="C60" i="8"/>
  <c r="G61" i="8"/>
  <c r="F61" i="8"/>
  <c r="E61" i="8"/>
  <c r="D37" i="109"/>
  <c r="J44" i="38"/>
  <c r="G66" i="8"/>
  <c r="F66" i="8"/>
  <c r="E66" i="8"/>
  <c r="I62" i="11"/>
  <c r="F62" i="11" s="1"/>
  <c r="F69" i="11"/>
  <c r="C46" i="11"/>
  <c r="C39" i="11"/>
  <c r="C38" i="11" s="1"/>
  <c r="G52" i="11"/>
  <c r="J44" i="11"/>
  <c r="G44" i="11" s="1"/>
  <c r="G114" i="11"/>
  <c r="J99" i="11"/>
  <c r="G99" i="11" s="1"/>
  <c r="I46" i="11"/>
  <c r="F47" i="11"/>
  <c r="I39" i="11"/>
  <c r="G54" i="11"/>
  <c r="J53" i="11"/>
  <c r="F110" i="11"/>
  <c r="I94" i="11"/>
  <c r="I109" i="11"/>
  <c r="I108" i="11" s="1"/>
  <c r="D36" i="7" s="1"/>
  <c r="D34" i="7" s="1"/>
  <c r="D17" i="109" s="1"/>
  <c r="D17" i="65" s="1"/>
  <c r="J17" i="70" s="1"/>
  <c r="K17" i="70" s="1"/>
  <c r="H60" i="11"/>
  <c r="E67" i="11"/>
  <c r="H66" i="11"/>
  <c r="C66" i="11"/>
  <c r="C60" i="11"/>
  <c r="C59" i="11" s="1"/>
  <c r="F27" i="8"/>
  <c r="E27" i="8"/>
  <c r="G27" i="8"/>
  <c r="C63" i="8"/>
  <c r="H20" i="47"/>
  <c r="M46" i="109" s="1"/>
  <c r="F20" i="47"/>
  <c r="K46" i="109" s="1"/>
  <c r="G20" i="47"/>
  <c r="L46" i="109" s="1"/>
  <c r="H14" i="47"/>
  <c r="M44" i="109" s="1"/>
  <c r="M16" i="22"/>
  <c r="F14" i="47"/>
  <c r="K44" i="109" s="1"/>
  <c r="F24" i="7"/>
  <c r="K15" i="109" s="1"/>
  <c r="F34" i="7"/>
  <c r="K17" i="109" s="1"/>
  <c r="G24" i="7"/>
  <c r="L15" i="109" s="1"/>
  <c r="G34" i="7"/>
  <c r="L17" i="109" s="1"/>
  <c r="G12" i="7"/>
  <c r="H23" i="47"/>
  <c r="M47" i="109" s="1"/>
  <c r="H42" i="7"/>
  <c r="H11" i="1"/>
  <c r="F42" i="7"/>
  <c r="G30" i="7"/>
  <c r="L16" i="109" s="1"/>
  <c r="F23" i="47"/>
  <c r="K47" i="109" s="1"/>
  <c r="G14" i="47"/>
  <c r="L44" i="109" s="1"/>
  <c r="I24" i="7"/>
  <c r="N15" i="109" s="1"/>
  <c r="I30" i="7"/>
  <c r="N16" i="109" s="1"/>
  <c r="I34" i="7"/>
  <c r="N17" i="109" s="1"/>
  <c r="G23" i="47"/>
  <c r="L47" i="109" s="1"/>
  <c r="M57" i="22"/>
  <c r="M30" i="109" s="1"/>
  <c r="L27" i="22"/>
  <c r="H24" i="7"/>
  <c r="M15" i="109" s="1"/>
  <c r="H30" i="7"/>
  <c r="M16" i="109" s="1"/>
  <c r="H34" i="7"/>
  <c r="M17" i="109" s="1"/>
  <c r="M37" i="109" l="1"/>
  <c r="H10" i="38"/>
  <c r="G11" i="47"/>
  <c r="H93" i="11"/>
  <c r="E94" i="11"/>
  <c r="E18" i="11"/>
  <c r="H17" i="11"/>
  <c r="C31" i="7" s="1"/>
  <c r="H11" i="11"/>
  <c r="I17" i="11"/>
  <c r="D31" i="7" s="1"/>
  <c r="D30" i="7" s="1"/>
  <c r="F18" i="11"/>
  <c r="I11" i="11"/>
  <c r="H16" i="7"/>
  <c r="M14" i="109" s="1"/>
  <c r="H17" i="47"/>
  <c r="M45" i="109" s="1"/>
  <c r="F11" i="47"/>
  <c r="H59" i="11"/>
  <c r="C33" i="7" s="1"/>
  <c r="E60" i="11"/>
  <c r="J36" i="7"/>
  <c r="C34" i="7"/>
  <c r="J33" i="70"/>
  <c r="K33" i="70" s="1"/>
  <c r="K34" i="65"/>
  <c r="I12" i="11"/>
  <c r="F19" i="11"/>
  <c r="I16" i="7"/>
  <c r="N14" i="109" s="1"/>
  <c r="L17" i="70"/>
  <c r="L13" i="109"/>
  <c r="G11" i="7"/>
  <c r="F94" i="11"/>
  <c r="I93" i="11"/>
  <c r="I59" i="11"/>
  <c r="D33" i="7" s="1"/>
  <c r="F60" i="11"/>
  <c r="C17" i="8"/>
  <c r="E18" i="8"/>
  <c r="G18" i="8"/>
  <c r="F18" i="8"/>
  <c r="C11" i="11"/>
  <c r="C17" i="11"/>
  <c r="J11" i="11"/>
  <c r="G18" i="11"/>
  <c r="J17" i="11"/>
  <c r="E31" i="7" s="1"/>
  <c r="E30" i="7" s="1"/>
  <c r="K20" i="109"/>
  <c r="F37" i="7"/>
  <c r="K18" i="109" s="1"/>
  <c r="H12" i="7"/>
  <c r="K27" i="22"/>
  <c r="H11" i="47"/>
  <c r="H21" i="1"/>
  <c r="M55" i="109" s="1"/>
  <c r="G16" i="7"/>
  <c r="L14" i="109" s="1"/>
  <c r="G20" i="11"/>
  <c r="J13" i="11"/>
  <c r="J38" i="11"/>
  <c r="E32" i="7" s="1"/>
  <c r="G39" i="11"/>
  <c r="M24" i="109"/>
  <c r="C20" i="8"/>
  <c r="G63" i="8"/>
  <c r="F63" i="8"/>
  <c r="E63" i="8"/>
  <c r="F13" i="13"/>
  <c r="H13" i="13" s="1"/>
  <c r="E14" i="8"/>
  <c r="G14" i="8"/>
  <c r="F14" i="8"/>
  <c r="G10" i="38"/>
  <c r="L37" i="109"/>
  <c r="N27" i="22"/>
  <c r="F19" i="8"/>
  <c r="G19" i="8"/>
  <c r="E19" i="8"/>
  <c r="J12" i="11"/>
  <c r="G19" i="11"/>
  <c r="J93" i="11"/>
  <c r="G94" i="11"/>
  <c r="L25" i="109"/>
  <c r="L10" i="22"/>
  <c r="F12" i="7"/>
  <c r="I38" i="11"/>
  <c r="D32" i="7" s="1"/>
  <c r="F39" i="11"/>
  <c r="C16" i="11"/>
  <c r="E16" i="11" s="1"/>
  <c r="E23" i="11"/>
  <c r="R17" i="70"/>
  <c r="F30" i="7"/>
  <c r="K16" i="109" s="1"/>
  <c r="M35" i="22"/>
  <c r="M26" i="109" s="1"/>
  <c r="F20" i="11"/>
  <c r="I13" i="11"/>
  <c r="J16" i="11"/>
  <c r="G23" i="11"/>
  <c r="E37" i="109"/>
  <c r="E37" i="65" s="1"/>
  <c r="P36" i="70" s="1"/>
  <c r="Q36" i="70" s="1"/>
  <c r="E10" i="38"/>
  <c r="E20" i="11"/>
  <c r="H13" i="11"/>
  <c r="M52" i="109"/>
  <c r="H10" i="1"/>
  <c r="I12" i="7"/>
  <c r="F16" i="7"/>
  <c r="K14" i="109" s="1"/>
  <c r="F17" i="47"/>
  <c r="K45" i="109" s="1"/>
  <c r="G17" i="47"/>
  <c r="L45" i="109" s="1"/>
  <c r="M27" i="22"/>
  <c r="M25" i="109" s="1"/>
  <c r="G42" i="7"/>
  <c r="G60" i="11"/>
  <c r="J59" i="11"/>
  <c r="E33" i="7" s="1"/>
  <c r="M20" i="109"/>
  <c r="H37" i="7"/>
  <c r="M18" i="109" s="1"/>
  <c r="K37" i="109"/>
  <c r="F10" i="38"/>
  <c r="D37" i="65"/>
  <c r="O37" i="109"/>
  <c r="E39" i="11"/>
  <c r="H38" i="11"/>
  <c r="C32" i="7" s="1"/>
  <c r="E19" i="11"/>
  <c r="H12" i="11"/>
  <c r="G23" i="8"/>
  <c r="E23" i="8"/>
  <c r="F23" i="8"/>
  <c r="I16" i="11"/>
  <c r="F23" i="11"/>
  <c r="D31" i="65"/>
  <c r="C81" i="9" l="1"/>
  <c r="E82" i="9"/>
  <c r="F82" i="9"/>
  <c r="G82" i="9"/>
  <c r="E15" i="68"/>
  <c r="M51" i="109"/>
  <c r="G125" i="9"/>
  <c r="F125" i="9"/>
  <c r="E125" i="9"/>
  <c r="G84" i="9"/>
  <c r="E84" i="9"/>
  <c r="F84" i="9"/>
  <c r="C31" i="9"/>
  <c r="G32" i="9"/>
  <c r="E32" i="9"/>
  <c r="F32" i="9"/>
  <c r="F16" i="11"/>
  <c r="I16" i="8"/>
  <c r="G12" i="11"/>
  <c r="J12" i="8"/>
  <c r="M43" i="109"/>
  <c r="H10" i="47"/>
  <c r="F11" i="11"/>
  <c r="I10" i="11"/>
  <c r="I11" i="8"/>
  <c r="C13" i="9"/>
  <c r="G20" i="9"/>
  <c r="E20" i="9"/>
  <c r="F20" i="9"/>
  <c r="E13" i="11"/>
  <c r="H13" i="8"/>
  <c r="K25" i="109"/>
  <c r="K10" i="22"/>
  <c r="G48" i="9"/>
  <c r="E48" i="9"/>
  <c r="F48" i="9"/>
  <c r="J30" i="70"/>
  <c r="K30" i="70" s="1"/>
  <c r="D16" i="109"/>
  <c r="D16" i="65" s="1"/>
  <c r="J16" i="70" s="1"/>
  <c r="K16" i="70" s="1"/>
  <c r="D11" i="7"/>
  <c r="G55" i="9"/>
  <c r="E55" i="9"/>
  <c r="F55" i="9"/>
  <c r="G101" i="9"/>
  <c r="E101" i="9"/>
  <c r="F101" i="9"/>
  <c r="G26" i="9"/>
  <c r="E26" i="9"/>
  <c r="F26" i="9"/>
  <c r="G51" i="9"/>
  <c r="F51" i="9"/>
  <c r="E51" i="9"/>
  <c r="E31" i="109"/>
  <c r="J10" i="38"/>
  <c r="C13" i="8"/>
  <c r="F12" i="13" s="1"/>
  <c r="H12" i="13" s="1"/>
  <c r="G20" i="8"/>
  <c r="F20" i="8"/>
  <c r="E20" i="8"/>
  <c r="E11" i="11"/>
  <c r="H10" i="11"/>
  <c r="H11" i="8"/>
  <c r="E41" i="9"/>
  <c r="G41" i="9"/>
  <c r="F41" i="9"/>
  <c r="K37" i="65"/>
  <c r="J36" i="70"/>
  <c r="K36" i="70" s="1"/>
  <c r="C65" i="9"/>
  <c r="G73" i="9"/>
  <c r="F73" i="9"/>
  <c r="E73" i="9"/>
  <c r="E34" i="9"/>
  <c r="F34" i="9"/>
  <c r="G34" i="9"/>
  <c r="G47" i="9"/>
  <c r="E47" i="9"/>
  <c r="F47" i="9"/>
  <c r="H11" i="7"/>
  <c r="M13" i="109"/>
  <c r="F12" i="11"/>
  <c r="I12" i="8"/>
  <c r="F105" i="9"/>
  <c r="G105" i="9"/>
  <c r="E105" i="9"/>
  <c r="G30" i="9"/>
  <c r="F30" i="9"/>
  <c r="E30" i="9"/>
  <c r="F104" i="9"/>
  <c r="E104" i="9"/>
  <c r="G104" i="9"/>
  <c r="G122" i="9"/>
  <c r="E122" i="9"/>
  <c r="F122" i="9"/>
  <c r="R36" i="70"/>
  <c r="M10" i="22"/>
  <c r="L33" i="70"/>
  <c r="J31" i="7"/>
  <c r="C30" i="7"/>
  <c r="K31" i="109"/>
  <c r="F13" i="68"/>
  <c r="F44" i="9"/>
  <c r="E44" i="9"/>
  <c r="G44" i="9"/>
  <c r="G33" i="9"/>
  <c r="E33" i="9"/>
  <c r="F33" i="9"/>
  <c r="E12" i="11"/>
  <c r="H12" i="8"/>
  <c r="L20" i="109"/>
  <c r="G37" i="7"/>
  <c r="L18" i="109" s="1"/>
  <c r="N10" i="22"/>
  <c r="N22" i="109" s="1"/>
  <c r="N25" i="109"/>
  <c r="E16" i="109"/>
  <c r="E16" i="65" s="1"/>
  <c r="P16" i="70" s="1"/>
  <c r="Q16" i="70" s="1"/>
  <c r="E11" i="7"/>
  <c r="J34" i="7"/>
  <c r="C17" i="109"/>
  <c r="C60" i="9"/>
  <c r="C67" i="9"/>
  <c r="E68" i="9"/>
  <c r="F68" i="9"/>
  <c r="G68" i="9"/>
  <c r="F58" i="9"/>
  <c r="G58" i="9"/>
  <c r="E58" i="9"/>
  <c r="G54" i="9"/>
  <c r="F54" i="9"/>
  <c r="E54" i="9"/>
  <c r="C61" i="9"/>
  <c r="F69" i="9"/>
  <c r="E69" i="9"/>
  <c r="G69" i="9"/>
  <c r="C38" i="9"/>
  <c r="F39" i="9"/>
  <c r="E39" i="9"/>
  <c r="G39" i="9"/>
  <c r="G16" i="11"/>
  <c r="J16" i="8"/>
  <c r="K13" i="109"/>
  <c r="F11" i="7"/>
  <c r="C24" i="9"/>
  <c r="F25" i="9"/>
  <c r="G25" i="9"/>
  <c r="E25" i="9"/>
  <c r="C12" i="9"/>
  <c r="G19" i="9"/>
  <c r="F19" i="9"/>
  <c r="E19" i="9"/>
  <c r="F87" i="9"/>
  <c r="G87" i="9"/>
  <c r="E87" i="9"/>
  <c r="C16" i="9"/>
  <c r="G23" i="9"/>
  <c r="F23" i="9"/>
  <c r="E23" i="9"/>
  <c r="F37" i="9"/>
  <c r="E37" i="9"/>
  <c r="G37" i="9"/>
  <c r="J32" i="7"/>
  <c r="F13" i="11"/>
  <c r="I13" i="8"/>
  <c r="F13" i="8" s="1"/>
  <c r="L22" i="109"/>
  <c r="D12" i="68"/>
  <c r="D13" i="68"/>
  <c r="L31" i="109"/>
  <c r="G11" i="11"/>
  <c r="J10" i="11"/>
  <c r="J11" i="8"/>
  <c r="L12" i="109"/>
  <c r="G27" i="9"/>
  <c r="E27" i="9"/>
  <c r="F27" i="9"/>
  <c r="C119" i="9"/>
  <c r="C118" i="9" s="1"/>
  <c r="G120" i="9"/>
  <c r="F120" i="9"/>
  <c r="E120" i="9"/>
  <c r="C62" i="9"/>
  <c r="G70" i="9"/>
  <c r="E70" i="9"/>
  <c r="F70" i="9"/>
  <c r="C95" i="9"/>
  <c r="E96" i="9"/>
  <c r="F96" i="9"/>
  <c r="G96" i="9"/>
  <c r="C11" i="9"/>
  <c r="C17" i="9"/>
  <c r="E18" i="9"/>
  <c r="G18" i="9"/>
  <c r="F18" i="9"/>
  <c r="C45" i="9"/>
  <c r="G46" i="9"/>
  <c r="E46" i="9"/>
  <c r="F46" i="9"/>
  <c r="C102" i="9"/>
  <c r="E103" i="9"/>
  <c r="G103" i="9"/>
  <c r="F103" i="9"/>
  <c r="F83" i="9"/>
  <c r="E83" i="9"/>
  <c r="G83" i="9"/>
  <c r="F40" i="9"/>
  <c r="E40" i="9"/>
  <c r="G40" i="9"/>
  <c r="F121" i="9"/>
  <c r="E121" i="9"/>
  <c r="G121" i="9"/>
  <c r="G13" i="11"/>
  <c r="J13" i="8"/>
  <c r="G13" i="8" s="1"/>
  <c r="J33" i="7"/>
  <c r="L43" i="109"/>
  <c r="G10" i="47"/>
  <c r="F98" i="9"/>
  <c r="G98" i="9"/>
  <c r="E98" i="9"/>
  <c r="C52" i="9"/>
  <c r="F53" i="9"/>
  <c r="G53" i="9"/>
  <c r="E53" i="9"/>
  <c r="C10" i="11"/>
  <c r="F10" i="47"/>
  <c r="K43" i="109"/>
  <c r="M31" i="109"/>
  <c r="E13" i="68"/>
  <c r="N13" i="109"/>
  <c r="I11" i="7"/>
  <c r="C17" i="65" l="1"/>
  <c r="O17" i="109"/>
  <c r="M42" i="109"/>
  <c r="E14" i="68"/>
  <c r="G62" i="9"/>
  <c r="F62" i="9"/>
  <c r="E62" i="9"/>
  <c r="L42" i="109"/>
  <c r="D14" i="68"/>
  <c r="E16" i="9"/>
  <c r="G16" i="9"/>
  <c r="F16" i="9"/>
  <c r="C16" i="8"/>
  <c r="E16" i="8" s="1"/>
  <c r="E10" i="7"/>
  <c r="E11" i="109" s="1"/>
  <c r="E12" i="109"/>
  <c r="E12" i="65" s="1"/>
  <c r="P12" i="70" s="1"/>
  <c r="Q12" i="70" s="1"/>
  <c r="F12" i="68"/>
  <c r="K22" i="109"/>
  <c r="C10" i="9"/>
  <c r="G11" i="9"/>
  <c r="F11" i="9"/>
  <c r="E11" i="9"/>
  <c r="C11" i="8"/>
  <c r="E11" i="8" s="1"/>
  <c r="G16" i="8"/>
  <c r="R16" i="70"/>
  <c r="N12" i="109"/>
  <c r="I10" i="7"/>
  <c r="N11" i="109" s="1"/>
  <c r="N10" i="109" s="1"/>
  <c r="F65" i="9"/>
  <c r="G65" i="9"/>
  <c r="E65" i="9"/>
  <c r="G12" i="13"/>
  <c r="I12" i="13" s="1"/>
  <c r="E13" i="8"/>
  <c r="C59" i="9"/>
  <c r="G60" i="9"/>
  <c r="F60" i="9"/>
  <c r="E60" i="9"/>
  <c r="F16" i="8"/>
  <c r="E31" i="65"/>
  <c r="O31" i="109"/>
  <c r="K12" i="109"/>
  <c r="F10" i="7"/>
  <c r="L36" i="70"/>
  <c r="M12" i="109"/>
  <c r="H10" i="7"/>
  <c r="G10" i="7"/>
  <c r="D10" i="7"/>
  <c r="D12" i="109"/>
  <c r="D12" i="65" s="1"/>
  <c r="J12" i="70" s="1"/>
  <c r="K12" i="70" s="1"/>
  <c r="E12" i="68"/>
  <c r="M22" i="109"/>
  <c r="F14" i="68"/>
  <c r="K42" i="109"/>
  <c r="C16" i="109"/>
  <c r="J30" i="7"/>
  <c r="C11" i="7"/>
  <c r="F12" i="9"/>
  <c r="G12" i="9"/>
  <c r="E12" i="9"/>
  <c r="C12" i="8"/>
  <c r="F11" i="13" s="1"/>
  <c r="H11" i="13" s="1"/>
  <c r="G11" i="13"/>
  <c r="I11" i="13" s="1"/>
  <c r="L16" i="70"/>
  <c r="G13" i="9"/>
  <c r="E13" i="9"/>
  <c r="F13" i="9"/>
  <c r="G61" i="9"/>
  <c r="F61" i="9"/>
  <c r="E61" i="9"/>
  <c r="J10" i="8"/>
  <c r="G11" i="8"/>
  <c r="G10" i="13"/>
  <c r="H10" i="8"/>
  <c r="L30" i="70"/>
  <c r="I10" i="8"/>
  <c r="C12" i="109" l="1"/>
  <c r="J11" i="7"/>
  <c r="C10" i="7"/>
  <c r="C16" i="65"/>
  <c r="O16" i="109"/>
  <c r="K11" i="109"/>
  <c r="K10" i="109" s="1"/>
  <c r="F11" i="68"/>
  <c r="F10" i="68" s="1"/>
  <c r="F11" i="8"/>
  <c r="F10" i="13"/>
  <c r="C10" i="8"/>
  <c r="G15" i="13"/>
  <c r="I15" i="13" s="1"/>
  <c r="I10" i="13"/>
  <c r="E12" i="8"/>
  <c r="P30" i="70"/>
  <c r="Q30" i="70" s="1"/>
  <c r="K31" i="65"/>
  <c r="L12" i="70"/>
  <c r="G12" i="8"/>
  <c r="D11" i="109"/>
  <c r="C11" i="68"/>
  <c r="C10" i="68" s="1"/>
  <c r="F12" i="8"/>
  <c r="R12" i="70"/>
  <c r="E11" i="65"/>
  <c r="P11" i="70" s="1"/>
  <c r="E10" i="109"/>
  <c r="E10" i="65" s="1"/>
  <c r="D11" i="68"/>
  <c r="D10" i="68" s="1"/>
  <c r="L11" i="109"/>
  <c r="L10" i="109" s="1"/>
  <c r="E11" i="68"/>
  <c r="E10" i="68" s="1"/>
  <c r="M11" i="109"/>
  <c r="M10" i="109" s="1"/>
  <c r="D17" i="70"/>
  <c r="E17" i="70" s="1"/>
  <c r="K17" i="65"/>
  <c r="F15" i="13" l="1"/>
  <c r="H15" i="13" s="1"/>
  <c r="H10" i="13"/>
  <c r="D10" i="109"/>
  <c r="D10" i="65" s="1"/>
  <c r="D11" i="65"/>
  <c r="J11" i="70" s="1"/>
  <c r="D16" i="70"/>
  <c r="E16" i="70" s="1"/>
  <c r="K16" i="65"/>
  <c r="C11" i="109"/>
  <c r="J10" i="7"/>
  <c r="F17" i="70"/>
  <c r="R30" i="70"/>
  <c r="P10" i="70"/>
  <c r="Q10" i="70" s="1"/>
  <c r="Q11" i="70"/>
  <c r="C12" i="65"/>
  <c r="O12" i="109"/>
  <c r="D12" i="70" l="1"/>
  <c r="E12" i="70" s="1"/>
  <c r="K12" i="65"/>
  <c r="R11" i="70"/>
  <c r="R10" i="70"/>
  <c r="C11" i="65"/>
  <c r="O11" i="109"/>
  <c r="C10" i="109"/>
  <c r="F16" i="70"/>
  <c r="K11" i="70"/>
  <c r="J10" i="70"/>
  <c r="K10" i="70" s="1"/>
  <c r="C10" i="65" l="1"/>
  <c r="K10" i="65" s="1"/>
  <c r="O10" i="109"/>
  <c r="L11" i="70"/>
  <c r="K11" i="65"/>
  <c r="D11" i="70"/>
  <c r="L10" i="70"/>
  <c r="F12" i="70"/>
  <c r="E11" i="70" l="1"/>
  <c r="D10" i="70"/>
  <c r="K72" i="65"/>
  <c r="K71" i="65"/>
  <c r="G34" i="73" l="1"/>
  <c r="E10" i="70"/>
  <c r="F11" i="70"/>
  <c r="H11" i="70"/>
  <c r="F10" i="70" l="1"/>
  <c r="H10" i="70"/>
  <c r="I34" i="73"/>
  <c r="J34" i="73" s="1"/>
  <c r="G35" i="73"/>
  <c r="H45" i="70"/>
  <c r="H22" i="73"/>
  <c r="T44" i="70"/>
  <c r="T49" i="70"/>
  <c r="H23" i="73"/>
  <c r="H24" i="73"/>
  <c r="H25" i="73"/>
  <c r="T43" i="70"/>
  <c r="T42" i="70"/>
  <c r="H65" i="70"/>
  <c r="T45" i="70"/>
  <c r="H46" i="70"/>
  <c r="H21" i="73"/>
  <c r="N42" i="70"/>
  <c r="N43" i="70"/>
  <c r="H42" i="70"/>
  <c r="T54" i="70"/>
  <c r="H44" i="70"/>
  <c r="H48" i="70"/>
  <c r="N51" i="70"/>
  <c r="N44" i="70"/>
  <c r="T50" i="70"/>
  <c r="T52" i="70"/>
  <c r="N45" i="70"/>
  <c r="H37" i="70"/>
  <c r="H38" i="70"/>
  <c r="H43" i="70"/>
  <c r="Z27" i="73"/>
  <c r="T25" i="70"/>
  <c r="H41" i="70"/>
  <c r="N54" i="70"/>
  <c r="N25" i="70"/>
  <c r="N50" i="70"/>
  <c r="Z28" i="73"/>
  <c r="T19" i="70"/>
  <c r="H30" i="70"/>
  <c r="T22" i="70"/>
  <c r="T14" i="70"/>
  <c r="T61" i="70"/>
  <c r="N20" i="70"/>
  <c r="N15" i="70"/>
  <c r="N61" i="70"/>
  <c r="T60" i="70"/>
  <c r="Z10" i="73"/>
  <c r="N52" i="70"/>
  <c r="T24" i="70"/>
  <c r="N60" i="70"/>
  <c r="T46" i="70"/>
  <c r="T20" i="70"/>
  <c r="T34" i="70"/>
  <c r="N24" i="70"/>
  <c r="H29" i="70"/>
  <c r="T59" i="70"/>
  <c r="T41" i="70"/>
  <c r="N19" i="70"/>
  <c r="N14" i="70"/>
  <c r="N18" i="70"/>
  <c r="H24" i="70"/>
  <c r="H25" i="70"/>
  <c r="T15" i="70"/>
  <c r="N59" i="70"/>
  <c r="T18" i="70"/>
  <c r="N10" i="73"/>
  <c r="T13" i="70"/>
  <c r="H26" i="70"/>
  <c r="T32" i="70"/>
  <c r="N22" i="70"/>
  <c r="H10" i="73"/>
  <c r="N13" i="73"/>
  <c r="H53" i="70"/>
  <c r="H60" i="70"/>
  <c r="H20" i="70"/>
  <c r="N32" i="70"/>
  <c r="N31" i="70"/>
  <c r="H61" i="70"/>
  <c r="H64" i="70"/>
  <c r="N13" i="70"/>
  <c r="H21" i="70"/>
  <c r="H59" i="70"/>
  <c r="H50" i="70"/>
  <c r="H15" i="70"/>
  <c r="H23" i="70"/>
  <c r="H19" i="70"/>
  <c r="H18" i="70"/>
  <c r="H13" i="70"/>
  <c r="H63" i="70"/>
  <c r="H22" i="70"/>
  <c r="N46" i="70"/>
  <c r="H14" i="70"/>
  <c r="N41" i="70"/>
  <c r="N17" i="70"/>
  <c r="T17" i="70"/>
  <c r="N33" i="70"/>
  <c r="T36" i="70"/>
  <c r="T16" i="70"/>
  <c r="N16" i="70"/>
  <c r="N30" i="70"/>
  <c r="N36" i="70"/>
  <c r="N12" i="70"/>
  <c r="T12" i="70"/>
  <c r="T30" i="70"/>
  <c r="H17" i="70"/>
  <c r="H16" i="70"/>
  <c r="T11" i="70"/>
  <c r="T10" i="70"/>
  <c r="N11" i="70"/>
  <c r="N10" i="70"/>
  <c r="H12" i="70"/>
  <c r="I35" i="73" l="1"/>
  <c r="J35" i="73" s="1"/>
  <c r="G22" i="73"/>
  <c r="G23" i="73"/>
  <c r="G25" i="73"/>
  <c r="G24" i="73"/>
  <c r="G65" i="70"/>
  <c r="G21" i="73"/>
  <c r="S54" i="70"/>
  <c r="M51" i="70"/>
  <c r="S50" i="70"/>
  <c r="S52" i="70"/>
  <c r="G38" i="70"/>
  <c r="G37" i="70"/>
  <c r="Y27" i="73"/>
  <c r="S25" i="70"/>
  <c r="M25" i="70"/>
  <c r="M54" i="70"/>
  <c r="M50" i="70"/>
  <c r="Y28" i="73"/>
  <c r="S19" i="70"/>
  <c r="G30" i="70"/>
  <c r="S24" i="70"/>
  <c r="S22" i="70"/>
  <c r="M15" i="70"/>
  <c r="S14" i="70"/>
  <c r="M61" i="70"/>
  <c r="S61" i="70"/>
  <c r="M20" i="70"/>
  <c r="S60" i="70"/>
  <c r="Y10" i="73"/>
  <c r="M52" i="70"/>
  <c r="M60" i="70"/>
  <c r="S18" i="70"/>
  <c r="S20" i="70"/>
  <c r="S34" i="70"/>
  <c r="M24" i="70"/>
  <c r="G29" i="70"/>
  <c r="S15" i="70"/>
  <c r="S59" i="70"/>
  <c r="M19" i="70"/>
  <c r="M14" i="70"/>
  <c r="M59" i="70"/>
  <c r="G25" i="70"/>
  <c r="G24" i="70"/>
  <c r="M18" i="70"/>
  <c r="M10" i="73"/>
  <c r="G10" i="73"/>
  <c r="S13" i="70"/>
  <c r="S32" i="70"/>
  <c r="M22" i="70"/>
  <c r="M13" i="73"/>
  <c r="G26" i="70"/>
  <c r="G53" i="70"/>
  <c r="M32" i="70"/>
  <c r="G61" i="70"/>
  <c r="G20" i="70"/>
  <c r="M31" i="70"/>
  <c r="G60" i="70"/>
  <c r="M13" i="70"/>
  <c r="G21" i="70"/>
  <c r="G64" i="70"/>
  <c r="G59" i="70"/>
  <c r="G50" i="70"/>
  <c r="G19" i="70"/>
  <c r="G15" i="70"/>
  <c r="G23" i="70"/>
  <c r="G14" i="70"/>
  <c r="G18" i="70"/>
  <c r="G13" i="70"/>
  <c r="G63" i="70"/>
  <c r="G22" i="70"/>
  <c r="M17" i="70"/>
  <c r="S17" i="70"/>
  <c r="M33" i="70"/>
  <c r="S36" i="70"/>
  <c r="S16" i="70"/>
  <c r="M16" i="70"/>
  <c r="M36" i="70"/>
  <c r="M30" i="70"/>
  <c r="S12" i="70"/>
  <c r="M12" i="70"/>
  <c r="S30" i="70"/>
  <c r="G17" i="70"/>
  <c r="G16" i="70"/>
  <c r="S10" i="70"/>
  <c r="S11" i="70"/>
  <c r="G12" i="70"/>
  <c r="M11" i="70"/>
  <c r="M10" i="70"/>
  <c r="G11" i="70"/>
  <c r="G10" i="70"/>
</calcChain>
</file>

<file path=xl/sharedStrings.xml><?xml version="1.0" encoding="utf-8"?>
<sst xmlns="http://schemas.openxmlformats.org/spreadsheetml/2006/main" count="19175" uniqueCount="2462">
  <si>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</si>
  <si>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</si>
  <si>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</si>
  <si>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</si>
  <si>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</si>
  <si>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</si>
  <si>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</si>
  <si>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</si>
  <si>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</si>
  <si>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</si>
  <si>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</si>
  <si>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</si>
  <si>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</si>
  <si>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</si>
  <si>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</si>
  <si>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</si>
  <si>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</si>
  <si>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</si>
  <si>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</si>
  <si>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</si>
  <si>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</si>
  <si>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</si>
  <si>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</si>
  <si>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</si>
  <si>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</si>
  <si>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</si>
  <si>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</si>
  <si>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</si>
  <si>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</si>
  <si>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</si>
  <si>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</si>
  <si>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</si>
  <si>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</si>
  <si>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</si>
  <si>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</si>
  <si>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</si>
  <si>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</si>
  <si>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</si>
  <si>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</si>
  <si>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</si>
  <si>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</si>
  <si>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</si>
  <si>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</si>
  <si>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</si>
  <si>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</si>
  <si>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</si>
  <si>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</si>
  <si>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</si>
  <si>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</si>
  <si>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</si>
  <si>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</si>
  <si>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</si>
  <si>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</si>
  <si>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</si>
  <si>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</si>
  <si>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</si>
  <si>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</si>
  <si>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</si>
  <si>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</si>
  <si>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</si>
  <si>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</si>
  <si>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</si>
  <si>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</si>
  <si>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</si>
  <si>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</si>
  <si>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</si>
  <si>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</si>
  <si>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</si>
  <si>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</si>
  <si>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</si>
  <si>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</si>
  <si>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</si>
  <si>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</si>
  <si>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</si>
  <si>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</si>
  <si>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</si>
  <si>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</si>
  <si>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</si>
  <si>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</si>
  <si>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</si>
  <si>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</si>
  <si>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</si>
  <si>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</si>
  <si>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</si>
  <si>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</si>
  <si>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</si>
  <si>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</si>
  <si>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</si>
  <si>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</si>
  <si>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</si>
  <si>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</si>
  <si>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</si>
  <si>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</si>
  <si>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</si>
  <si>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</si>
  <si>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</si>
  <si>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</si>
  <si>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</si>
  <si>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</si>
  <si>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</si>
  <si>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</si>
  <si>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</si>
  <si>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</si>
  <si>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</si>
  <si>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</si>
  <si>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</si>
  <si>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</si>
  <si>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</si>
  <si>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</si>
  <si>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</si>
  <si>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</si>
  <si>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</si>
  <si>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</si>
  <si>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</si>
  <si>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</si>
  <si>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</si>
  <si>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</si>
  <si>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</si>
  <si>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</si>
  <si>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</si>
  <si>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</si>
  <si>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</si>
  <si>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</si>
  <si>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</si>
  <si>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</si>
  <si>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</si>
  <si>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</si>
  <si>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</si>
  <si>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</si>
  <si>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</si>
  <si>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</si>
  <si>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</si>
  <si>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</si>
  <si>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</si>
  <si>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</si>
  <si>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</si>
  <si>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</si>
  <si>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</si>
  <si>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</si>
  <si>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</si>
  <si>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</si>
  <si>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</si>
  <si>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</si>
  <si>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</si>
  <si>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</si>
  <si>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</si>
  <si>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</si>
  <si>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</si>
  <si>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</si>
  <si>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</si>
  <si>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</si>
  <si>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</si>
  <si>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</si>
  <si>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</si>
  <si>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</si>
  <si>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</si>
  <si>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</si>
  <si>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</si>
  <si>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</si>
  <si>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</si>
  <si>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</si>
  <si>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</si>
  <si>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</si>
  <si>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</si>
  <si>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</si>
  <si>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</si>
  <si>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</si>
  <si>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</si>
  <si>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</si>
  <si>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</si>
  <si>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</si>
  <si>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</si>
  <si>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</si>
  <si>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</si>
  <si>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</si>
  <si>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</si>
  <si>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</si>
  <si>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</si>
  <si>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</si>
  <si>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</si>
  <si>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</si>
  <si>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</si>
  <si>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</si>
  <si>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</si>
  <si>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</si>
  <si>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</si>
  <si>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</si>
  <si>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</si>
  <si>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</si>
  <si>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</si>
  <si>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</si>
  <si>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</si>
  <si>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</si>
  <si>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</si>
  <si>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</si>
  <si>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</si>
  <si>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</si>
  <si>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</si>
  <si>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</si>
  <si>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</si>
  <si>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</si>
  <si>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</si>
  <si>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</si>
  <si>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</si>
  <si>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</si>
  <si>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</si>
  <si>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</si>
  <si>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</si>
  <si>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</si>
  <si>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</si>
  <si>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</si>
  <si>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</si>
  <si>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</si>
  <si>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</si>
  <si>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</si>
  <si>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</si>
  <si>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</si>
  <si>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</si>
  <si>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</si>
  <si>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</si>
  <si>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</si>
  <si>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</si>
  <si>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</si>
  <si>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</si>
  <si>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</si>
  <si>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</si>
  <si>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</si>
  <si>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</si>
  <si>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</si>
  <si>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</si>
  <si>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</si>
  <si>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</si>
  <si>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</si>
  <si>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</si>
  <si>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</si>
  <si>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</si>
  <si>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</si>
  <si>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</si>
  <si>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</si>
  <si>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</si>
  <si>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</si>
  <si>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</si>
  <si>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</si>
  <si>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</si>
  <si>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</si>
  <si>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</si>
  <si>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</si>
  <si>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</si>
  <si>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</si>
  <si>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</si>
  <si>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</si>
  <si>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</si>
  <si>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</si>
  <si>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</si>
  <si>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</si>
  <si>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</si>
  <si>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</si>
  <si>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</si>
  <si>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</si>
  <si>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</si>
  <si>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</si>
  <si>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</si>
  <si>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</si>
  <si>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</si>
  <si>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</si>
  <si>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</si>
  <si>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</si>
  <si>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</si>
  <si>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</si>
  <si>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</si>
  <si>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</si>
  <si>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</si>
  <si>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</si>
  <si>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</si>
  <si>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</si>
  <si>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</si>
  <si>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</si>
  <si>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</si>
  <si>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</si>
  <si>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</si>
  <si>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</si>
  <si>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</si>
  <si>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</si>
  <si>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</si>
  <si>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</si>
  <si>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</si>
  <si>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</si>
  <si>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</si>
  <si>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</si>
  <si>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</si>
  <si>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</si>
  <si>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</si>
  <si>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</si>
  <si>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</si>
  <si>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</si>
  <si>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</si>
  <si>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</si>
  <si>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</si>
  <si>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</si>
  <si>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</si>
  <si>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</si>
  <si>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</si>
  <si>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</si>
  <si>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</si>
  <si>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</si>
  <si>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</si>
  <si>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</si>
  <si>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</si>
  <si>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</si>
  <si>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</si>
  <si>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</si>
  <si>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</si>
  <si>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</si>
  <si>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</si>
  <si>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</si>
  <si>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</si>
  <si>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</si>
  <si>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</si>
  <si>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</si>
  <si>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</si>
  <si>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</si>
  <si>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</si>
  <si>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</si>
  <si>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</si>
  <si>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</si>
  <si>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</si>
  <si>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</si>
  <si>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</si>
  <si>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</si>
  <si>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</si>
  <si>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</si>
  <si>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</si>
  <si>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</si>
  <si>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</si>
  <si>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</si>
  <si>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</si>
  <si>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</si>
  <si>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</si>
  <si>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</si>
  <si>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</si>
  <si>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</si>
  <si>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</si>
  <si>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</si>
  <si>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</si>
  <si>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</si>
  <si>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</si>
  <si>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</si>
  <si>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</si>
  <si>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</si>
  <si>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</si>
  <si>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</si>
  <si>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</si>
  <si>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</si>
  <si>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</si>
  <si>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</si>
  <si>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</si>
  <si>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</si>
  <si>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</si>
  <si>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</si>
  <si>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</si>
  <si>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</si>
  <si>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</si>
  <si>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</si>
  <si>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</si>
  <si>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</si>
  <si>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</si>
  <si>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</si>
  <si>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</si>
  <si>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</si>
  <si>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</si>
  <si>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</si>
  <si>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</si>
  <si>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</si>
  <si>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</si>
  <si>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</si>
  <si>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</si>
  <si>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</si>
  <si>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</si>
  <si>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</si>
  <si>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</si>
  <si>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</si>
  <si>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</si>
  <si>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</si>
  <si>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</si>
  <si>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</si>
  <si>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</si>
  <si>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</si>
  <si>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</si>
  <si>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</si>
  <si>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</si>
  <si>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</si>
  <si>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</si>
  <si>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</si>
  <si>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</si>
  <si>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</si>
  <si>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</si>
  <si>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</si>
  <si>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</si>
  <si>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</si>
  <si>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</si>
  <si>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</si>
  <si>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</si>
  <si>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</si>
  <si>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</si>
  <si>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</si>
  <si>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</si>
  <si>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</si>
  <si>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</si>
  <si>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</si>
  <si>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</si>
  <si>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</si>
  <si>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</si>
  <si>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</si>
  <si>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</si>
  <si>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</si>
  <si>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</si>
  <si>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</si>
  <si>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</si>
  <si>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</si>
  <si>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</si>
  <si>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</si>
  <si>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</si>
  <si>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</si>
  <si>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</si>
  <si>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</si>
  <si>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</si>
  <si>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</si>
  <si>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</si>
  <si>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</si>
  <si>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</si>
  <si>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</si>
  <si>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</si>
  <si>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</si>
  <si>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</si>
  <si>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</si>
  <si>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</si>
  <si>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</si>
  <si>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</si>
  <si>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</si>
  <si>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</si>
  <si>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</si>
  <si>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</si>
  <si>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</si>
  <si>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</si>
  <si>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</si>
  <si>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</si>
  <si>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</si>
  <si>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</si>
  <si>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</si>
  <si>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</si>
  <si>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</si>
  <si>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</si>
  <si>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</si>
  <si>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</si>
  <si>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</si>
  <si>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</si>
  <si>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</si>
  <si>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</si>
  <si>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</si>
  <si>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</si>
  <si>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</si>
  <si>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</si>
  <si>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</si>
  <si>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</si>
  <si>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</si>
  <si>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</si>
  <si>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</si>
  <si>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</si>
  <si>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</si>
  <si>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</si>
  <si>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</si>
  <si>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</si>
  <si>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</si>
  <si>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</si>
  <si>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</si>
  <si>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</si>
  <si>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</si>
  <si>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</si>
  <si>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</si>
  <si>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</si>
  <si>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</si>
  <si>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</si>
  <si>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</si>
  <si>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</si>
  <si>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</si>
  <si>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</si>
  <si>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</si>
  <si>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</si>
  <si>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</si>
  <si>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</si>
  <si>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</si>
  <si>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</si>
  <si>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</si>
  <si>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</si>
  <si>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</si>
  <si>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</si>
  <si>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</si>
  <si>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</si>
  <si>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</si>
  <si>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</si>
  <si>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</si>
  <si>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</si>
  <si>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</si>
  <si>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</si>
  <si>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</si>
  <si>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</si>
  <si>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</si>
  <si>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</si>
  <si>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</si>
  <si>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</si>
  <si>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</si>
  <si>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</si>
  <si>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</si>
  <si>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</si>
  <si>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</si>
  <si>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</si>
  <si>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</si>
  <si>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</si>
  <si>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</si>
  <si>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</si>
  <si>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</si>
  <si>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</si>
  <si>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</si>
  <si>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</si>
  <si>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</si>
  <si>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</si>
  <si>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</si>
  <si>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</si>
  <si>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</si>
  <si>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</si>
  <si>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</si>
  <si>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</si>
  <si>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</si>
  <si>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</si>
  <si>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</si>
  <si>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</si>
  <si>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</si>
  <si>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</si>
  <si>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</si>
  <si>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</si>
  <si>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</si>
  <si>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</si>
  <si>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</si>
  <si>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</si>
  <si>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</si>
  <si>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</si>
  <si>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</si>
  <si>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</si>
  <si>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</si>
  <si>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</si>
  <si>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</si>
  <si>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</si>
  <si>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</si>
  <si>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</si>
  <si>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</si>
  <si>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</si>
  <si>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</si>
  <si>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</si>
  <si>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</si>
  <si>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</si>
  <si>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</si>
  <si>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</si>
  <si>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</si>
  <si>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</si>
  <si>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</si>
  <si>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</si>
  <si>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</si>
  <si>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</si>
  <si>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</si>
  <si>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</si>
  <si>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</si>
  <si>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</si>
  <si>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</si>
  <si>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</si>
  <si>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</si>
  <si>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</si>
  <si>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</si>
  <si>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</si>
  <si>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</si>
  <si>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</si>
  <si>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</si>
  <si>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</si>
  <si>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</si>
  <si>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</si>
  <si>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</si>
  <si>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</si>
  <si>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</si>
  <si>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</si>
  <si>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</si>
  <si>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</si>
  <si>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</si>
  <si>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</si>
  <si>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</si>
  <si>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</si>
  <si>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</si>
  <si>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</si>
  <si>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</si>
  <si>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</si>
  <si>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</si>
  <si>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</si>
  <si>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</si>
  <si>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</si>
  <si>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</si>
  <si>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</si>
  <si>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</si>
  <si>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</si>
  <si>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</si>
  <si>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</si>
  <si>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</si>
  <si>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</si>
  <si>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</si>
  <si>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</si>
  <si>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</si>
  <si>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</si>
  <si>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</si>
  <si>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</si>
  <si>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</si>
  <si>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</si>
  <si>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</si>
  <si>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</si>
  <si>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</si>
  <si>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</si>
  <si>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</si>
  <si>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</si>
  <si>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</si>
  <si>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</si>
  <si>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</si>
  <si>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</si>
  <si>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</si>
  <si>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</si>
  <si>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</si>
  <si>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</si>
  <si>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</si>
  <si>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</si>
  <si>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</si>
  <si>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</si>
  <si>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</si>
  <si>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</si>
  <si>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</si>
  <si>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</si>
  <si>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</si>
  <si>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</si>
  <si>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</si>
  <si>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</si>
  <si>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</si>
  <si>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</si>
  <si>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</si>
  <si>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</si>
  <si>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</si>
  <si>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</si>
  <si>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</si>
  <si>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</si>
  <si>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</si>
  <si>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</si>
  <si>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</si>
  <si>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</si>
  <si>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</si>
  <si>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</si>
  <si>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</si>
  <si>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</si>
  <si>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</si>
  <si>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</si>
  <si>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</si>
  <si>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</si>
  <si>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</si>
  <si>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</si>
  <si>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</si>
  <si>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</si>
  <si>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</si>
  <si>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</si>
  <si>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</si>
  <si>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</si>
  <si>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</si>
  <si>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</si>
  <si>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</si>
  <si>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</si>
  <si>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</si>
  <si>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</si>
  <si>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</si>
  <si>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</si>
  <si>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</si>
  <si>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</si>
  <si>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</si>
  <si>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</si>
  <si>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</si>
  <si>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</si>
  <si>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</si>
  <si>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</si>
  <si>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</si>
  <si>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</si>
  <si>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</si>
  <si>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</si>
  <si>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</si>
  <si>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</si>
  <si>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</si>
  <si>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</si>
  <si>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</si>
  <si>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</si>
  <si>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</si>
  <si>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</si>
  <si>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</si>
  <si>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</si>
  <si>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</si>
  <si>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</si>
  <si>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</si>
  <si>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</si>
  <si>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</si>
  <si>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</si>
  <si>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</si>
  <si>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</si>
  <si>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</si>
  <si>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</si>
  <si>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</si>
  <si>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</si>
  <si>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</si>
  <si>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</si>
  <si>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</si>
  <si>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</si>
  <si>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</si>
  <si>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</si>
  <si>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</si>
  <si>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</si>
  <si>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</si>
  <si>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</si>
  <si>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</si>
  <si>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</si>
  <si>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</si>
  <si>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</si>
  <si>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</si>
  <si>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</si>
  <si>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</si>
  <si>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</si>
  <si>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</si>
  <si>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</si>
  <si>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</si>
  <si>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</si>
  <si>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</si>
  <si>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</si>
  <si>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</si>
  <si>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</si>
  <si>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</si>
  <si>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</si>
  <si>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</si>
  <si>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</si>
  <si>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</si>
  <si>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</si>
  <si>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</si>
  <si>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</si>
  <si>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</si>
  <si>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</si>
  <si>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</si>
  <si>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</si>
  <si>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</si>
  <si>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</si>
  <si>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</si>
  <si>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</si>
  <si>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</si>
  <si>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</si>
  <si>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</si>
  <si>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</si>
  <si>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</si>
  <si>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</si>
  <si>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</si>
  <si>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</si>
  <si>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</si>
  <si>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</si>
  <si>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</si>
  <si>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</si>
  <si>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</si>
  <si>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</si>
  <si>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</si>
  <si>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</si>
  <si>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</si>
  <si>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</si>
  <si>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</si>
  <si>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</si>
  <si>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</si>
  <si>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</si>
  <si>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</si>
  <si>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</si>
  <si>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</si>
  <si>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</si>
  <si>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</si>
  <si>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</si>
  <si>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</si>
  <si>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</si>
  <si>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</si>
  <si>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</si>
  <si>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</si>
  <si>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</si>
  <si>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</si>
  <si>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</si>
  <si>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</si>
  <si>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</si>
  <si>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</si>
  <si>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</si>
  <si>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</si>
  <si>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</si>
  <si>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</si>
  <si>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</si>
  <si>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</si>
  <si>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</si>
  <si>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</si>
  <si>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</si>
  <si>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</si>
  <si>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</si>
  <si>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</si>
  <si>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</si>
  <si>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</si>
  <si>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</si>
  <si>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</si>
  <si>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</si>
  <si>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</si>
  <si>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</si>
  <si>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</si>
  <si>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</si>
  <si>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</si>
  <si>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</si>
  <si>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</si>
  <si>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</si>
  <si>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</si>
  <si>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</si>
  <si>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</si>
  <si>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</si>
  <si>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</si>
  <si>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</si>
  <si>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</si>
  <si>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</si>
  <si>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</si>
  <si>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</si>
  <si>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</si>
  <si>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</si>
  <si>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</si>
  <si>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</si>
  <si>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</si>
  <si>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</si>
  <si>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</si>
  <si>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</si>
  <si>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</si>
  <si>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</si>
  <si>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</si>
  <si>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</si>
  <si>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</si>
  <si>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</si>
  <si>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</si>
  <si>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</si>
  <si>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</si>
  <si>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</si>
  <si>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</si>
  <si>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</si>
  <si>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</si>
  <si>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</si>
  <si>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</si>
  <si>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</si>
  <si>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</si>
  <si>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</si>
  <si>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</si>
  <si>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</si>
  <si>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</si>
  <si>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</si>
  <si>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</si>
  <si>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</si>
  <si>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</si>
  <si>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</si>
  <si>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</si>
  <si>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</si>
  <si>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</si>
  <si>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</si>
  <si>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</si>
  <si>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</si>
  <si>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</si>
  <si>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</si>
  <si>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</si>
  <si>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</si>
  <si>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</si>
  <si>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</si>
  <si>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</si>
  <si>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</si>
  <si>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</si>
  <si>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</si>
  <si>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</si>
  <si>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</si>
  <si>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</si>
  <si>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</si>
  <si>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</si>
  <si>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</si>
  <si>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</si>
  <si>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</si>
  <si>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</si>
  <si>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</si>
  <si>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</si>
  <si>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</si>
  <si>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</si>
  <si>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</si>
  <si>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</si>
  <si>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</si>
  <si>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</si>
  <si>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</si>
  <si>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</si>
  <si>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</si>
  <si>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</si>
  <si>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</si>
  <si>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</si>
  <si>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</si>
  <si>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</si>
  <si>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</si>
  <si>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</si>
  <si>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</si>
  <si>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</si>
  <si>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</si>
  <si>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</si>
  <si>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</si>
  <si>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</si>
  <si>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</si>
  <si>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</si>
  <si>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</si>
  <si>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</si>
  <si>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</si>
  <si>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</si>
  <si>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</si>
  <si>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</si>
  <si>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</si>
  <si>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</si>
  <si>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</si>
  <si>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</si>
  <si>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</si>
  <si>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</si>
  <si>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</si>
  <si>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</si>
  <si>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</si>
  <si>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</si>
  <si>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</si>
  <si>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</si>
  <si>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</si>
  <si>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</si>
  <si>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</si>
  <si>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</si>
  <si>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</si>
  <si>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</si>
  <si>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</si>
  <si>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</si>
  <si>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</si>
  <si>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</si>
  <si>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</si>
  <si>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</si>
  <si>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</si>
  <si>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</si>
  <si>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</si>
  <si>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</si>
  <si>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</si>
  <si>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</si>
  <si>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</si>
  <si>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</si>
  <si>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</si>
  <si>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</si>
  <si>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</si>
  <si>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</si>
  <si>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</si>
  <si>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</si>
  <si>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</si>
  <si>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</si>
  <si>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</si>
  <si>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</si>
  <si>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</si>
  <si>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</si>
  <si>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</si>
  <si>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</si>
  <si>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</si>
  <si>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</si>
  <si>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</si>
  <si>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</si>
  <si>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</si>
  <si>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</si>
  <si>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</si>
  <si>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</si>
  <si>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</si>
  <si>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</si>
  <si>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</si>
  <si>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</si>
  <si>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</si>
  <si>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</si>
  <si>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</si>
  <si>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</si>
  <si>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</si>
  <si>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</si>
  <si>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</si>
  <si>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</si>
  <si>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</si>
  <si>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</si>
  <si>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</si>
  <si>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</si>
  <si>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</si>
  <si>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</si>
  <si>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</si>
  <si>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</si>
  <si>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</si>
  <si>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</si>
  <si>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</si>
  <si>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</si>
  <si>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</si>
  <si>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</si>
  <si>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</si>
  <si>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</si>
  <si>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</si>
  <si>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</si>
  <si>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</si>
  <si>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</si>
  <si>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</si>
  <si>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</si>
  <si>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</si>
  <si>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</si>
  <si>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</si>
  <si>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</si>
  <si>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</si>
  <si>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</si>
  <si>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</si>
  <si>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</si>
  <si>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</si>
  <si>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</si>
  <si>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</si>
  <si>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</si>
  <si>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</si>
  <si>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</si>
  <si>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</si>
  <si>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</si>
  <si>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</si>
  <si>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</si>
  <si>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</si>
  <si>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</si>
  <si>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</si>
  <si>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</si>
  <si>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</si>
  <si>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</si>
  <si>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</si>
  <si>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</si>
  <si>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</si>
  <si>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</si>
  <si>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</si>
  <si>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</si>
  <si>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</si>
  <si>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</si>
  <si>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</si>
  <si>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</si>
  <si>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</si>
  <si>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</si>
  <si>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</si>
  <si>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</si>
  <si>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</si>
  <si>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</si>
  <si>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</si>
  <si>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</si>
  <si>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</si>
  <si>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</si>
  <si>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</si>
  <si>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</si>
  <si>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</si>
  <si>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</si>
  <si>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</si>
  <si>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</si>
  <si>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</si>
  <si>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</si>
  <si>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</si>
  <si>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</si>
  <si>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</si>
  <si>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</si>
  <si>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</si>
  <si>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</si>
  <si>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</si>
  <si>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</si>
  <si>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</si>
  <si>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</si>
  <si>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</si>
  <si>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</si>
  <si>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</si>
  <si>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</si>
  <si>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</si>
  <si>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</si>
  <si>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</si>
  <si>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</si>
  <si>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</si>
  <si>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</si>
  <si>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</si>
  <si>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</si>
  <si>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</si>
  <si>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</si>
  <si>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</si>
  <si>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</si>
  <si>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</si>
  <si>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</si>
  <si>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</si>
  <si>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</si>
  <si>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</si>
  <si>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</si>
  <si>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</si>
  <si>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</si>
  <si>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</si>
  <si>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</si>
  <si>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</si>
  <si>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</si>
  <si>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</si>
  <si>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</si>
  <si>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</si>
  <si>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</si>
  <si>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</si>
  <si>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</si>
  <si>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</si>
  <si>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</si>
  <si>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</si>
  <si>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</si>
  <si>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</si>
  <si>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</si>
  <si>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</si>
  <si>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</si>
  <si>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</si>
  <si>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</si>
  <si>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</si>
  <si>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</si>
  <si>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</si>
  <si>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</si>
  <si>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</si>
  <si>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</si>
  <si>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</si>
  <si>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</si>
  <si>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</si>
  <si>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</si>
  <si>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</si>
  <si>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</si>
  <si>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</si>
  <si>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</si>
  <si>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</si>
  <si>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</si>
  <si>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</si>
  <si>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</si>
  <si>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</si>
  <si>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</si>
  <si>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</si>
  <si>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</si>
  <si>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</si>
  <si>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</si>
  <si>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</si>
  <si>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</si>
  <si>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</si>
  <si>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</si>
  <si>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</si>
  <si>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</si>
  <si>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</si>
  <si>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</si>
  <si>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</si>
  <si>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</si>
  <si>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</si>
  <si>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</si>
  <si>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</si>
  <si>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</si>
  <si>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</si>
  <si>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</si>
  <si>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</si>
  <si>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</si>
  <si>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</si>
  <si>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</si>
  <si>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</si>
  <si>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</si>
  <si>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</si>
  <si>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</si>
  <si>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</si>
  <si>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</si>
  <si>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</si>
  <si>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</si>
  <si>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</si>
  <si>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</si>
  <si>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</si>
  <si>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</si>
  <si>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</si>
  <si>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</si>
  <si>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</si>
  <si>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</si>
  <si>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</si>
  <si>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</si>
  <si>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</si>
  <si>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</si>
  <si>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</si>
  <si>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</si>
  <si>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</si>
  <si>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</si>
  <si>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</si>
  <si>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</si>
  <si>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</si>
  <si>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</si>
  <si>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</si>
  <si>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</si>
  <si>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</si>
  <si>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</si>
  <si>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</si>
  <si>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</si>
  <si>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</si>
  <si>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</si>
  <si>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</si>
  <si>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</si>
  <si>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</si>
  <si>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</si>
  <si>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</si>
  <si>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</si>
  <si>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</si>
  <si>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</si>
  <si>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</si>
  <si>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</si>
  <si>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</si>
  <si>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</si>
  <si>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</si>
  <si>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</si>
  <si>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</si>
  <si>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</si>
  <si>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</si>
  <si>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</si>
  <si>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</si>
  <si>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</si>
  <si>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</si>
  <si>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</si>
  <si>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</si>
  <si>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</si>
  <si>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</si>
  <si>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</si>
  <si>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</si>
  <si>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</si>
  <si>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</si>
  <si>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</si>
  <si>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</si>
  <si>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</si>
  <si>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</si>
  <si>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</si>
  <si>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</si>
  <si>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</si>
  <si>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</si>
  <si>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</si>
  <si>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</si>
  <si>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</si>
  <si>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</si>
  <si>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</si>
  <si>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</si>
  <si>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</si>
  <si>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</si>
  <si>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</si>
  <si>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</si>
  <si>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</si>
  <si>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</si>
  <si>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</si>
  <si>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</si>
  <si>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</si>
  <si>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</si>
  <si>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</si>
  <si>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</si>
  <si>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</si>
  <si>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</si>
  <si>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</si>
  <si>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</si>
  <si>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</si>
  <si>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</si>
  <si>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</si>
  <si>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</si>
  <si>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</si>
  <si>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</si>
  <si>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</si>
  <si>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</si>
  <si>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</si>
  <si>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</si>
  <si>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</si>
  <si>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</si>
  <si>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</si>
  <si>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</si>
  <si>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</si>
  <si>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</si>
  <si>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</si>
  <si>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</si>
  <si>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</si>
  <si>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</si>
  <si>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</si>
  <si>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</si>
  <si>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</si>
  <si>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</si>
  <si>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</si>
  <si>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</si>
  <si>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</si>
  <si>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</si>
  <si>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</si>
  <si>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</si>
  <si>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</si>
  <si>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</si>
  <si>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</si>
  <si>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</si>
  <si>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</si>
  <si>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</si>
  <si>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</si>
  <si>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</si>
  <si>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</si>
  <si>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</si>
  <si>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</si>
  <si>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</si>
  <si>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</si>
  <si>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</si>
  <si>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</si>
  <si>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</si>
  <si>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</si>
  <si>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</si>
  <si>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</si>
  <si>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</si>
  <si>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</si>
  <si>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</si>
  <si>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</si>
  <si>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</si>
  <si>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</si>
  <si>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</si>
  <si>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</si>
  <si>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</si>
  <si>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</si>
  <si>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</si>
  <si>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</si>
  <si>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</si>
  <si>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</si>
  <si>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</si>
  <si>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</si>
  <si>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</si>
  <si>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</si>
  <si>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</si>
  <si>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</si>
  <si>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</si>
  <si>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</si>
  <si>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</si>
  <si>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</si>
  <si>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</si>
  <si>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</si>
  <si>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</si>
  <si>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</si>
  <si>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</si>
  <si>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</si>
  <si>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</si>
  <si>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</si>
  <si>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</si>
  <si>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</si>
  <si>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</si>
  <si>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</si>
  <si>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</si>
  <si>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</si>
  <si>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</si>
  <si>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</si>
  <si>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</si>
  <si>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</si>
  <si>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</si>
  <si>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</si>
  <si>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</si>
  <si>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</si>
  <si>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</si>
  <si>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</si>
  <si>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</si>
  <si>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</si>
  <si>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</si>
  <si>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</si>
  <si>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</si>
  <si>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</si>
  <si>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</si>
  <si>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</si>
  <si>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</si>
  <si>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</si>
  <si>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</si>
  <si>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</si>
  <si>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</si>
  <si>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</si>
  <si>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</si>
  <si>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</si>
  <si>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</si>
  <si>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</si>
  <si>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</si>
  <si>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</si>
  <si>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</si>
  <si>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</si>
  <si>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</si>
  <si>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</si>
  <si>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</si>
  <si>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</si>
  <si>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</si>
  <si>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</si>
  <si>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</si>
  <si>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</si>
  <si>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</si>
  <si>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</si>
  <si>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</si>
  <si>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</si>
  <si>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</si>
  <si>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</si>
  <si>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</si>
  <si>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</si>
  <si>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</si>
  <si>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</si>
  <si>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</si>
  <si>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</si>
  <si>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</si>
  <si>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</si>
  <si>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</si>
  <si>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</si>
  <si>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</si>
  <si>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</si>
  <si>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</si>
  <si>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</si>
  <si>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</si>
  <si>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</si>
  <si>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</si>
  <si>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</si>
  <si>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</si>
  <si>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</si>
  <si>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</si>
  <si>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</si>
  <si>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</si>
  <si>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</si>
  <si>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</si>
  <si>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</si>
  <si>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</si>
  <si>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</si>
  <si>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</si>
  <si>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</si>
  <si>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</si>
  <si>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</si>
  <si>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</si>
  <si>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</si>
  <si>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</si>
  <si>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</si>
  <si>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</si>
  <si>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</si>
  <si>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</si>
  <si>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</si>
  <si>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</si>
  <si>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</si>
  <si>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</si>
  <si>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</si>
  <si>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</si>
  <si>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</si>
  <si>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</si>
  <si>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</si>
  <si>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</si>
  <si>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</si>
  <si>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</si>
  <si>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</si>
  <si>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</si>
  <si>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</si>
  <si>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</si>
  <si>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</si>
  <si>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</si>
  <si>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</si>
  <si>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</si>
  <si>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</si>
  <si>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</si>
  <si>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</si>
  <si>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</si>
  <si>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</si>
  <si>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</si>
  <si>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</si>
  <si>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</si>
  <si>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</si>
  <si>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</si>
  <si>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</si>
  <si>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</si>
  <si>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</si>
  <si>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</si>
  <si>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</si>
  <si>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</si>
  <si>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</si>
  <si>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</si>
  <si>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</si>
  <si>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</si>
  <si>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</si>
  <si>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</si>
  <si>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</si>
  <si>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</si>
  <si>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</si>
  <si>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</si>
  <si>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</si>
  <si>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</si>
  <si>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</si>
  <si>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</si>
  <si>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</si>
  <si>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</si>
  <si>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</si>
  <si>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</si>
  <si>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</si>
  <si>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</si>
  <si>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</si>
  <si>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</si>
  <si>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</si>
  <si>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</si>
  <si>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</si>
  <si>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</si>
  <si>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</si>
  <si>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</si>
  <si>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</si>
  <si>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</si>
  <si>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</si>
  <si>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</si>
  <si>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</si>
  <si>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</si>
  <si>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</si>
  <si>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</si>
  <si>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</si>
  <si>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</si>
  <si>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</si>
  <si>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</si>
  <si>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</si>
  <si>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</si>
  <si>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</si>
  <si>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</si>
  <si>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</si>
  <si>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</si>
  <si>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</si>
  <si>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</si>
  <si>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</si>
  <si>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</si>
  <si>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</si>
  <si>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</si>
  <si>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</si>
  <si>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</si>
  <si>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</si>
  <si>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</si>
  <si>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</si>
  <si>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</si>
  <si>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</si>
  <si>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</si>
  <si>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</si>
  <si>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</si>
  <si>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</si>
  <si>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</si>
  <si>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</si>
  <si>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</si>
  <si>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</si>
  <si>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</si>
  <si>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</si>
  <si>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</si>
  <si>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</si>
  <si>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</si>
  <si>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</si>
  <si>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</si>
  <si>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</si>
  <si>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</si>
  <si>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</si>
  <si>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</si>
  <si>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</si>
  <si>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</si>
  <si>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</si>
  <si>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</si>
  <si>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</si>
  <si>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</si>
  <si>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</si>
  <si>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</si>
  <si>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</si>
  <si>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</si>
  <si>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</si>
  <si>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</si>
  <si>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</si>
  <si>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</si>
  <si>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</si>
  <si>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</si>
  <si>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</si>
  <si>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</si>
  <si>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</si>
  <si>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</si>
  <si>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</si>
  <si>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</si>
  <si>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</si>
  <si>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</si>
  <si>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</si>
  <si>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</si>
  <si>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</si>
  <si>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</si>
  <si>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</si>
  <si>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</si>
  <si>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</si>
  <si>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</si>
  <si>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</si>
  <si>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</si>
  <si>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</si>
  <si>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</si>
  <si>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</si>
  <si>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</si>
  <si>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</si>
  <si>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</si>
  <si>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</si>
  <si>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</si>
  <si>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</si>
  <si>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</si>
  <si>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</si>
  <si>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</si>
  <si>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</si>
  <si>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</si>
  <si>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</si>
  <si>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</si>
  <si>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</si>
  <si>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</si>
  <si>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</si>
  <si>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</si>
  <si>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</si>
  <si>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</si>
  <si>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</si>
  <si>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</si>
  <si>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</si>
  <si>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</si>
  <si>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</si>
  <si>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</si>
  <si>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</si>
  <si>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</si>
  <si>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</si>
  <si>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</si>
  <si>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</si>
  <si>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</si>
  <si>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</si>
  <si>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</si>
  <si>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</si>
  <si>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</si>
  <si>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</si>
  <si>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</si>
  <si>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</si>
  <si>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</si>
  <si>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</si>
  <si>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</si>
  <si>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</si>
  <si>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</si>
  <si>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</si>
  <si>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</si>
  <si>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</si>
  <si>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</si>
  <si>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</si>
  <si>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</si>
  <si>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</si>
  <si>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</si>
  <si>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</si>
  <si>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</si>
  <si>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</si>
  <si>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</si>
  <si>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</si>
  <si>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</si>
  <si>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</si>
  <si>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</si>
  <si>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</si>
  <si>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</si>
  <si>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</si>
  <si>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</si>
  <si>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</si>
  <si>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</si>
  <si>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</si>
  <si>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</si>
  <si>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</si>
  <si>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</si>
  <si>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</si>
  <si>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</si>
  <si>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</si>
  <si>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</si>
  <si>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</si>
  <si>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</si>
  <si>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</si>
  <si>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</si>
  <si>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</si>
  <si>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</si>
  <si>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</si>
  <si>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</si>
  <si>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</si>
  <si>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</si>
  <si>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</si>
  <si>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</si>
  <si>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</si>
  <si>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</si>
  <si>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</si>
  <si>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</si>
  <si>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</si>
  <si>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</si>
  <si>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</si>
  <si>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</si>
  <si>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</si>
  <si>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</si>
  <si>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</si>
  <si>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</si>
  <si>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</si>
  <si>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</si>
  <si>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</si>
  <si>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</si>
  <si>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</si>
  <si>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</si>
  <si>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</si>
  <si>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</si>
  <si>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</si>
  <si>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</si>
  <si>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</si>
  <si>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</si>
  <si>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</si>
  <si>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</si>
  <si>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</si>
  <si>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</si>
  <si>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</si>
  <si>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</si>
  <si>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</si>
  <si>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</si>
  <si>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</si>
  <si>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</si>
  <si>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</si>
  <si>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</si>
  <si>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</si>
  <si>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</si>
  <si>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</si>
  <si>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</si>
  <si>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</si>
  <si>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</si>
  <si>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</si>
  <si>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</si>
  <si>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</si>
  <si>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</si>
  <si>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</si>
  <si>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</si>
  <si>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</si>
  <si>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</si>
  <si>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</si>
  <si>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</si>
  <si>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</si>
  <si>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</si>
  <si>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</si>
  <si>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</si>
  <si>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</si>
  <si>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</si>
  <si>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</si>
  <si>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</si>
  <si>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</si>
  <si>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</si>
  <si>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</si>
  <si>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</si>
  <si>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</si>
  <si>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</si>
  <si>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</si>
  <si>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</si>
  <si>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</si>
  <si>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</si>
  <si>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</si>
  <si>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</si>
  <si>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</si>
  <si>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</si>
  <si>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</si>
  <si>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</si>
  <si>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</si>
  <si>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</si>
  <si>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</si>
  <si>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</si>
  <si>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</si>
  <si>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</si>
  <si>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</si>
  <si>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</si>
  <si>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</si>
  <si>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</si>
  <si>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</si>
  <si>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</si>
  <si>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</si>
  <si>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</si>
  <si>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</si>
  <si>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</si>
  <si>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</si>
  <si>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</si>
  <si>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</si>
  <si>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</si>
  <si>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</si>
  <si>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</si>
  <si>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</si>
  <si>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</si>
  <si>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</si>
  <si>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</si>
  <si>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</si>
  <si>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</si>
  <si>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</si>
  <si>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</si>
  <si>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</si>
  <si>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</si>
  <si>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</si>
  <si>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</si>
  <si>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</si>
  <si>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</si>
  <si>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</si>
  <si>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</si>
  <si>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</si>
  <si>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</si>
  <si>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</si>
  <si>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</si>
  <si>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</si>
  <si>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</si>
  <si>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</si>
  <si>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</si>
  <si>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</si>
  <si>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</si>
  <si>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</si>
  <si>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</si>
  <si>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</si>
  <si>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</si>
  <si>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</si>
  <si>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</si>
  <si>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</si>
  <si>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</si>
  <si>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</si>
  <si>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</si>
  <si>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</si>
  <si>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</si>
  <si>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</si>
  <si>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</si>
  <si>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</si>
  <si>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</si>
  <si>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</si>
  <si>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</si>
  <si>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</si>
  <si>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</si>
  <si>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</si>
  <si>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</si>
  <si>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</si>
  <si>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</si>
  <si>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</si>
  <si>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</si>
  <si>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</si>
  <si>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</si>
  <si>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</si>
  <si>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</si>
  <si>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</si>
  <si>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</si>
  <si>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</si>
  <si>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</si>
  <si>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</si>
  <si>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</si>
  <si>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</si>
  <si>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</si>
  <si>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</si>
  <si>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</si>
  <si>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</si>
  <si>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</si>
  <si>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</si>
  <si>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</si>
  <si>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</si>
  <si>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</si>
  <si>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</si>
  <si>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</si>
  <si>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</si>
  <si>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</si>
  <si>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</si>
  <si>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</si>
  <si>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</si>
  <si>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</si>
  <si>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</si>
  <si>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</si>
  <si>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</si>
  <si>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</si>
  <si>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</si>
  <si>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</si>
  <si>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</si>
  <si>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</si>
  <si>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</si>
  <si>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</si>
  <si>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</si>
  <si>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</si>
  <si>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</si>
  <si>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</si>
  <si>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</si>
  <si>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</si>
  <si>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</si>
  <si>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</si>
  <si>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</si>
  <si>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</si>
  <si>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</si>
  <si>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</si>
  <si>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</si>
  <si>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</si>
  <si>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</si>
  <si>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</si>
  <si>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</si>
  <si>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</si>
  <si>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</si>
  <si>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</si>
  <si>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</si>
  <si>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</si>
  <si>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</si>
  <si>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</si>
  <si>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</si>
  <si>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</si>
  <si>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</si>
  <si>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</si>
  <si>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</si>
  <si>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</si>
  <si>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</si>
  <si>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</si>
  <si>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</si>
  <si>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</si>
  <si>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</si>
  <si>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</si>
  <si>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</si>
  <si>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</si>
  <si>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</si>
  <si>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</si>
  <si>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</si>
  <si>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</si>
  <si>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</si>
  <si>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</si>
  <si>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</si>
  <si>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</si>
  <si>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</si>
  <si>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</si>
  <si>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</si>
  <si>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</si>
  <si>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</si>
  <si>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</si>
  <si>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</si>
  <si>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</si>
  <si>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</si>
  <si>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</si>
  <si>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</si>
  <si>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</si>
  <si>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</si>
  <si>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</si>
  <si>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</si>
  <si>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</si>
  <si>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</si>
  <si>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</si>
  <si>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</si>
  <si>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</si>
  <si>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</si>
  <si>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</si>
  <si>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</si>
  <si>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</si>
  <si>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</si>
  <si>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</si>
  <si>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</si>
  <si>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</si>
  <si>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</si>
  <si>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</si>
  <si>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</si>
  <si>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</si>
  <si>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</si>
  <si>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</si>
  <si>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</si>
  <si>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</si>
  <si>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</si>
  <si>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</si>
  <si>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</si>
  <si>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</si>
  <si>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</si>
  <si>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</si>
  <si>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</si>
  <si>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</si>
  <si>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</si>
  <si>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</si>
  <si>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</si>
  <si>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</si>
  <si>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</si>
  <si>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</si>
  <si>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</si>
  <si>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</si>
  <si>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</si>
  <si>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</si>
  <si>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</si>
  <si>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</si>
  <si>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</si>
  <si>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</si>
  <si>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</si>
  <si>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</si>
  <si>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</si>
  <si>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</si>
  <si>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</si>
  <si>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</si>
  <si>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</si>
  <si>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</si>
  <si>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</si>
  <si>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</si>
  <si>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</si>
  <si>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</si>
  <si>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</si>
  <si>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</si>
  <si>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</si>
  <si>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</si>
  <si>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</si>
  <si>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</si>
  <si>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</si>
  <si>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</si>
  <si>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</si>
  <si>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</si>
  <si>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</si>
  <si>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</si>
  <si>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</si>
  <si>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</si>
  <si>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</si>
  <si>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</si>
  <si>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</si>
  <si>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</si>
  <si>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</si>
  <si>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</si>
  <si>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</si>
  <si>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</si>
  <si>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</si>
  <si>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</si>
  <si>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</si>
  <si>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</si>
  <si>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</si>
  <si>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</si>
  <si>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</si>
  <si>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</si>
  <si>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</si>
  <si>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</si>
  <si>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</si>
  <si>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</si>
  <si>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</si>
  <si>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</si>
  <si>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</si>
  <si>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</si>
  <si>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</si>
  <si>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</si>
  <si>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</si>
  <si>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</si>
  <si>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</si>
  <si>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</si>
  <si>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</si>
  <si>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</si>
  <si>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</si>
  <si>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</si>
  <si>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</si>
  <si>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</si>
  <si>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</si>
  <si>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</si>
  <si>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</si>
  <si>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</si>
  <si>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</si>
  <si>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</si>
  <si>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</si>
  <si>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</si>
  <si>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</si>
  <si>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</si>
  <si>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</si>
  <si>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</si>
  <si>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</si>
  <si>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</si>
  <si>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</si>
  <si>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</si>
  <si>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</si>
  <si>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</si>
  <si>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</si>
  <si>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</si>
  <si>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</si>
  <si>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</si>
  <si>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</si>
  <si>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</si>
  <si>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</si>
  <si>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</si>
  <si>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</si>
  <si>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</si>
  <si>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</si>
  <si>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</si>
  <si>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</si>
  <si>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</si>
  <si>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</si>
  <si>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</si>
  <si>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</si>
  <si>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</si>
  <si>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</si>
  <si>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</si>
  <si>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</si>
  <si>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</si>
  <si>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</si>
  <si>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</si>
  <si>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</si>
  <si>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</si>
  <si>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</si>
  <si>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</si>
  <si>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</si>
  <si>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</si>
  <si>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</si>
  <si>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</si>
  <si>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</si>
  <si>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</si>
  <si>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</si>
  <si>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</si>
  <si>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</si>
  <si>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</si>
  <si>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</si>
  <si>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</si>
  <si>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</si>
  <si>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</si>
  <si>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</si>
  <si>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</si>
  <si>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</si>
  <si>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</si>
  <si>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</si>
  <si>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</si>
  <si>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</si>
  <si>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</si>
  <si>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</si>
  <si>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</si>
  <si>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</si>
  <si>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</si>
  <si>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</si>
  <si>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</si>
  <si>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</si>
  <si>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</si>
  <si>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</si>
  <si>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</si>
  <si>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</si>
  <si>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</si>
  <si>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</si>
  <si>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</si>
  <si>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</si>
  <si>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</si>
  <si>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</si>
  <si>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</si>
  <si>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</si>
  <si>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</si>
  <si>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</si>
  <si>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</si>
  <si>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</si>
  <si>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</si>
  <si>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</si>
  <si>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</si>
  <si>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</si>
  <si>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</si>
  <si>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</si>
  <si>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</si>
  <si>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</si>
  <si>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</si>
  <si>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</si>
  <si>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</si>
  <si>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</si>
  <si>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</si>
  <si>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</si>
  <si>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</si>
  <si>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</si>
  <si>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</si>
  <si>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</si>
  <si>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</si>
  <si>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</si>
  <si>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</si>
  <si>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</si>
  <si>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</si>
  <si>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</si>
  <si>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</si>
  <si>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</si>
  <si>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</si>
  <si>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</si>
  <si>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</si>
  <si>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</si>
  <si>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</si>
  <si>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</si>
  <si>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</si>
  <si>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</si>
  <si>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</si>
  <si>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</si>
  <si>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</si>
  <si>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</si>
  <si>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</si>
  <si>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</si>
  <si>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</si>
  <si>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</si>
  <si>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</si>
  <si>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</si>
  <si>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</si>
  <si>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</si>
  <si>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</si>
  <si>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</si>
  <si>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</si>
  <si>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</si>
  <si>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</si>
  <si>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</si>
  <si>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</si>
  <si>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</si>
  <si>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</si>
  <si>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</si>
  <si>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</si>
  <si>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</si>
  <si>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</si>
  <si>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</si>
  <si>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</si>
  <si>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</si>
  <si>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</si>
  <si>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</si>
  <si>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</si>
  <si>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</si>
  <si>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</si>
  <si>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</si>
  <si>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</si>
  <si>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</si>
  <si>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</si>
  <si>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</si>
  <si>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</si>
  <si>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</si>
  <si>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</si>
  <si>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</si>
  <si>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</si>
  <si>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</si>
  <si>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</si>
  <si>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</si>
  <si>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</si>
  <si>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</si>
  <si>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</si>
  <si>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</si>
  <si>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</si>
  <si>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</si>
  <si>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</si>
  <si>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</si>
  <si>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</si>
  <si>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</si>
  <si>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</si>
  <si>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</si>
  <si>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</si>
  <si>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</si>
  <si>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</si>
  <si>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</si>
  <si>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</si>
  <si>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</si>
  <si>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</si>
  <si>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</si>
  <si>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</si>
  <si>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</si>
  <si>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</si>
  <si>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</si>
  <si>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</si>
  <si>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</si>
  <si>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</si>
  <si>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</si>
  <si>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</si>
  <si>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</si>
  <si>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</si>
  <si>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</si>
  <si>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</si>
  <si>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</si>
  <si>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</si>
  <si>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</si>
  <si>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</si>
  <si>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</si>
  <si>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</si>
  <si>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</si>
  <si>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</si>
  <si>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</si>
  <si>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</si>
  <si>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</si>
  <si>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</si>
  <si>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</si>
  <si>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</si>
  <si>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</si>
  <si>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</si>
  <si>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</si>
  <si>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</si>
  <si>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</si>
  <si>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</si>
  <si>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</si>
  <si>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</si>
  <si>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</si>
  <si>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</si>
  <si>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</si>
  <si>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</si>
  <si>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</si>
  <si>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</si>
  <si>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</si>
  <si>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</si>
  <si>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</si>
  <si>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</si>
  <si>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</si>
  <si>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</si>
  <si>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</si>
  <si>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</si>
  <si>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</si>
  <si>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</si>
  <si>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</si>
  <si>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</si>
  <si>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</si>
  <si>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</si>
  <si>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</si>
  <si>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</si>
  <si>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</si>
  <si>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</si>
  <si>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</si>
  <si>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</si>
  <si>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</si>
  <si>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</si>
  <si>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</si>
  <si>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</si>
  <si>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</si>
  <si>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</si>
  <si>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</si>
  <si>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</si>
  <si>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</si>
  <si>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</si>
  <si>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</si>
  <si>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</si>
  <si>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</si>
  <si>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</si>
  <si>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</si>
  <si>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</si>
  <si>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</si>
  <si>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</si>
  <si>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</si>
  <si>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</si>
  <si>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</si>
  <si>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</si>
  <si>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</si>
  <si>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</si>
  <si>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</si>
  <si>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</si>
  <si>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</si>
  <si>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</si>
  <si>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</si>
  <si>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</si>
  <si>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</si>
  <si>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</si>
  <si>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</si>
  <si>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</si>
  <si>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</si>
  <si>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</si>
  <si>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</si>
  <si>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</si>
  <si>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</si>
  <si>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</si>
  <si>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</si>
  <si>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</si>
  <si>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</si>
  <si>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</si>
  <si>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</si>
  <si>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</si>
  <si>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</si>
  <si>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</si>
  <si>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</si>
  <si>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</si>
  <si>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</si>
  <si>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</si>
  <si>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</si>
  <si>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</si>
  <si>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</si>
  <si>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</si>
  <si>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</si>
  <si>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</si>
  <si>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</si>
  <si>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</si>
  <si>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</si>
  <si>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</si>
  <si>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</si>
  <si>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</si>
  <si>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</si>
  <si>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</si>
  <si>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</si>
  <si>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</si>
  <si>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</si>
  <si>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</si>
  <si>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</si>
  <si>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</si>
  <si>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</si>
  <si>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</si>
  <si>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</si>
  <si>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</si>
  <si>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</si>
  <si>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</si>
  <si>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</si>
  <si>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</si>
  <si>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</si>
  <si>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</si>
  <si>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</si>
  <si>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</si>
  <si>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</si>
  <si>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</si>
  <si>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</si>
  <si>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</si>
  <si>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</si>
  <si>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</si>
  <si>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</si>
  <si>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</si>
  <si>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</si>
  <si>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</si>
  <si>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</si>
  <si>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</si>
  <si>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</si>
  <si>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</si>
  <si>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</si>
  <si>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</si>
  <si>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</si>
  <si>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</si>
  <si>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</si>
  <si>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</si>
  <si>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</si>
  <si>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</si>
  <si>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</si>
  <si>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</si>
  <si>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</si>
  <si>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</si>
  <si>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</si>
  <si>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</si>
  <si>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</si>
  <si>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</si>
  <si>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</si>
  <si>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</si>
  <si>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</si>
  <si>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</si>
  <si>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</si>
  <si>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</si>
  <si>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</si>
  <si>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</si>
  <si>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</si>
  <si>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</si>
  <si>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</si>
  <si>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</si>
  <si>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</si>
  <si>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</si>
  <si>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</si>
  <si>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</si>
  <si>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</si>
  <si>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</si>
  <si>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</si>
  <si>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</si>
  <si>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</si>
  <si>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</si>
  <si>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</si>
  <si>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</si>
  <si>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</si>
  <si>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</si>
  <si>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</si>
  <si>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</si>
  <si>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</si>
  <si>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</si>
  <si>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</si>
  <si>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</si>
  <si>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</si>
  <si>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</si>
  <si>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</si>
  <si>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</si>
  <si>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</si>
  <si>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</si>
  <si>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</si>
  <si>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</si>
  <si>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</si>
  <si>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</si>
  <si>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</si>
  <si>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</si>
  <si>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</si>
  <si>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</si>
  <si>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</si>
  <si>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</si>
  <si>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</si>
  <si>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</si>
  <si>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</si>
  <si>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</si>
  <si>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</si>
  <si>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</si>
  <si>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</si>
  <si>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</si>
  <si>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</si>
  <si>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</si>
  <si>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</si>
  <si>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</si>
  <si>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</si>
  <si>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</si>
  <si>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</si>
  <si>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</si>
  <si>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</si>
  <si>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</si>
  <si>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</si>
  <si>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</si>
  <si>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</si>
  <si>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</si>
  <si>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</si>
  <si>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</si>
  <si>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</si>
  <si>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</si>
  <si>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</si>
  <si>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</si>
  <si>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</si>
  <si>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</si>
  <si>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2021</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</si>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</sst>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6">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18473.876</v>
      </c>
      <c r="F22" s="3384" t="str">
        <f t="shared" si="0"/>
        <v>NA</v>
      </c>
      <c r="G22" s="3360">
        <v>284.66563472727302</v>
      </c>
      <c r="H22" s="3339">
        <f t="shared" si="1"/>
        <v>1043.773994000001</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31834.880000000001</v>
      </c>
      <c r="F24" s="3384" t="str">
        <f t="shared" si="0"/>
        <v>NA</v>
      </c>
      <c r="G24" s="3360">
        <v>700.65676800000006</v>
      </c>
      <c r="H24" s="3339">
        <f t="shared" si="1"/>
        <v>2569.0748160000003</v>
      </c>
      <c r="I24" s="2599" t="s">
        <v>205</v>
      </c>
      <c r="J24" s="2600"/>
      <c r="M24" s="125"/>
    </row>
    <row r="25" spans="2:13" ht="18" customHeight="1" x14ac:dyDescent="0.2">
      <c r="B25" s="165"/>
      <c r="C25" s="1566"/>
      <c r="D25" s="1451" t="s">
        <v>458</v>
      </c>
      <c r="E25" s="3379">
        <v>11699.411599999999</v>
      </c>
      <c r="F25" s="3384" t="str">
        <f t="shared" si="0"/>
        <v>NA</v>
      </c>
      <c r="G25" s="3360">
        <v>222.18778002709101</v>
      </c>
      <c r="H25" s="3339">
        <f t="shared" si="1"/>
        <v>814.68852676600034</v>
      </c>
      <c r="I25" s="2599" t="s">
        <v>205</v>
      </c>
      <c r="J25" s="2600"/>
      <c r="M25" s="125"/>
    </row>
    <row r="26" spans="2:13" ht="18" customHeight="1" x14ac:dyDescent="0.2">
      <c r="B26" s="165"/>
      <c r="C26" s="1566"/>
      <c r="D26" s="1451" t="s">
        <v>459</v>
      </c>
      <c r="E26" s="3383">
        <v>24270.806681999999</v>
      </c>
      <c r="F26" s="3384">
        <f t="shared" si="0"/>
        <v>25.261363636363622</v>
      </c>
      <c r="G26" s="3360">
        <v>613.11367334188606</v>
      </c>
      <c r="H26" s="3339">
        <f t="shared" si="1"/>
        <v>2248.0834689202488</v>
      </c>
      <c r="I26" s="3360">
        <v>2248.0834689202488</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37087.4418535898</v>
      </c>
      <c r="F28" s="3384">
        <f>IF(I28="NA","NA",I28/(44/12)*1000/E28)</f>
        <v>0.46428419525130843</v>
      </c>
      <c r="G28" s="3360">
        <v>688.20208672765102</v>
      </c>
      <c r="H28" s="3339">
        <f>IF(G28="NA","NA",IF(G28="NO","NO",G28*44/12))</f>
        <v>2523.4076513347204</v>
      </c>
      <c r="I28" s="3360">
        <v>63.136748014719998</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123366.4161355898</v>
      </c>
      <c r="F31" s="3324">
        <f t="shared" ref="F31" si="3">IF(I31="NA","NA",I31/(44/12)*1000/E31)</f>
        <v>5.1094358268787055</v>
      </c>
      <c r="G31" s="3388">
        <f>SUM(G11:G29)</f>
        <v>2508.8259428239012</v>
      </c>
      <c r="H31" s="3336">
        <f t="shared" ref="H31" si="4">IF(G31="NA","NA",IF(G31="NO","NO",G31*44/12))</f>
        <v>9199.0284570209715</v>
      </c>
      <c r="I31" s="3388">
        <f>SUM(I11:I29)</f>
        <v>2311.2202169349689</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0.143214732150826</v>
      </c>
      <c r="H34" s="3361">
        <f t="shared" ref="H34:H42" si="5">IF(G34="NA","NA",IF(G34="NO","NO",G34*44/12))</f>
        <v>0.52512068455302863</v>
      </c>
      <c r="I34" s="2388" t="s">
        <v>274</v>
      </c>
      <c r="J34" s="2600"/>
      <c r="M34" s="125"/>
    </row>
    <row r="35" spans="2:13" ht="18" customHeight="1" x14ac:dyDescent="0.2">
      <c r="B35" s="1433"/>
      <c r="C35" s="1566"/>
      <c r="D35" s="1451" t="s">
        <v>392</v>
      </c>
      <c r="E35" s="3379">
        <v>16813.648560000001</v>
      </c>
      <c r="F35" s="3384">
        <f>IF(I35="NA","NA",I35/(44/12)*1000/E35)</f>
        <v>27.36163336675547</v>
      </c>
      <c r="G35" s="3364">
        <v>460.04888745619598</v>
      </c>
      <c r="H35" s="3361">
        <f t="shared" si="5"/>
        <v>1686.8459206727186</v>
      </c>
      <c r="I35" s="3360">
        <v>1686.8459206727186</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64782.237003334601</v>
      </c>
      <c r="F41" s="3384">
        <f t="shared" ref="F41" si="8">IF(I41="NA","NA",I41/(44/12)*1000/E41)</f>
        <v>29.83640253142196</v>
      </c>
      <c r="G41" s="3360">
        <v>1932.86890011747</v>
      </c>
      <c r="H41" s="3361">
        <f t="shared" si="5"/>
        <v>7087.1859670973899</v>
      </c>
      <c r="I41" s="3360">
        <v>7087.1859670973899</v>
      </c>
      <c r="J41" s="3381" t="s">
        <v>460</v>
      </c>
      <c r="M41" s="125"/>
    </row>
    <row r="42" spans="2:13" ht="18" customHeight="1" x14ac:dyDescent="0.2">
      <c r="B42" s="1433"/>
      <c r="C42" s="1567"/>
      <c r="D42" s="1451" t="s">
        <v>467</v>
      </c>
      <c r="E42" s="3379">
        <v>8937.7264540652995</v>
      </c>
      <c r="F42" s="3384">
        <f>IF(I42="NA","NA",I42/(44/12)*1000/E42)</f>
        <v>6.9840889007379854</v>
      </c>
      <c r="G42" s="3360">
        <v>173.978929293286</v>
      </c>
      <c r="H42" s="3361">
        <f t="shared" si="5"/>
        <v>637.92274074204863</v>
      </c>
      <c r="I42" s="3360">
        <v>228.88021246078901</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90533.612017399893</v>
      </c>
      <c r="F45" s="3308">
        <f>IF(I45="NA","NA",I45/(44/12)*1000/E45)</f>
        <v>27.120752270741587</v>
      </c>
      <c r="G45" s="3388">
        <f>SUM(G33:G43)</f>
        <v>2567.0399315991031</v>
      </c>
      <c r="H45" s="3336">
        <f t="shared" ref="H45" si="9">IF(G45="NA","NA",IF(G45="NO","NO",G45*44/12))</f>
        <v>9412.4797491967111</v>
      </c>
      <c r="I45" s="3388">
        <f>SUM(I33:I43)</f>
        <v>9002.9121002308966</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53453.580851999999</v>
      </c>
      <c r="F47" s="3384">
        <f t="shared" ref="F47" si="10">IF(I47="NA","NA",I47/(44/12)*1000/E47)</f>
        <v>13.967966790320618</v>
      </c>
      <c r="G47" s="3360">
        <v>746.63784216445401</v>
      </c>
      <c r="H47" s="3339">
        <f t="shared" ref="H47" si="11">IF(G47="NA","NA",IF(G47="NO","NO",G47*44/12))</f>
        <v>2737.6720879363311</v>
      </c>
      <c r="I47" s="3360">
        <v>2737.6720879363311</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53453.580851999999</v>
      </c>
      <c r="F50" s="3308">
        <f>IF(I50="NA","NA",I50/(44/12)*1000/E50)</f>
        <v>13.967966790320618</v>
      </c>
      <c r="G50" s="3388">
        <f>SUM(G47:G48)</f>
        <v>746.63784216445401</v>
      </c>
      <c r="H50" s="3362">
        <f t="shared" ref="H50" si="13">IF(G50="NA","NA",IF(G50="NO","NO",G50*44/12))</f>
        <v>2737.6720879363311</v>
      </c>
      <c r="I50" s="3388">
        <f>SUM(I47:I48)</f>
        <v>2737.6720879363311</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267353.60900498967</v>
      </c>
      <c r="F55" s="3319">
        <f t="shared" si="14"/>
        <v>14.334238114695045</v>
      </c>
      <c r="G55" s="3388">
        <f>SUM(G31,G45,G50,G54)</f>
        <v>5822.5037165874583</v>
      </c>
      <c r="H55" s="3363">
        <f t="shared" si="15"/>
        <v>21349.180294154012</v>
      </c>
      <c r="I55" s="3388">
        <f>SUM(I31,I45,I50,I54)</f>
        <v>14051.804405102197</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587.68046492500002</v>
      </c>
      <c r="D10" s="3105"/>
      <c r="E10" s="3105"/>
      <c r="F10" s="3057">
        <f>SUM(F11,F18)</f>
        <v>915.12773141730565</v>
      </c>
      <c r="G10" s="3057">
        <f>SUM(G11,G18)</f>
        <v>2087.8740202040094</v>
      </c>
      <c r="H10" s="3057">
        <f>H11</f>
        <v>-676.75884804430939</v>
      </c>
      <c r="I10" s="3106" t="s">
        <v>199</v>
      </c>
      <c r="L10" s="3676"/>
    </row>
    <row r="11" spans="2:12" ht="18" customHeight="1" x14ac:dyDescent="0.2">
      <c r="B11" s="1251" t="s">
        <v>486</v>
      </c>
      <c r="C11" s="3014">
        <v>95.001862496000001</v>
      </c>
      <c r="D11" s="3057">
        <f>IFERROR(SUM(F11,-H11)/$C$11,"NA")</f>
        <v>13.332672215353963</v>
      </c>
      <c r="E11" s="3057">
        <f>IFERROR(SUM(G11)/$C$11,"NA")</f>
        <v>20.463417689644626</v>
      </c>
      <c r="F11" s="3057">
        <f>SUM(F12:F16)</f>
        <v>589.86984446298732</v>
      </c>
      <c r="G11" s="3057">
        <f>SUM(G12:G16)</f>
        <v>1944.0627935498328</v>
      </c>
      <c r="H11" s="3057">
        <f>H12</f>
        <v>-676.75884804430939</v>
      </c>
      <c r="I11" s="3106" t="s">
        <v>199</v>
      </c>
    </row>
    <row r="12" spans="2:12" ht="18" customHeight="1" x14ac:dyDescent="0.2">
      <c r="B12" s="160" t="s">
        <v>487</v>
      </c>
      <c r="C12" s="3027"/>
      <c r="D12" s="3057">
        <f>IFERROR(SUM(F12,-H12)/$C$11,"NA")</f>
        <v>12.668080170356195</v>
      </c>
      <c r="E12" s="3057">
        <f>IFERROR(SUM(G12)/$C$11,"NA")</f>
        <v>9.3660058510691186</v>
      </c>
      <c r="F12" s="3104">
        <v>526.73236238817401</v>
      </c>
      <c r="G12" s="3104">
        <v>889.7879999999999</v>
      </c>
      <c r="H12" s="3104">
        <v>-676.75884804430939</v>
      </c>
      <c r="I12" s="3015" t="s">
        <v>199</v>
      </c>
    </row>
    <row r="13" spans="2:12" ht="18" customHeight="1" x14ac:dyDescent="0.2">
      <c r="B13" s="160" t="s">
        <v>488</v>
      </c>
      <c r="C13" s="3027"/>
      <c r="D13" s="3057">
        <f>IFERROR(SUM(F13)/$C$11,"NA")</f>
        <v>0.38466510295551487</v>
      </c>
      <c r="E13" s="3057" t="s">
        <v>205</v>
      </c>
      <c r="F13" s="3104">
        <v>36.543901217989507</v>
      </c>
      <c r="G13" s="3104" t="s">
        <v>221</v>
      </c>
      <c r="H13" s="3104" t="s">
        <v>199</v>
      </c>
      <c r="I13" s="3015" t="s">
        <v>199</v>
      </c>
    </row>
    <row r="14" spans="2:12" ht="18" customHeight="1" x14ac:dyDescent="0.2">
      <c r="B14" s="160" t="s">
        <v>489</v>
      </c>
      <c r="C14" s="3442">
        <v>131</v>
      </c>
      <c r="D14" s="3057">
        <f>IFERROR(SUM(F14)/$C$11,"NA")</f>
        <v>0.24467676428347432</v>
      </c>
      <c r="E14" s="3057" t="s">
        <v>205</v>
      </c>
      <c r="F14" s="3104">
        <v>23.244748316424833</v>
      </c>
      <c r="G14" s="3104" t="s">
        <v>205</v>
      </c>
      <c r="H14" s="3104" t="s">
        <v>199</v>
      </c>
      <c r="I14" s="3015" t="s">
        <v>199</v>
      </c>
    </row>
    <row r="15" spans="2:12" ht="18" customHeight="1" x14ac:dyDescent="0.2">
      <c r="B15" s="160" t="s">
        <v>490</v>
      </c>
      <c r="C15" s="3014">
        <v>0.37307064420809</v>
      </c>
      <c r="D15" s="3057">
        <f>IFERROR(SUM(F15)/$C15,"NA")</f>
        <v>8.9764032426282263</v>
      </c>
      <c r="E15" s="3057">
        <f>IFERROR(SUM(G15)/$C15,"NA")</f>
        <v>2825.9387596355159</v>
      </c>
      <c r="F15" s="3104">
        <v>3.3488325403989001</v>
      </c>
      <c r="G15" s="3104">
        <v>1054.2747935498328</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492.67860242900002</v>
      </c>
      <c r="D18" s="3057">
        <f>IFERROR(SUM(F18)/$C$18,"NA")</f>
        <v>0.66018269385099038</v>
      </c>
      <c r="E18" s="3057">
        <f>IFERROR(SUM(G18)/$C$18,"NA")</f>
        <v>0.29189663595122595</v>
      </c>
      <c r="F18" s="3057">
        <f>SUM(F19:F21)</f>
        <v>325.25788695431834</v>
      </c>
      <c r="G18" s="3109">
        <f t="shared" ref="G18" si="1">SUM(G19:G21)</f>
        <v>143.81122665417661</v>
      </c>
      <c r="H18" s="3057" t="s">
        <v>199</v>
      </c>
      <c r="I18" s="3106" t="s">
        <v>199</v>
      </c>
    </row>
    <row r="19" spans="2:9" ht="18" customHeight="1" x14ac:dyDescent="0.2">
      <c r="B19" s="160" t="s">
        <v>493</v>
      </c>
      <c r="C19" s="3027"/>
      <c r="D19" s="3057">
        <f>IFERROR(SUM(F19)/$C$18,"NA")</f>
        <v>0.66018269385099038</v>
      </c>
      <c r="E19" s="3057">
        <f>IFERROR(SUM(G19)/$C$18,"NA")</f>
        <v>0.29189663595122595</v>
      </c>
      <c r="F19" s="3104">
        <v>325.25788695431834</v>
      </c>
      <c r="G19" s="3104">
        <v>143.81122665417661</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0" t="s">
        <v>506</v>
      </c>
      <c r="C57" s="4501"/>
      <c r="D57" s="4501"/>
      <c r="E57" s="4501"/>
      <c r="F57" s="4501"/>
      <c r="G57" s="4501"/>
      <c r="H57" s="4501"/>
      <c r="I57" s="4502"/>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6" workbookViewId="0">
      <selection activeCell="H15" sqref="H1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87.873820094265426</v>
      </c>
      <c r="J10" s="3123">
        <f>IF(SUM(J11:J16)=0,"NO",SUM(J11:J16))</f>
        <v>2.0060524171905585</v>
      </c>
      <c r="K10" s="4433">
        <f>IF(SUM(K11:K16)=0,"NO",SUM(K11:K16))</f>
        <v>2.726929588176438E-3</v>
      </c>
      <c r="L10" s="3124" t="s">
        <v>199</v>
      </c>
    </row>
    <row r="11" spans="2:12" ht="18" customHeight="1" x14ac:dyDescent="0.2">
      <c r="B11" s="1251" t="s">
        <v>520</v>
      </c>
      <c r="C11" s="2190" t="s">
        <v>521</v>
      </c>
      <c r="D11" s="2190" t="s">
        <v>522</v>
      </c>
      <c r="E11" s="699">
        <v>4</v>
      </c>
      <c r="F11" s="1938">
        <f>I11*1000000/$E11</f>
        <v>554500</v>
      </c>
      <c r="G11" s="1938">
        <f>J11*1000000/$E11</f>
        <v>57.182812500000004</v>
      </c>
      <c r="H11" s="1938">
        <f>K11*1000000/$E11</f>
        <v>38.121875000000003</v>
      </c>
      <c r="I11" s="3119">
        <v>2.218</v>
      </c>
      <c r="J11" s="4434">
        <v>2.2873125000000001E-4</v>
      </c>
      <c r="K11" s="4440">
        <v>1.5248750000000001E-4</v>
      </c>
      <c r="L11" s="3072" t="s">
        <v>199</v>
      </c>
    </row>
    <row r="12" spans="2:12" ht="18" customHeight="1" x14ac:dyDescent="0.2">
      <c r="B12" s="1251" t="s">
        <v>523</v>
      </c>
      <c r="C12" s="2190" t="s">
        <v>524</v>
      </c>
      <c r="D12" s="2190" t="s">
        <v>525</v>
      </c>
      <c r="E12" s="699">
        <v>718.404</v>
      </c>
      <c r="F12" s="1938" t="s">
        <v>205</v>
      </c>
      <c r="G12" s="1938">
        <f>J12*1000000/$E12</f>
        <v>1372.4867901626383</v>
      </c>
      <c r="H12" s="3075"/>
      <c r="I12" s="3125" t="s">
        <v>205</v>
      </c>
      <c r="J12" s="699">
        <v>0.98599999999999999</v>
      </c>
      <c r="K12" s="3027"/>
      <c r="L12" s="3072" t="s">
        <v>199</v>
      </c>
    </row>
    <row r="13" spans="2:12" ht="18" customHeight="1" x14ac:dyDescent="0.2">
      <c r="B13" s="1251" t="s">
        <v>526</v>
      </c>
      <c r="C13" s="2190" t="s">
        <v>527</v>
      </c>
      <c r="D13" s="2190" t="s">
        <v>525</v>
      </c>
      <c r="E13" s="699">
        <v>670.02484728051388</v>
      </c>
      <c r="F13" s="1938" t="s">
        <v>205</v>
      </c>
      <c r="G13" s="1938">
        <f>J13*1000000/$E13</f>
        <v>85.607162863870386</v>
      </c>
      <c r="H13" s="3075"/>
      <c r="I13" s="3125" t="s">
        <v>205</v>
      </c>
      <c r="J13" s="699">
        <v>5.735892622398283E-2</v>
      </c>
      <c r="K13" s="3027"/>
      <c r="L13" s="3072" t="s">
        <v>199</v>
      </c>
    </row>
    <row r="14" spans="2:12" ht="18" customHeight="1" x14ac:dyDescent="0.2">
      <c r="B14" s="1251" t="s">
        <v>528</v>
      </c>
      <c r="C14" s="2190" t="s">
        <v>529</v>
      </c>
      <c r="D14" s="2190" t="s">
        <v>525</v>
      </c>
      <c r="E14" s="699">
        <v>809.64644373839985</v>
      </c>
      <c r="F14" s="1938">
        <f>I14*1000000/$E14</f>
        <v>105794.10402738849</v>
      </c>
      <c r="G14" s="1938">
        <f>J14*1000000/$E14</f>
        <v>1050.0175357297815</v>
      </c>
      <c r="H14" s="1938">
        <f>K14*1000000/$E14</f>
        <v>3.1797114754057403</v>
      </c>
      <c r="I14" s="3125">
        <v>85.655820094265422</v>
      </c>
      <c r="J14" s="699">
        <v>0.85014296366657571</v>
      </c>
      <c r="K14" s="4439">
        <v>2.5744420881764381E-3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0.11232179604999999</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3489</v>
      </c>
      <c r="F18" s="1938" t="s">
        <v>205</v>
      </c>
      <c r="G18" s="1938">
        <f>J18*1000000/$E18</f>
        <v>32.193120106047573</v>
      </c>
      <c r="H18" s="3126"/>
      <c r="I18" s="3128" t="s">
        <v>205</v>
      </c>
      <c r="J18" s="2215">
        <v>0.11232179604999999</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54.579857406745226</v>
      </c>
      <c r="J21" s="4437">
        <f>IF(SUM(J22:J27)=0,"NO",SUM(J22:J27))</f>
        <v>200.75681932828999</v>
      </c>
      <c r="K21" s="4438">
        <f>IF(SUM(K22:K27)=0,"NO",SUM(K22:K27))</f>
        <v>9.2004428571428585E-4</v>
      </c>
      <c r="L21" s="3047">
        <f>IF(SUM(L22:L27)=0,"NO",SUM(L22:L27))</f>
        <v>-2720.328</v>
      </c>
    </row>
    <row r="22" spans="2:12" ht="18" customHeight="1" x14ac:dyDescent="0.2">
      <c r="B22" s="1468" t="s">
        <v>535</v>
      </c>
      <c r="C22" s="2190" t="s">
        <v>521</v>
      </c>
      <c r="D22" s="2190" t="s">
        <v>522</v>
      </c>
      <c r="E22" s="699">
        <v>2041.9645734087553</v>
      </c>
      <c r="F22" s="1938">
        <f>I22*1000000/$E22</f>
        <v>15604.316027994008</v>
      </c>
      <c r="G22" s="1938">
        <f>J22*1000000/$E22</f>
        <v>2314.5828990898831</v>
      </c>
      <c r="H22" s="1938">
        <f>K22*1000000/$E22</f>
        <v>0.45056819187534147</v>
      </c>
      <c r="I22" s="3119">
        <v>31.863460521438185</v>
      </c>
      <c r="J22" s="700">
        <v>4.7262962821592733</v>
      </c>
      <c r="K22" s="4129">
        <v>9.2004428571428585E-4</v>
      </c>
      <c r="L22" s="3133" t="s">
        <v>199</v>
      </c>
    </row>
    <row r="23" spans="2:12" ht="18" customHeight="1" x14ac:dyDescent="0.2">
      <c r="B23" s="1251" t="s">
        <v>536</v>
      </c>
      <c r="C23" s="2190" t="s">
        <v>537</v>
      </c>
      <c r="D23" s="2190" t="s">
        <v>525</v>
      </c>
      <c r="E23" s="699">
        <v>9221.9523614233749</v>
      </c>
      <c r="F23" s="1938">
        <f>I23*1000000/$E23</f>
        <v>89.330168605955151</v>
      </c>
      <c r="G23" s="1938">
        <f>J23*1000000/$E23</f>
        <v>4200.1825695591642</v>
      </c>
      <c r="H23" s="3075"/>
      <c r="I23" s="3125">
        <v>0.82379855932203638</v>
      </c>
      <c r="J23" s="699">
        <v>38.733883565755434</v>
      </c>
      <c r="K23" s="3027"/>
      <c r="L23" s="3133" t="s">
        <v>199</v>
      </c>
    </row>
    <row r="24" spans="2:12" ht="18" customHeight="1" x14ac:dyDescent="0.2">
      <c r="B24" s="1251" t="s">
        <v>538</v>
      </c>
      <c r="C24" s="2190" t="s">
        <v>537</v>
      </c>
      <c r="D24" s="2190" t="s">
        <v>525</v>
      </c>
      <c r="E24" s="699">
        <v>9221.9523614233749</v>
      </c>
      <c r="F24" s="1938">
        <f t="shared" ref="F24:F26" si="0">I24*1000000/$E24</f>
        <v>1195.4432672225566</v>
      </c>
      <c r="G24" s="1938">
        <f t="shared" ref="G24:G26" si="1">J24*1000000/$E24</f>
        <v>6480.0723601014515</v>
      </c>
      <c r="H24" s="1885"/>
      <c r="I24" s="699">
        <v>11.024320861110731</v>
      </c>
      <c r="J24" s="699">
        <v>59.758918603431923</v>
      </c>
      <c r="K24" s="1939"/>
      <c r="L24" s="3072">
        <f>IF(Table1.C!E21="NO","NO",-Table1.C!E21)</f>
        <v>-2720.328</v>
      </c>
    </row>
    <row r="25" spans="2:12" ht="18" customHeight="1" x14ac:dyDescent="0.2">
      <c r="B25" s="1251" t="s">
        <v>539</v>
      </c>
      <c r="C25" s="2190" t="s">
        <v>540</v>
      </c>
      <c r="D25" s="2190" t="s">
        <v>541</v>
      </c>
      <c r="E25" s="699">
        <v>31979.717999999997</v>
      </c>
      <c r="F25" s="1938">
        <f t="shared" si="0"/>
        <v>20.000000000000004</v>
      </c>
      <c r="G25" s="1938">
        <f t="shared" si="1"/>
        <v>1199.2207159014258</v>
      </c>
      <c r="H25" s="3075"/>
      <c r="I25" s="3125">
        <v>0.63959436000000014</v>
      </c>
      <c r="J25" s="699">
        <v>38.350740314285709</v>
      </c>
      <c r="K25" s="3027"/>
      <c r="L25" s="3072" t="s">
        <v>199</v>
      </c>
    </row>
    <row r="26" spans="2:12" ht="18" customHeight="1" x14ac:dyDescent="0.2">
      <c r="B26" s="1251" t="s">
        <v>542</v>
      </c>
      <c r="C26" s="2190" t="s">
        <v>543</v>
      </c>
      <c r="D26" s="2190" t="s">
        <v>525</v>
      </c>
      <c r="E26" s="699">
        <v>354.10677066666665</v>
      </c>
      <c r="F26" s="1938">
        <f t="shared" si="0"/>
        <v>27291.885982933771</v>
      </c>
      <c r="G26" s="1938">
        <f t="shared" si="1"/>
        <v>124833.37152906334</v>
      </c>
      <c r="H26" s="3075"/>
      <c r="I26" s="3125">
        <v>9.664241610819543</v>
      </c>
      <c r="J26" s="699">
        <v>44.204342063588825</v>
      </c>
      <c r="K26" s="3027"/>
      <c r="L26" s="3072" t="s">
        <v>199</v>
      </c>
    </row>
    <row r="27" spans="2:12" ht="18" customHeight="1" x14ac:dyDescent="0.2">
      <c r="B27" s="2436" t="s">
        <v>544</v>
      </c>
      <c r="C27" s="607"/>
      <c r="D27" s="607"/>
      <c r="E27" s="615"/>
      <c r="F27" s="615"/>
      <c r="G27" s="615"/>
      <c r="H27" s="3126"/>
      <c r="I27" s="1938">
        <f>IF(SUM(I29:I30)=0,"NO",SUM(I29:I30))</f>
        <v>0.56444149405473487</v>
      </c>
      <c r="J27" s="1938">
        <f>IF(SUM(J29:J30)=0,"NO",SUM(J29:J30))</f>
        <v>14.982638499068829</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0.56444149405473487</v>
      </c>
      <c r="J29" s="3128">
        <v>14.592002932368828</v>
      </c>
      <c r="K29" s="3110"/>
      <c r="L29" s="3080" t="s">
        <v>199</v>
      </c>
    </row>
    <row r="30" spans="2:12" ht="18" customHeight="1" thickBot="1" x14ac:dyDescent="0.25">
      <c r="B30" s="2437" t="s">
        <v>547</v>
      </c>
      <c r="C30" s="2190" t="s">
        <v>533</v>
      </c>
      <c r="D30" s="2190" t="s">
        <v>522</v>
      </c>
      <c r="E30" s="699">
        <v>20708</v>
      </c>
      <c r="F30" s="1938" t="s">
        <v>205</v>
      </c>
      <c r="G30" s="1938">
        <f t="shared" ref="G30" si="2">J30*1000000/$E30</f>
        <v>18.863992983388062</v>
      </c>
      <c r="H30" s="3126"/>
      <c r="I30" s="3128" t="s">
        <v>205</v>
      </c>
      <c r="J30" s="3128">
        <v>0.39063556670000005</v>
      </c>
      <c r="K30" s="3110"/>
      <c r="L30" s="3080" t="s">
        <v>199</v>
      </c>
    </row>
    <row r="31" spans="2:12" ht="18" customHeight="1" x14ac:dyDescent="0.2">
      <c r="B31" s="1254" t="s">
        <v>548</v>
      </c>
      <c r="C31" s="2192"/>
      <c r="D31" s="2192"/>
      <c r="E31" s="3183"/>
      <c r="F31" s="3183"/>
      <c r="G31" s="3183"/>
      <c r="H31" s="3183"/>
      <c r="I31" s="4437">
        <f>IF(SUM(I32,I36)=0,"NO",SUM(I32,I36))</f>
        <v>13183.834207155865</v>
      </c>
      <c r="J31" s="3046">
        <f>IF(SUM(J32,J36)=0,"NO",SUM(J32,J36))</f>
        <v>66.811903658280642</v>
      </c>
      <c r="K31" s="3046">
        <f>IF(SUM(K32,K36)=0,"NO",SUM(K32,K36))</f>
        <v>0.17193002465247198</v>
      </c>
      <c r="L31" s="3047" t="str">
        <f>IF(SUM(L32,L36)=0,"NO",SUM(L32,L36))</f>
        <v>NO</v>
      </c>
    </row>
    <row r="32" spans="2:12" ht="18" customHeight="1" x14ac:dyDescent="0.2">
      <c r="B32" s="1467" t="s">
        <v>549</v>
      </c>
      <c r="C32" s="2195"/>
      <c r="D32" s="2195"/>
      <c r="E32" s="3007"/>
      <c r="F32" s="3007"/>
      <c r="G32" s="3007"/>
      <c r="H32" s="3007"/>
      <c r="I32" s="3134">
        <f>IF(SUM(I33:I35)=0,"NO",SUM(I33:I35))</f>
        <v>8287.6343373419895</v>
      </c>
      <c r="J32" s="1938">
        <f>IF(SUM(J33:J35)=0,"NO",SUM(J33:J35))</f>
        <v>54.166698337387324</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9940.3563614233753</v>
      </c>
      <c r="F35" s="1938">
        <f t="shared" ref="F35" si="3">SUM(I35,L35)*1000000/$E35</f>
        <v>833736.13943104853</v>
      </c>
      <c r="G35" s="1938">
        <f t="shared" ref="G35" si="4">J35*1000000/$E35</f>
        <v>5449.1706703391374</v>
      </c>
      <c r="H35" s="1938">
        <f t="shared" ref="H35" si="5">K35*1000000/$E35</f>
        <v>0</v>
      </c>
      <c r="I35" s="699">
        <v>8287.6343373419895</v>
      </c>
      <c r="J35" s="699">
        <v>54.166698337387324</v>
      </c>
      <c r="K35" s="3110"/>
      <c r="L35" s="3072" t="s">
        <v>199</v>
      </c>
    </row>
    <row r="36" spans="2:12" ht="18" customHeight="1" x14ac:dyDescent="0.2">
      <c r="B36" s="1467" t="s">
        <v>554</v>
      </c>
      <c r="C36" s="2195"/>
      <c r="D36" s="2195"/>
      <c r="E36" s="3007"/>
      <c r="F36" s="3007"/>
      <c r="G36" s="3007"/>
      <c r="H36" s="3007"/>
      <c r="I36" s="3134">
        <f>IF(SUM(I37:I39)=0,"NO",SUM(I37:I39))</f>
        <v>4896.199869813875</v>
      </c>
      <c r="J36" s="3134">
        <f>IF(SUM(J37:J39)=0,"NO",SUM(J37:J39))</f>
        <v>12.645205320893321</v>
      </c>
      <c r="K36" s="1938">
        <f>IF(SUM(K37:K39)=0,"NO",SUM(K37:K39))</f>
        <v>0.17193002465247198</v>
      </c>
      <c r="L36" s="3044" t="str">
        <f>IF(SUM(L37:L39)=0,"NO",SUM(L37:L39))</f>
        <v>NO</v>
      </c>
    </row>
    <row r="37" spans="2:12" ht="18" customHeight="1" x14ac:dyDescent="0.2">
      <c r="B37" s="1469" t="s">
        <v>555</v>
      </c>
      <c r="C37" s="277" t="s">
        <v>556</v>
      </c>
      <c r="D37" s="277" t="s">
        <v>525</v>
      </c>
      <c r="E37" s="699">
        <v>10.352764798193714</v>
      </c>
      <c r="F37" s="1938">
        <f t="shared" ref="F37:F38" si="6">SUM(I37,L37)*1000000/$E37</f>
        <v>37969866.440371983</v>
      </c>
      <c r="G37" s="1938">
        <f t="shared" ref="G37:H38" si="7">J37*1000000/$E37</f>
        <v>456707.68437866418</v>
      </c>
      <c r="H37" s="1938">
        <f t="shared" si="7"/>
        <v>1065.9747813033921</v>
      </c>
      <c r="I37" s="700">
        <v>393.09309667599996</v>
      </c>
      <c r="J37" s="700">
        <v>4.7281872379000003</v>
      </c>
      <c r="K37" s="700">
        <v>1.103578619164E-2</v>
      </c>
      <c r="L37" s="3133" t="s">
        <v>199</v>
      </c>
    </row>
    <row r="38" spans="2:12" ht="18" customHeight="1" x14ac:dyDescent="0.2">
      <c r="B38" s="1469" t="s">
        <v>557</v>
      </c>
      <c r="C38" s="277" t="s">
        <v>556</v>
      </c>
      <c r="D38" s="277" t="s">
        <v>525</v>
      </c>
      <c r="E38" s="699">
        <v>96.971612759561793</v>
      </c>
      <c r="F38" s="1938">
        <f t="shared" si="6"/>
        <v>46437371.154207714</v>
      </c>
      <c r="G38" s="1938">
        <f t="shared" si="7"/>
        <v>81642.636001355684</v>
      </c>
      <c r="H38" s="1938">
        <f t="shared" si="7"/>
        <v>1659.189054221099</v>
      </c>
      <c r="I38" s="699">
        <v>4503.1067731378753</v>
      </c>
      <c r="J38" s="699">
        <v>7.9170180829933221</v>
      </c>
      <c r="K38" s="699">
        <v>0.16089423846083198</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3" t="s">
        <v>562</v>
      </c>
      <c r="C66" s="4504"/>
      <c r="D66" s="4504"/>
      <c r="E66" s="4504"/>
      <c r="F66" s="4504"/>
      <c r="G66" s="4504"/>
      <c r="H66" s="4504"/>
      <c r="I66" s="4504"/>
      <c r="J66" s="4504"/>
      <c r="K66" s="4504"/>
      <c r="L66" s="4505"/>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workbookViewId="0">
      <selection activeCell="F15" sqref="F15"/>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f>IF(E21=0,"NO",E21)</f>
        <v>2720.328</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f>E16</f>
        <v>2.2450000000000001</v>
      </c>
      <c r="J15" s="125"/>
    </row>
    <row r="16" spans="1:10" ht="18" customHeight="1" x14ac:dyDescent="0.2">
      <c r="B16" s="1238" t="s">
        <v>573</v>
      </c>
      <c r="C16" s="3026">
        <f>IF(E21=0,"NO",E21)</f>
        <v>2720.328</v>
      </c>
      <c r="D16" s="1938">
        <f>IF(E16=0,"NA",E16*1000000/C16)</f>
        <v>825.26812943145092</v>
      </c>
      <c r="E16" s="3040">
        <v>2.2450000000000001</v>
      </c>
    </row>
    <row r="17" spans="2:5" ht="18" customHeight="1" x14ac:dyDescent="0.2">
      <c r="B17" s="1238" t="s">
        <v>574</v>
      </c>
      <c r="C17" s="3138">
        <f>IF(SUM(E21)=0,"NO",E21-E16)</f>
        <v>2718.0830000000001</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v>2720.328</v>
      </c>
    </row>
    <row r="22" spans="2:5" ht="18" customHeight="1" x14ac:dyDescent="0.2">
      <c r="B22" s="1256" t="s">
        <v>578</v>
      </c>
      <c r="C22" s="4201"/>
      <c r="D22" s="4202"/>
      <c r="E22" s="3040" t="s">
        <v>199</v>
      </c>
    </row>
    <row r="23" spans="2:5" ht="18" customHeight="1" x14ac:dyDescent="0.2">
      <c r="B23" s="2185"/>
      <c r="C23" s="3143"/>
      <c r="D23" s="3144" t="s">
        <v>579</v>
      </c>
      <c r="E23" s="3064">
        <f>IF(SUM(E21:E22)=0,"NO",SUM(E21:E22))</f>
        <v>2720.328</v>
      </c>
    </row>
    <row r="24" spans="2:5" ht="18" customHeight="1" x14ac:dyDescent="0.2">
      <c r="B24" s="1256" t="s">
        <v>580</v>
      </c>
      <c r="C24" s="4201"/>
      <c r="D24" s="4202"/>
      <c r="E24" s="3040" t="s">
        <v>199</v>
      </c>
    </row>
    <row r="25" spans="2:5" ht="18" customHeight="1" x14ac:dyDescent="0.2">
      <c r="B25" s="1256" t="s">
        <v>581</v>
      </c>
      <c r="C25" s="4201"/>
      <c r="D25" s="4202"/>
      <c r="E25" s="3040">
        <f>E21-E27</f>
        <v>2718.0830000000001</v>
      </c>
    </row>
    <row r="26" spans="2:5" ht="18" customHeight="1" x14ac:dyDescent="0.2">
      <c r="B26" s="1256" t="s">
        <v>582</v>
      </c>
      <c r="C26" s="4201"/>
      <c r="D26" s="4202"/>
      <c r="E26" s="3040" t="s">
        <v>199</v>
      </c>
    </row>
    <row r="27" spans="2:5" ht="18" customHeight="1" x14ac:dyDescent="0.2">
      <c r="B27" s="1049" t="s">
        <v>583</v>
      </c>
      <c r="C27" s="4201"/>
      <c r="D27" s="4202"/>
      <c r="E27" s="3040">
        <f>E16</f>
        <v>2.2450000000000001</v>
      </c>
    </row>
    <row r="28" spans="2:5" ht="18" customHeight="1" x14ac:dyDescent="0.2">
      <c r="B28" s="2186"/>
      <c r="C28" s="3145"/>
      <c r="D28" s="3146" t="s">
        <v>584</v>
      </c>
      <c r="E28" s="3064">
        <f>SUM(E24:E27)</f>
        <v>2720.328</v>
      </c>
    </row>
    <row r="29" spans="2:5" ht="18" customHeight="1" thickBot="1" x14ac:dyDescent="0.25">
      <c r="B29" s="2187"/>
      <c r="C29" s="3147"/>
      <c r="D29" s="3148" t="s">
        <v>585</v>
      </c>
      <c r="E29" s="1172">
        <f>IF(E23="NO","NA",E23-E28)</f>
        <v>0</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53.305753421897229</v>
      </c>
      <c r="M9" s="3323">
        <f>100*C10/SUM(C10,'Table1.A(a)s3'!C16)</f>
        <v>46.694246578102771</v>
      </c>
    </row>
    <row r="10" spans="1:13" ht="18" customHeight="1" thickTop="1" thickBot="1" x14ac:dyDescent="0.25">
      <c r="B10" s="223" t="s">
        <v>603</v>
      </c>
      <c r="C10" s="3303">
        <f>IF(SUM(C11:C13)=0,"NO",SUM(C11:C13))</f>
        <v>55180.422399999996</v>
      </c>
      <c r="D10" s="3304"/>
      <c r="E10" s="3305"/>
      <c r="F10" s="3305"/>
      <c r="G10" s="3303">
        <f>IF(SUM(G11:G13)=0,"NO",SUM(G11:G13))</f>
        <v>3840.5573990400003</v>
      </c>
      <c r="H10" s="3303">
        <f>IF(SUM(H11:H13)=0,"NO",SUM(H11:H13))</f>
        <v>8.2845657142857146E-3</v>
      </c>
      <c r="I10" s="1154">
        <f>IF(SUM(I11:I13)=0,"NO",SUM(I11:I13))</f>
        <v>1.8097156496916712E-2</v>
      </c>
      <c r="J10" s="4"/>
      <c r="K10" s="68" t="s">
        <v>604</v>
      </c>
      <c r="L10" s="3324">
        <f>100-M10</f>
        <v>62.002838267153059</v>
      </c>
      <c r="M10" s="3325">
        <f>100*C14/SUM(C14,'Table1.A(a)s3'!C88)</f>
        <v>37.997161732846941</v>
      </c>
    </row>
    <row r="11" spans="1:13" ht="18" customHeight="1" x14ac:dyDescent="0.2">
      <c r="B11" s="1257" t="s">
        <v>293</v>
      </c>
      <c r="C11" s="3306">
        <v>55180.422399999996</v>
      </c>
      <c r="D11" s="116">
        <f>IF(G11="NO","NA",G11*1000/$C11)</f>
        <v>69.600000000000009</v>
      </c>
      <c r="E11" s="116">
        <f t="shared" ref="E11:F13" si="0">IF(H11="NO","NA",H11*1000000/$C11)</f>
        <v>0.15013596043595553</v>
      </c>
      <c r="F11" s="116">
        <f t="shared" si="0"/>
        <v>0.32796335565776158</v>
      </c>
      <c r="G11" s="3041">
        <v>3840.5573990400003</v>
      </c>
      <c r="H11" s="3041">
        <v>8.2845657142857146E-3</v>
      </c>
      <c r="I11" s="3042">
        <v>1.8097156496916712E-2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17184.750599999999</v>
      </c>
      <c r="D14" s="3313"/>
      <c r="E14" s="3314"/>
      <c r="F14" s="3315"/>
      <c r="G14" s="3387">
        <f>IF(SUM(G15:G18,G20:G22)=0,"NO",SUM(G15:G18,G20:G22))</f>
        <v>1257.7147719</v>
      </c>
      <c r="H14" s="3387">
        <f>IF(SUM(H15:H18,H20:H22)=0,"NO",SUM(H15:H18,H20:H22))</f>
        <v>0.1202932542</v>
      </c>
      <c r="I14" s="4428">
        <f>IF(SUM(I15:I18,I20:I22)=0,"NO",SUM(I15:I18,I20:I22))</f>
        <v>3.4369501199999999E-2</v>
      </c>
      <c r="J14" s="4"/>
      <c r="K14" s="1045"/>
      <c r="L14" s="1045"/>
      <c r="M14" s="1045"/>
    </row>
    <row r="15" spans="1:13" ht="18" customHeight="1" x14ac:dyDescent="0.2">
      <c r="B15" s="1259" t="s">
        <v>306</v>
      </c>
      <c r="C15" s="143">
        <v>15270.460800000001</v>
      </c>
      <c r="D15" s="116">
        <f>IF(G15="NO","NA",G15*1000/$C15)</f>
        <v>73.599999999999994</v>
      </c>
      <c r="E15" s="116">
        <f t="shared" ref="E15:F17" si="1">IF(H15="NO","NA",H15*1000000/$C15)</f>
        <v>7</v>
      </c>
      <c r="F15" s="116">
        <f t="shared" si="1"/>
        <v>2</v>
      </c>
      <c r="G15" s="3043">
        <v>1123.90591488</v>
      </c>
      <c r="H15" s="3043">
        <v>0.1068932256</v>
      </c>
      <c r="I15" s="135">
        <v>3.05409216E-2</v>
      </c>
      <c r="J15" s="4"/>
      <c r="K15" s="1045"/>
      <c r="L15" s="1045"/>
      <c r="M15" s="1045"/>
    </row>
    <row r="16" spans="1:13" ht="18" customHeight="1" x14ac:dyDescent="0.2">
      <c r="B16" s="1259" t="s">
        <v>307</v>
      </c>
      <c r="C16" s="3316">
        <v>1914.2898</v>
      </c>
      <c r="D16" s="116">
        <f>IF(G16="NO","NA",G16*1000/$C16)</f>
        <v>69.900000000000006</v>
      </c>
      <c r="E16" s="116">
        <f t="shared" si="1"/>
        <v>7.0000000000000009</v>
      </c>
      <c r="F16" s="116">
        <f t="shared" si="1"/>
        <v>2</v>
      </c>
      <c r="G16" s="3043">
        <v>133.80885702000003</v>
      </c>
      <c r="H16" s="3043">
        <v>1.3400028600000001E-2</v>
      </c>
      <c r="I16" s="135">
        <v>3.8285796000000001E-3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7" t="s">
        <v>609</v>
      </c>
      <c r="C43" s="4498"/>
      <c r="D43" s="4498"/>
      <c r="E43" s="4498"/>
      <c r="F43" s="4498"/>
      <c r="G43" s="4498"/>
      <c r="H43" s="4498"/>
      <c r="I43" s="4499"/>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0" activePane="bottomRight" state="frozen"/>
      <selection pane="topRight" activeCell="C1" sqref="C1"/>
      <selection pane="bottomLeft" activeCell="A10" sqref="A10"/>
      <selection pane="bottomRight" activeCell="E52" sqref="E52"/>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19404.684886846499</v>
      </c>
      <c r="D10" s="2923">
        <f t="shared" ref="D10:N10" si="0">IF(SUM(D11,D16,D27,D35,D39,D45,D52,D57)=0,"NO",SUM(D11,D16,D27,D35,D39,D45,D52,D57))</f>
        <v>2.9333302277832134</v>
      </c>
      <c r="E10" s="2923">
        <f t="shared" si="0"/>
        <v>5.5593193492675885</v>
      </c>
      <c r="F10" s="2923">
        <f t="shared" si="0"/>
        <v>11437.453695274007</v>
      </c>
      <c r="G10" s="2923">
        <f t="shared" si="0"/>
        <v>291.483</v>
      </c>
      <c r="H10" s="2923" t="str">
        <f t="shared" si="0"/>
        <v>NO</v>
      </c>
      <c r="I10" s="2923">
        <f t="shared" si="0"/>
        <v>8.2014234343733942E-3</v>
      </c>
      <c r="J10" s="2923" t="str">
        <f t="shared" si="0"/>
        <v>NO</v>
      </c>
      <c r="K10" s="2923">
        <f t="shared" si="0"/>
        <v>7.0815582702461786</v>
      </c>
      <c r="L10" s="2924">
        <f t="shared" si="0"/>
        <v>16.841987951577483</v>
      </c>
      <c r="M10" s="2925">
        <f t="shared" si="0"/>
        <v>250.1909219878026</v>
      </c>
      <c r="N10" s="2926">
        <f t="shared" si="0"/>
        <v>1632.3980128466217</v>
      </c>
      <c r="O10" s="3002">
        <f t="shared" ref="O10:O58" si="1">IF(SUM(C10:J10)=0,"NO",SUM(C10,F10:H10)+28*SUM(D10)+265*SUM(E10)+23500*SUM(I10)+16100*SUM(J10))</f>
        <v>32881.707906762116</v>
      </c>
    </row>
    <row r="11" spans="1:15" ht="18" customHeight="1" x14ac:dyDescent="0.2">
      <c r="B11" s="1262" t="s">
        <v>621</v>
      </c>
      <c r="C11" s="2163">
        <f>IF(SUM(C12:C15)=0,"NO",SUM(C12:C15))</f>
        <v>5613.9712902377578</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5613.9712902377578</v>
      </c>
    </row>
    <row r="12" spans="1:15" ht="18" customHeight="1" x14ac:dyDescent="0.2">
      <c r="B12" s="1263" t="s">
        <v>622</v>
      </c>
      <c r="C12" s="2930">
        <f>'Table2(I).A-H'!H11</f>
        <v>2900.4712872046402</v>
      </c>
      <c r="D12" s="2162"/>
      <c r="E12" s="2162"/>
      <c r="F12" s="615"/>
      <c r="G12" s="615"/>
      <c r="H12" s="2161"/>
      <c r="I12" s="615"/>
      <c r="J12" s="2161"/>
      <c r="K12" s="2161"/>
      <c r="L12" s="2161"/>
      <c r="M12" s="2161"/>
      <c r="N12" s="2929" t="s">
        <v>199</v>
      </c>
      <c r="O12" s="2943">
        <f t="shared" si="1"/>
        <v>2900.4712872046402</v>
      </c>
    </row>
    <row r="13" spans="1:15" ht="18" customHeight="1" x14ac:dyDescent="0.2">
      <c r="B13" s="1263" t="s">
        <v>623</v>
      </c>
      <c r="C13" s="1884">
        <f>'Table2(I).A-H'!H12</f>
        <v>1086.0183766642467</v>
      </c>
      <c r="D13" s="2135"/>
      <c r="E13" s="2135"/>
      <c r="F13" s="615"/>
      <c r="G13" s="615"/>
      <c r="H13" s="2161"/>
      <c r="I13" s="615"/>
      <c r="J13" s="2161"/>
      <c r="K13" s="615"/>
      <c r="L13" s="615"/>
      <c r="M13" s="615"/>
      <c r="N13" s="1842"/>
      <c r="O13" s="1887">
        <f t="shared" si="1"/>
        <v>1086.0183766642467</v>
      </c>
    </row>
    <row r="14" spans="1:15" ht="18" customHeight="1" x14ac:dyDescent="0.2">
      <c r="B14" s="1263" t="s">
        <v>624</v>
      </c>
      <c r="C14" s="1884">
        <f>'Table2(I).A-H'!H13</f>
        <v>77.057178602056396</v>
      </c>
      <c r="D14" s="2135"/>
      <c r="E14" s="2135"/>
      <c r="F14" s="615"/>
      <c r="G14" s="615"/>
      <c r="H14" s="2161"/>
      <c r="I14" s="615"/>
      <c r="J14" s="2161"/>
      <c r="K14" s="615"/>
      <c r="L14" s="615"/>
      <c r="M14" s="615"/>
      <c r="N14" s="1842"/>
      <c r="O14" s="1887">
        <f t="shared" si="1"/>
        <v>77.057178602056396</v>
      </c>
    </row>
    <row r="15" spans="1:15" ht="18" customHeight="1" thickBot="1" x14ac:dyDescent="0.25">
      <c r="B15" s="1263" t="s">
        <v>625</v>
      </c>
      <c r="C15" s="1884">
        <f>'Table2(I).A-H'!H14</f>
        <v>1550.424447766814</v>
      </c>
      <c r="D15" s="1885"/>
      <c r="E15" s="1885"/>
      <c r="F15" s="3003"/>
      <c r="G15" s="3003"/>
      <c r="H15" s="3003"/>
      <c r="I15" s="3003"/>
      <c r="J15" s="3003"/>
      <c r="K15" s="2622" t="s">
        <v>199</v>
      </c>
      <c r="L15" s="2622" t="s">
        <v>199</v>
      </c>
      <c r="M15" s="2622" t="s">
        <v>199</v>
      </c>
      <c r="N15" s="2623" t="s">
        <v>199</v>
      </c>
      <c r="O15" s="1887">
        <f t="shared" si="1"/>
        <v>1550.424447766814</v>
      </c>
    </row>
    <row r="16" spans="1:15" ht="18" customHeight="1" x14ac:dyDescent="0.2">
      <c r="B16" s="1264" t="s">
        <v>626</v>
      </c>
      <c r="C16" s="2163">
        <f>IF(SUM(C17:C26)=0,"NO",SUM(C17:C26))</f>
        <v>3104.4552540351287</v>
      </c>
      <c r="D16" s="2163">
        <f t="shared" ref="D16:N16" si="3">IF(SUM(D17:D26)=0,"NO",SUM(D17:D26))</f>
        <v>0.43359999999999999</v>
      </c>
      <c r="E16" s="2163">
        <f t="shared" si="3"/>
        <v>5.5046915439456097</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4575.3393131807152</v>
      </c>
    </row>
    <row r="17" spans="2:15" ht="18" customHeight="1" x14ac:dyDescent="0.2">
      <c r="B17" s="1265" t="s">
        <v>627</v>
      </c>
      <c r="C17" s="2930">
        <f>'Table2(I).A-H'!H23</f>
        <v>2380.8225011855807</v>
      </c>
      <c r="D17" s="2165" t="str">
        <f>'Table2(I).A-H'!I23</f>
        <v>NO</v>
      </c>
      <c r="E17" s="2165" t="str">
        <f>'Table2(I).A-H'!J23</f>
        <v>NO</v>
      </c>
      <c r="F17" s="2161"/>
      <c r="G17" s="2161"/>
      <c r="H17" s="2161"/>
      <c r="I17" s="2161"/>
      <c r="J17" s="2161"/>
      <c r="K17" s="700" t="s">
        <v>199</v>
      </c>
      <c r="L17" s="700" t="s">
        <v>199</v>
      </c>
      <c r="M17" s="700" t="s">
        <v>199</v>
      </c>
      <c r="N17" s="700" t="s">
        <v>199</v>
      </c>
      <c r="O17" s="2943">
        <f t="shared" si="1"/>
        <v>2380.8225011855807</v>
      </c>
    </row>
    <row r="18" spans="2:15" ht="18" customHeight="1" x14ac:dyDescent="0.2">
      <c r="B18" s="1263" t="s">
        <v>628</v>
      </c>
      <c r="C18" s="1935"/>
      <c r="D18" s="2162"/>
      <c r="E18" s="2165">
        <f>'Table2(I).A-H'!J24</f>
        <v>5.5046915439456097</v>
      </c>
      <c r="F18" s="615"/>
      <c r="G18" s="615"/>
      <c r="H18" s="2161"/>
      <c r="I18" s="615"/>
      <c r="J18" s="2161"/>
      <c r="K18" s="700" t="s">
        <v>199</v>
      </c>
      <c r="L18" s="615"/>
      <c r="M18" s="615"/>
      <c r="N18" s="1842"/>
      <c r="O18" s="2943">
        <f t="shared" si="1"/>
        <v>1458.7432591455865</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704.30671417274993</v>
      </c>
      <c r="D22" s="1939"/>
      <c r="E22" s="615"/>
      <c r="F22" s="615"/>
      <c r="G22" s="615"/>
      <c r="H22" s="2161"/>
      <c r="I22" s="615"/>
      <c r="J22" s="2161"/>
      <c r="K22" s="1939"/>
      <c r="L22" s="1939"/>
      <c r="M22" s="1939"/>
      <c r="N22" s="2931"/>
      <c r="O22" s="1887">
        <f t="shared" si="1"/>
        <v>704.30671417274993</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0.43359999999999999</v>
      </c>
      <c r="E24" s="615"/>
      <c r="F24" s="615"/>
      <c r="G24" s="615"/>
      <c r="H24" s="2161"/>
      <c r="I24" s="615"/>
      <c r="J24" s="2161"/>
      <c r="K24" s="700" t="s">
        <v>199</v>
      </c>
      <c r="L24" s="700" t="s">
        <v>199</v>
      </c>
      <c r="M24" s="699">
        <v>2.8425606806999988</v>
      </c>
      <c r="N24" s="700" t="s">
        <v>199</v>
      </c>
      <c r="O24" s="1887">
        <f t="shared" si="1"/>
        <v>12.140799999999999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19.326038676798056</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19.326038676798056</v>
      </c>
    </row>
    <row r="27" spans="2:15" ht="18" customHeight="1" x14ac:dyDescent="0.2">
      <c r="B27" s="1262" t="s">
        <v>637</v>
      </c>
      <c r="C27" s="2163">
        <f>IF(SUM(C28:C34)=0,"NO",SUM(C28:C34))</f>
        <v>10297.766614924123</v>
      </c>
      <c r="D27" s="2163">
        <f t="shared" ref="D27:N27" si="4">IF(SUM(D28:D34)=0,"NO",SUM(D28:D34))</f>
        <v>2.4997302277832136</v>
      </c>
      <c r="E27" s="2163">
        <f t="shared" si="4"/>
        <v>5.4627805321978577E-2</v>
      </c>
      <c r="F27" s="2164" t="str">
        <f t="shared" si="4"/>
        <v>NO</v>
      </c>
      <c r="G27" s="2164">
        <f t="shared" si="4"/>
        <v>291.483</v>
      </c>
      <c r="H27" s="2164" t="str">
        <f t="shared" si="4"/>
        <v>NO</v>
      </c>
      <c r="I27" s="2164" t="str">
        <f t="shared" si="4"/>
        <v>NO</v>
      </c>
      <c r="J27" s="2164" t="str">
        <f t="shared" si="4"/>
        <v>NO</v>
      </c>
      <c r="K27" s="2163">
        <f t="shared" si="4"/>
        <v>7.0815582702461786</v>
      </c>
      <c r="L27" s="2163">
        <f t="shared" si="4"/>
        <v>16.841987951577483</v>
      </c>
      <c r="M27" s="2927">
        <f t="shared" si="4"/>
        <v>6.6532775187460702E-2</v>
      </c>
      <c r="N27" s="2928">
        <f t="shared" si="4"/>
        <v>1632.3980128466217</v>
      </c>
      <c r="O27" s="2950">
        <f t="shared" si="1"/>
        <v>10673.718429712377</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2288.1381042708417</v>
      </c>
      <c r="D30" s="1885"/>
      <c r="E30" s="615"/>
      <c r="F30" s="615"/>
      <c r="G30" s="2166">
        <f>SUM('Table2(II)'!X41:Y41)</f>
        <v>291.483</v>
      </c>
      <c r="H30" s="2162"/>
      <c r="I30" s="2168" t="s">
        <v>199</v>
      </c>
      <c r="J30" s="2161"/>
      <c r="K30" s="699" t="s">
        <v>205</v>
      </c>
      <c r="L30" s="699" t="s">
        <v>205</v>
      </c>
      <c r="M30" s="699" t="s">
        <v>205</v>
      </c>
      <c r="N30" s="2921">
        <v>40.290680633999997</v>
      </c>
      <c r="O30" s="1887">
        <f t="shared" si="1"/>
        <v>2579.6211042708419</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8009.6285106532814</v>
      </c>
      <c r="D34" s="1888">
        <f>'Table2(I).A-H'!I67</f>
        <v>2.4997302277832136</v>
      </c>
      <c r="E34" s="1888">
        <f>'Table2(I).A-H'!J67</f>
        <v>5.4627805321978577E-2</v>
      </c>
      <c r="F34" s="2172" t="s">
        <v>199</v>
      </c>
      <c r="G34" s="2172" t="s">
        <v>199</v>
      </c>
      <c r="H34" s="2172" t="s">
        <v>199</v>
      </c>
      <c r="I34" s="2172" t="s">
        <v>199</v>
      </c>
      <c r="J34" s="2172" t="s">
        <v>199</v>
      </c>
      <c r="K34" s="2622">
        <v>7.0815582702461786</v>
      </c>
      <c r="L34" s="2622">
        <v>16.841987951577483</v>
      </c>
      <c r="M34" s="2622">
        <v>6.6532775187460702E-2</v>
      </c>
      <c r="N34" s="2623">
        <v>1592.1073322126217</v>
      </c>
      <c r="O34" s="1890">
        <f t="shared" si="1"/>
        <v>8094.0973254415358</v>
      </c>
    </row>
    <row r="35" spans="2:15" ht="18" customHeight="1" x14ac:dyDescent="0.2">
      <c r="B35" s="2489" t="s">
        <v>645</v>
      </c>
      <c r="C35" s="2930">
        <f>IF(SUM(C36:C38)=0,"NO",SUM(C36:C38))</f>
        <v>162.71317983</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195.28755553921931</v>
      </c>
      <c r="N35" s="2077" t="str">
        <f t="shared" ref="N35" si="7">IF(SUM(N36:N38)=0,"NO",SUM(N36:N38))</f>
        <v>NO</v>
      </c>
      <c r="O35" s="2943">
        <f t="shared" si="1"/>
        <v>162.71317983</v>
      </c>
    </row>
    <row r="36" spans="2:15" ht="18" customHeight="1" x14ac:dyDescent="0.2">
      <c r="B36" s="1269" t="s">
        <v>646</v>
      </c>
      <c r="C36" s="1884">
        <f>'Table2(I).A-H'!H73</f>
        <v>162.71317983</v>
      </c>
      <c r="D36" s="2166" t="str">
        <f>'Table2(I).A-H'!I73</f>
        <v>NO</v>
      </c>
      <c r="E36" s="2166" t="str">
        <f>'Table2(I).A-H'!J73</f>
        <v>NO</v>
      </c>
      <c r="F36" s="615"/>
      <c r="G36" s="615"/>
      <c r="H36" s="2161"/>
      <c r="I36" s="615"/>
      <c r="J36" s="2161"/>
      <c r="K36" s="2173" t="s">
        <v>205</v>
      </c>
      <c r="L36" s="2173" t="s">
        <v>205</v>
      </c>
      <c r="M36" s="699" t="s">
        <v>205</v>
      </c>
      <c r="N36" s="2167" t="s">
        <v>205</v>
      </c>
      <c r="O36" s="1887">
        <f t="shared" si="1"/>
        <v>162.71317983</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195.28755553921931</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11437.453695274007</v>
      </c>
      <c r="G45" s="2163" t="str">
        <f t="shared" ref="G45:J45" si="9">IF(SUM(G46:G51)=0,"NO",SUM(G46:G51))</f>
        <v>NO</v>
      </c>
      <c r="H45" s="2930" t="str">
        <f t="shared" si="9"/>
        <v>NO</v>
      </c>
      <c r="I45" s="2930" t="str">
        <f t="shared" si="9"/>
        <v>NO</v>
      </c>
      <c r="J45" s="2165" t="str">
        <f t="shared" si="9"/>
        <v>NO</v>
      </c>
      <c r="K45" s="1955"/>
      <c r="L45" s="1955"/>
      <c r="M45" s="1955"/>
      <c r="N45" s="2178"/>
      <c r="O45" s="2950">
        <f t="shared" si="1"/>
        <v>11437.453695274007</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10850.571926907411</v>
      </c>
      <c r="G46" s="1884" t="s">
        <v>199</v>
      </c>
      <c r="H46" s="1884" t="s">
        <v>199</v>
      </c>
      <c r="I46" s="1884" t="s">
        <v>199</v>
      </c>
      <c r="J46" s="2165" t="str">
        <f t="shared" ref="J46" si="10">IF(SUM(J47:J52)=0,"NO",SUM(J47:J52))</f>
        <v>NO</v>
      </c>
      <c r="K46" s="615"/>
      <c r="L46" s="615"/>
      <c r="M46" s="615"/>
      <c r="N46" s="1842"/>
      <c r="O46" s="1887">
        <f t="shared" si="1"/>
        <v>10850.571926907411</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73.87464575064979</v>
      </c>
      <c r="G47" s="1884" t="s">
        <v>199</v>
      </c>
      <c r="H47" s="1884" t="s">
        <v>199</v>
      </c>
      <c r="I47" s="1884" t="s">
        <v>199</v>
      </c>
      <c r="J47" s="2165" t="str">
        <f t="shared" ref="J47" si="11">IF(SUM(J48:J53)=0,"NO",SUM(J48:J53))</f>
        <v>NO</v>
      </c>
      <c r="K47" s="615"/>
      <c r="L47" s="615"/>
      <c r="M47" s="615"/>
      <c r="N47" s="1842"/>
      <c r="O47" s="1887">
        <f t="shared" si="1"/>
        <v>73.87464575064979</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82.849454438092167</v>
      </c>
      <c r="G48" s="1884" t="s">
        <v>199</v>
      </c>
      <c r="H48" s="1884" t="s">
        <v>199</v>
      </c>
      <c r="I48" s="1884" t="s">
        <v>199</v>
      </c>
      <c r="J48" s="2165" t="str">
        <f t="shared" ref="J48" si="12">IF(SUM(J49:J54)=0,"NO",SUM(J49:J54))</f>
        <v>NO</v>
      </c>
      <c r="K48" s="615"/>
      <c r="L48" s="615"/>
      <c r="M48" s="615"/>
      <c r="N48" s="1842"/>
      <c r="O48" s="1887">
        <f t="shared" si="1"/>
        <v>82.849454438092167</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126.53578526184327</v>
      </c>
      <c r="G49" s="1884" t="s">
        <v>199</v>
      </c>
      <c r="H49" s="1884" t="s">
        <v>199</v>
      </c>
      <c r="I49" s="1884" t="s">
        <v>199</v>
      </c>
      <c r="J49" s="2165" t="str">
        <f t="shared" ref="J49" si="13">IF(SUM(J50:J55)=0,"NO",SUM(J50:J55))</f>
        <v>NO</v>
      </c>
      <c r="K49" s="615"/>
      <c r="L49" s="615"/>
      <c r="M49" s="615"/>
      <c r="N49" s="1842"/>
      <c r="O49" s="1887">
        <f t="shared" si="1"/>
        <v>126.53578526184327</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303.62188291601086</v>
      </c>
      <c r="G50" s="1884" t="s">
        <v>199</v>
      </c>
      <c r="H50" s="1884" t="s">
        <v>199</v>
      </c>
      <c r="I50" s="1884" t="s">
        <v>199</v>
      </c>
      <c r="J50" s="2165" t="str">
        <f t="shared" ref="J50" si="14">IF(SUM(J51:J56)=0,"NO",SUM(J51:J56))</f>
        <v>NO</v>
      </c>
      <c r="K50" s="615"/>
      <c r="L50" s="615"/>
      <c r="M50" s="615"/>
      <c r="N50" s="1842"/>
      <c r="O50" s="1887">
        <f t="shared" si="1"/>
        <v>303.62188291601086</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8.2014234343733942E-3</v>
      </c>
      <c r="J52" s="2165" t="str">
        <f t="shared" si="16"/>
        <v>NO</v>
      </c>
      <c r="K52" s="2165" t="str">
        <f t="shared" si="16"/>
        <v>NO</v>
      </c>
      <c r="L52" s="2165" t="str">
        <f t="shared" si="16"/>
        <v>NO</v>
      </c>
      <c r="M52" s="2165" t="str">
        <f t="shared" si="16"/>
        <v>NO</v>
      </c>
      <c r="N52" s="2077" t="str">
        <f t="shared" si="16"/>
        <v>NO</v>
      </c>
      <c r="O52" s="2943">
        <f t="shared" si="1"/>
        <v>192.73345070777478</v>
      </c>
    </row>
    <row r="53" spans="2:15" ht="18" customHeight="1" x14ac:dyDescent="0.2">
      <c r="B53" s="1269" t="s">
        <v>663</v>
      </c>
      <c r="C53" s="2161"/>
      <c r="D53" s="2161"/>
      <c r="E53" s="2161"/>
      <c r="F53" s="2930" t="s">
        <v>199</v>
      </c>
      <c r="G53" s="2930" t="s">
        <v>199</v>
      </c>
      <c r="H53" s="2930" t="s">
        <v>199</v>
      </c>
      <c r="I53" s="2930">
        <f>SUM('Table2(II).B-Hs2'!J163:M163)/1000</f>
        <v>7.0991638953559373E-3</v>
      </c>
      <c r="J53" s="2930" t="s">
        <v>199</v>
      </c>
      <c r="K53" s="2161"/>
      <c r="L53" s="2161"/>
      <c r="M53" s="2161"/>
      <c r="N53" s="2174"/>
      <c r="O53" s="2943">
        <f t="shared" si="1"/>
        <v>166.83035154086451</v>
      </c>
    </row>
    <row r="54" spans="2:15" ht="18" customHeight="1" x14ac:dyDescent="0.2">
      <c r="B54" s="1269" t="s">
        <v>664</v>
      </c>
      <c r="C54" s="2161"/>
      <c r="D54" s="2161"/>
      <c r="E54" s="2161"/>
      <c r="F54" s="2161"/>
      <c r="G54" s="2930" t="s">
        <v>199</v>
      </c>
      <c r="H54" s="3007"/>
      <c r="I54" s="2930">
        <f>SUM('Table2(II).B-Hs2'!J165:M165)/1000</f>
        <v>1.1022595390174565E-3</v>
      </c>
      <c r="J54" s="2161"/>
      <c r="K54" s="2161"/>
      <c r="L54" s="2161"/>
      <c r="M54" s="2161"/>
      <c r="N54" s="2174"/>
      <c r="O54" s="2943">
        <f t="shared" si="1"/>
        <v>25.903099166910227</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225.77854781948912</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51.994272992695819</v>
      </c>
      <c r="N57" s="2100" t="str">
        <f>N58</f>
        <v>NA</v>
      </c>
      <c r="O57" s="2950">
        <f t="shared" si="1"/>
        <v>225.77854781948912</v>
      </c>
    </row>
    <row r="58" spans="2:15" ht="18" customHeight="1" thickBot="1" x14ac:dyDescent="0.25">
      <c r="B58" s="2613" t="s">
        <v>668</v>
      </c>
      <c r="C58" s="2517">
        <f>'Table2(I).A-H'!H98</f>
        <v>225.77854781948912</v>
      </c>
      <c r="D58" s="2517" t="str">
        <f>'Table2(I).A-H'!I98</f>
        <v>NO</v>
      </c>
      <c r="E58" s="2517" t="str">
        <f>'Table2(I).A-H'!J98</f>
        <v>NO</v>
      </c>
      <c r="F58" s="2517" t="s">
        <v>199</v>
      </c>
      <c r="G58" s="2517" t="s">
        <v>199</v>
      </c>
      <c r="H58" s="2517" t="s">
        <v>199</v>
      </c>
      <c r="I58" s="2517" t="s">
        <v>199</v>
      </c>
      <c r="J58" s="2517" t="s">
        <v>199</v>
      </c>
      <c r="K58" s="2922" t="s">
        <v>205</v>
      </c>
      <c r="L58" s="2922" t="s">
        <v>205</v>
      </c>
      <c r="M58" s="2922">
        <v>51.994272992695819</v>
      </c>
      <c r="N58" s="2932" t="s">
        <v>205</v>
      </c>
      <c r="O58" s="2935">
        <f t="shared" si="1"/>
        <v>225.77854781948912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1"/>
      <c r="C75" s="4492"/>
      <c r="D75" s="4492"/>
      <c r="E75" s="4492"/>
      <c r="F75" s="4492"/>
      <c r="G75" s="4492"/>
      <c r="H75" s="4492"/>
      <c r="I75" s="4492"/>
      <c r="J75" s="4492"/>
      <c r="K75" s="4492"/>
      <c r="L75" s="4492"/>
      <c r="M75" s="4492"/>
      <c r="N75" s="4492"/>
      <c r="O75" s="4493"/>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7"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56.636712054259988</v>
      </c>
      <c r="D10" s="4431">
        <f t="shared" ref="D10:X10" si="0">IF(SUM(D11,D16,D20,D26,D33,D37)=0,"NO",SUM(D11,D16,D20,D26,D33,D37))</f>
        <v>436.91177870429129</v>
      </c>
      <c r="E10" s="4431" t="str">
        <f t="shared" si="0"/>
        <v>NO</v>
      </c>
      <c r="F10" s="4431" t="str">
        <f t="shared" si="0"/>
        <v>NO</v>
      </c>
      <c r="G10" s="4431">
        <f t="shared" si="0"/>
        <v>997.21068009822056</v>
      </c>
      <c r="H10" s="4431">
        <f t="shared" si="0"/>
        <v>5.2242754365899469</v>
      </c>
      <c r="I10" s="4431">
        <f t="shared" si="0"/>
        <v>2864.1994381725772</v>
      </c>
      <c r="J10" s="4431" t="str">
        <f t="shared" si="0"/>
        <v>NO</v>
      </c>
      <c r="K10" s="4431">
        <f t="shared" si="0"/>
        <v>667.50410635377852</v>
      </c>
      <c r="L10" s="2073" t="str">
        <f t="shared" si="0"/>
        <v>NO</v>
      </c>
      <c r="M10" s="2073">
        <f t="shared" si="0"/>
        <v>121.36438297341421</v>
      </c>
      <c r="N10" s="2073" t="str">
        <f t="shared" si="0"/>
        <v>NO</v>
      </c>
      <c r="O10" s="4431">
        <f t="shared" si="0"/>
        <v>36.409314892024284</v>
      </c>
      <c r="P10" s="2073" t="str">
        <f t="shared" si="0"/>
        <v>NO</v>
      </c>
      <c r="Q10" s="2073" t="str">
        <f t="shared" si="0"/>
        <v>NO</v>
      </c>
      <c r="R10" s="2073">
        <f t="shared" si="0"/>
        <v>6.0682191486707122</v>
      </c>
      <c r="S10" s="2073" t="str">
        <f t="shared" si="0"/>
        <v>NO</v>
      </c>
      <c r="T10" s="2073">
        <f t="shared" si="0"/>
        <v>111.25068439229641</v>
      </c>
      <c r="U10" s="2073">
        <f t="shared" si="0"/>
        <v>76.864109216495706</v>
      </c>
      <c r="V10" s="2074" t="str">
        <f t="shared" si="0"/>
        <v>NO</v>
      </c>
      <c r="W10" s="2075"/>
      <c r="X10" s="2073">
        <f t="shared" si="0"/>
        <v>26.739819004524893</v>
      </c>
      <c r="Y10" s="4431">
        <f t="shared" ref="Y10" si="1">IF(SUM(Y11,Y16,Y20,Y26,Y33,Y37)=0,"NO",SUM(Y11,Y16,Y20,Y26,Y33,Y37))</f>
        <v>10.288108108108107</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8.2014234343733943</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26.739819004524893</v>
      </c>
      <c r="Y16" s="4432">
        <f t="shared" ref="Y16" si="35">IF(SUM(Y17:Y19)=0,"NO",SUM(Y17:Y19))</f>
        <v>10.288108108108107</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26.739819004524893</v>
      </c>
      <c r="Y17" s="4432">
        <f>'Table2(II).B-Hs1'!G26</f>
        <v>10.288108108108107</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56.636712054259988</v>
      </c>
      <c r="D26" s="4430">
        <f t="shared" ref="D26:AK26" si="58">IF(SUM(D27:D32)=0,"NO",SUM(D27:D32))</f>
        <v>436.91177870429129</v>
      </c>
      <c r="E26" s="2097" t="str">
        <f t="shared" si="58"/>
        <v>NO</v>
      </c>
      <c r="F26" s="2097" t="str">
        <f t="shared" si="58"/>
        <v>NO</v>
      </c>
      <c r="G26" s="4430">
        <f t="shared" si="58"/>
        <v>997.21068009822056</v>
      </c>
      <c r="H26" s="4430">
        <f t="shared" si="58"/>
        <v>5.2242754365899469</v>
      </c>
      <c r="I26" s="4430">
        <f t="shared" si="58"/>
        <v>2864.1994381725772</v>
      </c>
      <c r="J26" s="4430" t="str">
        <f t="shared" si="58"/>
        <v>NO</v>
      </c>
      <c r="K26" s="4430">
        <f t="shared" si="58"/>
        <v>667.50410635377852</v>
      </c>
      <c r="L26" s="2097" t="str">
        <f t="shared" si="58"/>
        <v>NO</v>
      </c>
      <c r="M26" s="2097">
        <f t="shared" si="58"/>
        <v>121.36438297341421</v>
      </c>
      <c r="N26" s="2097" t="str">
        <f t="shared" si="58"/>
        <v>NO</v>
      </c>
      <c r="O26" s="4430">
        <f t="shared" si="58"/>
        <v>36.409314892024284</v>
      </c>
      <c r="P26" s="2097" t="str">
        <f t="shared" si="58"/>
        <v>NO</v>
      </c>
      <c r="Q26" s="2097" t="str">
        <f t="shared" si="58"/>
        <v>NO</v>
      </c>
      <c r="R26" s="2097">
        <f t="shared" si="58"/>
        <v>6.0682191486707122</v>
      </c>
      <c r="S26" s="2097" t="str">
        <f t="shared" si="58"/>
        <v>NO</v>
      </c>
      <c r="T26" s="2097">
        <f t="shared" si="58"/>
        <v>111.25068439229641</v>
      </c>
      <c r="U26" s="2097">
        <f t="shared" si="58"/>
        <v>76.864109216495706</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53.73055351491584</v>
      </c>
      <c r="D27" s="4431">
        <f>IF(SUM('Table2(II).B-Hs2'!J14:M14,'Table2(II).B-Hs2'!J27:M27,'Table2(II).B-Hs2'!J40:M40,'Table2(II).B-Hs2'!J53:M53,'Table2(II).B-Hs2'!J66:M66,'Table2(II).B-Hs2'!J79:M79)=0,"NO",SUM('Table2(II).B-Hs2'!J14:M14,'Table2(II).B-Hs2'!J27:M27,'Table2(II).B-Hs2'!J40:M40,'Table2(II).B-Hs2'!J53:M53,'Table2(II).B-Hs2'!J66:M66,'Table2(II).B-Hs2'!J79:M79))</f>
        <v>414.4928414007793</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946.04153153048253</v>
      </c>
      <c r="H27" s="4431">
        <f>IF(SUM('Table2(II).B-Hs2'!J17:M17,'Table2(II).B-Hs2'!J30:M30,'Table2(II).B-Hs2'!J43:M43,'Table2(II).B-Hs2'!J56:M56,'Table2(II).B-Hs2'!J69:M69,'Table2(II).B-Hs2'!J82:M82)=0,"NO",SUM('Table2(II).B-Hs2'!J17:M17,'Table2(II).B-Hs2'!J30:M30,'Table2(II).B-Hs2'!J43:M43,'Table2(II).B-Hs2'!J56:M56,'Table2(II).B-Hs2'!J69:M69,'Table2(II).B-Hs2'!J82:M82))</f>
        <v>4.9562059791435775</v>
      </c>
      <c r="I27" s="4431">
        <f>IF(SUM('Table2(II).B-Hs2'!J18:M18,'Table2(II).B-Hs2'!J31:M31,'Table2(II).B-Hs2'!J44:M44,'Table2(II).B-Hs2'!J57:M57,'Table2(II).B-Hs2'!J70:M70,'Table2(II).B-Hs2'!J83:M83)=0,"NO",SUM('Table2(II).B-Hs2'!J18:M18,'Table2(II).B-Hs2'!J31:M31,'Table2(II).B-Hs2'!J44:M44,'Table2(II).B-Hs2'!J57:M57,'Table2(II).B-Hs2'!J70:M70,'Table2(II).B-Hs2'!J83:M83))</f>
        <v>2717.2308491828876</v>
      </c>
      <c r="J27" s="4431" t="s">
        <v>199</v>
      </c>
      <c r="K27" s="4431">
        <f>IF(SUM('Table2(II).B-Hs2'!J19:M19,'Table2(II).B-Hs2'!J32:M32,'Table2(II).B-Hs2'!J45:M45,'Table2(II).B-Hs2'!J58:M58,'Table2(II).B-Hs2'!J71:M71,'Table2(II).B-Hs2'!J84:M84)=0,"NO",SUM('Table2(II).B-Hs2'!J19:M19,'Table2(II).B-Hs2'!J32:M32,'Table2(II).B-Hs2'!J45:M45,'Table2(II).B-Hs2'!J58:M58,'Table2(II).B-Hs2'!J71:M71,'Table2(II).B-Hs2'!J84:M84))</f>
        <v>633.25295214007951</v>
      </c>
      <c r="L27" s="2073" t="s">
        <v>199</v>
      </c>
      <c r="M27" s="2073">
        <f>IF(SUM('Table2(II).B-Hs2'!J20:M20,'Table2(II).B-Hs2'!J33:M33,'Table2(II).B-Hs2'!J46:M46,'Table2(II).B-Hs2'!J59:M59,'Table2(II).B-Hs2'!J72:M72,'Table2(II).B-Hs2'!J85:M85)=0,"NO",SUM('Table2(II).B-Hs2'!J20:M20,'Table2(II).B-Hs2'!J33:M33,'Table2(II).B-Hs2'!J46:M46,'Table2(II).B-Hs2'!J59:M59,'Table2(II).B-Hs2'!J72:M72,'Table2(II).B-Hs2'!J85:M85))</f>
        <v>115.13690038910534</v>
      </c>
      <c r="N27" s="2073" t="s">
        <v>199</v>
      </c>
      <c r="O27" s="4431">
        <f>IF(SUM('Table2(II).B-Hs2'!J21:M21,'Table2(II).B-Hs2'!J34:M34,'Table2(II).B-Hs2'!J47:M47,'Table2(II).B-Hs2'!J60:M60,'Table2(II).B-Hs2'!J73:M73,'Table2(II).B-Hs2'!J86:M86)=0,"NO",SUM('Table2(II).B-Hs2'!J21:M21,'Table2(II).B-Hs2'!J34:M34,'Table2(II).B-Hs2'!J47:M47,'Table2(II).B-Hs2'!J60:M60,'Table2(II).B-Hs2'!J73:M73,'Table2(II).B-Hs2'!J86:M86))</f>
        <v>34.541070116731618</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5.7568450194552678</v>
      </c>
      <c r="S27" s="2073" t="s">
        <v>199</v>
      </c>
      <c r="T27" s="2073">
        <f>IF(SUM('Table2(II).B-Hs2'!J23:M23,'Table2(II).B-Hs2'!J36:M36,'Table2(II).B-Hs2'!J49:M49,'Table2(II).B-Hs2'!J62:M62,'Table2(II).B-Hs2'!J75:M75,'Table2(II).B-Hs2'!J88:M88)=0,"NO",SUM('Table2(II).B-Hs2'!J23:M23,'Table2(II).B-Hs2'!J36:M36,'Table2(II).B-Hs2'!J49:M49,'Table2(II).B-Hs2'!J62:M62,'Table2(II).B-Hs2'!J75:M75,'Table2(II).B-Hs2'!J88:M88))</f>
        <v>105.54215869001327</v>
      </c>
      <c r="U27" s="2073">
        <f>IF(SUM('Table2(II).B-Hs2'!J24:M24,'Table2(II).B-Hs2'!J37:M37,'Table2(II).B-Hs2'!J50:M50,'Table2(II).B-Hs2'!J63:M63,'Table2(II).B-Hs2'!J76:M76,'Table2(II).B-Hs2'!J89:M89)=0,"NO",SUM('Table2(II).B-Hs2'!J24:M24,'Table2(II).B-Hs2'!J37:M37,'Table2(II).B-Hs2'!J50:M50,'Table2(II).B-Hs2'!J63:M63,'Table2(II).B-Hs2'!J76:M76,'Table2(II).B-Hs2'!J89:M89))</f>
        <v>72.920036913100063</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0.36581717845282846</v>
      </c>
      <c r="D28" s="4431">
        <f>IF(SUM('Table2(II).B-Hs2'!J93:M93,'Table2(II).B-Hs2'!J106:M106)=0,"NO",SUM('Table2(II).B-Hs2'!J93:M93,'Table2(II).B-Hs2'!J106:M106))</f>
        <v>2.8220182337789632</v>
      </c>
      <c r="E28" s="2073" t="s">
        <v>199</v>
      </c>
      <c r="F28" s="2073" t="str">
        <f>IF(SUM('Table2(II).B-Hs2'!J94:M94,'Table2(II).B-Hs2'!J107:M107)=0,"NO",SUM('Table2(II).B-Hs2'!J94:M94,'Table2(II).B-Hs2'!J107:M107))</f>
        <v>NO</v>
      </c>
      <c r="G28" s="4431">
        <f>IF(SUM('Table2(II).B-Hs2'!J95:M95,'Table2(II).B-Hs2'!J108:M108)=0,"NO",SUM('Table2(II).B-Hs2'!J95:M95,'Table2(II).B-Hs2'!J108:M108))</f>
        <v>6.4409953206158725</v>
      </c>
      <c r="H28" s="4431">
        <f>IF(SUM('Table2(II).B-Hs2'!J96:M96,'Table2(II).B-Hs2'!J109:M109)=0,"NO",SUM('Table2(II).B-Hs2'!J96:M96,'Table2(II).B-Hs2'!J109:M109))</f>
        <v>3.3743655490502747E-2</v>
      </c>
      <c r="I28" s="4431">
        <f>IF(SUM('Table2(II).B-Hs2'!J97:M97,'Table2(II).B-Hs2'!J110:M110)=0,"NO",SUM('Table2(II).B-Hs2'!J97:M97,'Table2(II).B-Hs2'!J110:M110))</f>
        <v>18.499897310328755</v>
      </c>
      <c r="J28" s="4431" t="s">
        <v>199</v>
      </c>
      <c r="K28" s="4431">
        <f>IF(SUM('Table2(II).B-Hs2'!J98:M98,'Table2(II).B-Hs2'!J111:M111)=0,"NO",SUM('Table2(II).B-Hs2'!J98:M98,'Table2(II).B-Hs2'!J111:M111))</f>
        <v>4.3114167460511927</v>
      </c>
      <c r="L28" s="2073" t="s">
        <v>199</v>
      </c>
      <c r="M28" s="2073">
        <f>IF(SUM('Table2(II).B-Hs2'!J99:M99,'Table2(II).B-Hs2'!J112:M112)=0,"NO",SUM('Table2(II).B-Hs2'!J99:M99,'Table2(II).B-Hs2'!J112:M112))</f>
        <v>0.78389395382748972</v>
      </c>
      <c r="N28" s="2073" t="s">
        <v>199</v>
      </c>
      <c r="O28" s="4431">
        <f>IF(SUM('Table2(II).B-Hs2'!J100:M100,'Table2(II).B-Hs2'!J113:M113)=0,"NO",SUM('Table2(II).B-Hs2'!J100:M100,'Table2(II).B-Hs2'!J113:M113))</f>
        <v>0.23516818614824694</v>
      </c>
      <c r="P28" s="2073" t="s">
        <v>199</v>
      </c>
      <c r="Q28" s="2073" t="s">
        <v>199</v>
      </c>
      <c r="R28" s="2073">
        <f>IF(SUM('Table2(II).B-Hs2'!J101:M101,'Table2(II).B-Hs2'!J114:M114)=0,"NO",SUM('Table2(II).B-Hs2'!J101:M101,'Table2(II).B-Hs2'!J114:M114))</f>
        <v>3.9194697691374486E-2</v>
      </c>
      <c r="S28" s="2073" t="s">
        <v>199</v>
      </c>
      <c r="T28" s="2073">
        <f>IF(SUM('Table2(II).B-Hs2'!J102:M102,'Table2(II).B-Hs2'!J115:M115)=0,"NO",SUM('Table2(II).B-Hs2'!J102:M102,'Table2(II).B-Hs2'!J115:M115))</f>
        <v>0.71856945767519886</v>
      </c>
      <c r="U28" s="2073">
        <f>IF(SUM('Table2(II).B-Hs2'!J103:M103,'Table2(II).B-Hs2'!J116:M116)=0,"NO",SUM('Table2(II).B-Hs2'!J103:M103,'Table2(II).B-Hs2'!J116:M116))</f>
        <v>0.49646617075741017</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0.41025920802648952</v>
      </c>
      <c r="D29" s="4431">
        <f>IF(SUM('Table2(II).B-Hs2'!J119:M119)=0,"NO",SUM('Table2(II).B-Hs2'!J119:M119))</f>
        <v>3.164856747632919</v>
      </c>
      <c r="E29" s="2073" t="s">
        <v>199</v>
      </c>
      <c r="F29" s="2073" t="str">
        <f>IF(SUM('Table2(II).B-Hs2'!J120:M120)=0,"NO",SUM('Table2(II).B-Hs2'!J120:M120))</f>
        <v>NO</v>
      </c>
      <c r="G29" s="4431">
        <f>IF(SUM('Table2(II).B-Hs2'!J121:M121)=0,"NO",SUM('Table2(II).B-Hs2'!J121:M121))</f>
        <v>7.2234924841806878</v>
      </c>
      <c r="H29" s="4431">
        <f>IF(SUM('Table2(II).B-Hs2'!J122:M122)=0,"NO",SUM('Table2(II).B-Hs2'!J122:M122))</f>
        <v>3.7843070781973881E-2</v>
      </c>
      <c r="I29" s="4431">
        <f>IF(SUM('Table2(II).B-Hs2'!J123:M123)=0,"NO",SUM('Table2(II).B-Hs2'!J123:M123))</f>
        <v>20.747394234482471</v>
      </c>
      <c r="J29" s="4431" t="s">
        <v>199</v>
      </c>
      <c r="K29" s="4431">
        <f>IF(SUM('Table2(II).B-Hs2'!J124:M124)=0,"NO",SUM('Table2(II).B-Hs2'!J124:M124))</f>
        <v>4.835197808883624</v>
      </c>
      <c r="L29" s="2073" t="s">
        <v>199</v>
      </c>
      <c r="M29" s="2073">
        <f>IF(SUM('Table2(II).B-Hs2'!J125:M125)=0,"NO",SUM('Table2(II).B-Hs2'!J125:M125))</f>
        <v>0.87912687434247738</v>
      </c>
      <c r="N29" s="2073" t="s">
        <v>199</v>
      </c>
      <c r="O29" s="4431">
        <f>IF(SUM('Table2(II).B-Hs2'!J126:M126)=0,"NO",SUM('Table2(II).B-Hs2'!J126:M126))</f>
        <v>0.26373806230274316</v>
      </c>
      <c r="P29" s="2073" t="s">
        <v>199</v>
      </c>
      <c r="Q29" s="2073" t="s">
        <v>199</v>
      </c>
      <c r="R29" s="2073">
        <f>IF(SUM('Table2(II).B-Hs2'!J127:M127)=0,"NO",SUM('Table2(II).B-Hs2'!J127:M127))</f>
        <v>4.3956343717123869E-2</v>
      </c>
      <c r="S29" s="2073" t="s">
        <v>199</v>
      </c>
      <c r="T29" s="2073">
        <f>IF(SUM('Table2(II).B-Hs2'!J128:M128)=0,"NO",SUM('Table2(II).B-Hs2'!J128:M128))</f>
        <v>0.80586630148060445</v>
      </c>
      <c r="U29" s="2073">
        <f>IF(SUM('Table2(II).B-Hs2'!J129:M129)=0,"NO",SUM('Table2(II).B-Hs2'!J129:M129))</f>
        <v>0.55678035375023571</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0.62658796488906809</v>
      </c>
      <c r="D30" s="4431">
        <f>IF(SUM('Table2(II).B-Hs2'!J133:M133)=0,"NO",SUM('Table2(II).B-Hs2'!J133:M133))</f>
        <v>4.8336785862870979</v>
      </c>
      <c r="E30" s="2073" t="s">
        <v>199</v>
      </c>
      <c r="F30" s="2073" t="str">
        <f>IF(SUM('Table2(II).B-Hs2'!J134:M134)=0,"NO",SUM('Table2(II).B-Hs2'!J134:M134))</f>
        <v>NO</v>
      </c>
      <c r="G30" s="4431">
        <f>IF(SUM('Table2(II).B-Hs2'!J135:M135)=0,"NO",SUM('Table2(II).B-Hs2'!J135:M135))</f>
        <v>11.032423810368236</v>
      </c>
      <c r="H30" s="4431">
        <f>IF(SUM('Table2(II).B-Hs2'!J136:M136)=0,"NO",SUM('Table2(II).B-Hs2'!J136:M136))</f>
        <v>5.7797636817206906E-2</v>
      </c>
      <c r="I30" s="4431">
        <f>IF(SUM('Table2(II).B-Hs2'!J137:M137)=0,"NO",SUM('Table2(II).B-Hs2'!J137:M137))</f>
        <v>31.687448510104307</v>
      </c>
      <c r="J30" s="4431" t="s">
        <v>199</v>
      </c>
      <c r="K30" s="4431">
        <f>IF(SUM('Table2(II).B-Hs2'!J138:M138)=0,"NO",SUM('Table2(II).B-Hs2'!J138:M138))</f>
        <v>7.3847867290497318</v>
      </c>
      <c r="L30" s="2073" t="s">
        <v>199</v>
      </c>
      <c r="M30" s="2073">
        <f>IF(SUM('Table2(II).B-Hs2'!J139:M139)=0,"NO",SUM('Table2(II).B-Hs2'!J139:M139))</f>
        <v>1.3426884961908605</v>
      </c>
      <c r="N30" s="2073" t="s">
        <v>199</v>
      </c>
      <c r="O30" s="4431">
        <f>IF(SUM('Table2(II).B-Hs2'!J140:M140)=0,"NO",SUM('Table2(II).B-Hs2'!J140:M140))</f>
        <v>0.40280654885725814</v>
      </c>
      <c r="P30" s="2073" t="s">
        <v>199</v>
      </c>
      <c r="Q30" s="2073" t="s">
        <v>199</v>
      </c>
      <c r="R30" s="2073">
        <f>IF(SUM('Table2(II).B-Hs2'!J141:M141)=0,"NO",SUM('Table2(II).B-Hs2'!J141:M141))</f>
        <v>6.7134424809543028E-2</v>
      </c>
      <c r="S30" s="2073" t="s">
        <v>199</v>
      </c>
      <c r="T30" s="2073">
        <f>IF(SUM('Table2(II).B-Hs2'!J142:M142)=0,"NO",SUM('Table2(II).B-Hs2'!J142:M142))</f>
        <v>1.2307977881749554</v>
      </c>
      <c r="U30" s="2073">
        <f>IF(SUM('Table2(II).B-Hs2'!J143:M143)=0,"NO",SUM('Table2(II).B-Hs2'!J143:M143))</f>
        <v>0.85036938092087822</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1.5034941879757597</v>
      </c>
      <c r="D31" s="4431">
        <f>IF(SUM('Table2(II).B-Hs2'!J148:M148)=0,"NO",SUM('Table2(II).B-Hs2'!J148:M148))</f>
        <v>11.598383735813007</v>
      </c>
      <c r="E31" s="2073" t="s">
        <v>199</v>
      </c>
      <c r="F31" s="2073" t="str">
        <f>IF(SUM('Table2(II).B-Hs2'!J149:M149)=0,"NO",SUM('Table2(II).B-Hs2'!J149:M149))</f>
        <v>NO</v>
      </c>
      <c r="G31" s="4431">
        <f>IF(SUM('Table2(II).B-Hs2'!J150:M150)=0,"NO",SUM('Table2(II).B-Hs2'!J150:M150))</f>
        <v>26.472236952573205</v>
      </c>
      <c r="H31" s="4431">
        <f>IF(SUM('Table2(II).B-Hs2'!J151:M151)=0,"NO",SUM('Table2(II).B-Hs2'!J151:M151))</f>
        <v>0.13868509435668616</v>
      </c>
      <c r="I31" s="4431">
        <f>IF(SUM('Table2(II).B-Hs2'!J152:M152)=0,"NO",SUM('Table2(II).B-Hs2'!J152:M152))</f>
        <v>76.033848934774142</v>
      </c>
      <c r="J31" s="4431" t="s">
        <v>199</v>
      </c>
      <c r="K31" s="4431">
        <f>IF(SUM('Table2(II).B-Hs2'!J153:M153)=0,"NO",SUM('Table2(II).B-Hs2'!J153:M153))</f>
        <v>17.719752929714311</v>
      </c>
      <c r="L31" s="2073" t="s">
        <v>199</v>
      </c>
      <c r="M31" s="2073">
        <f>IF(SUM('Table2(II).B-Hs2'!J154:M154)=0,"NO",SUM('Table2(II).B-Hs2'!J154:M154))</f>
        <v>3.2217732599480571</v>
      </c>
      <c r="N31" s="2073" t="s">
        <v>199</v>
      </c>
      <c r="O31" s="4431">
        <f>IF(SUM('Table2(II).B-Hs2'!J155:M155)=0,"NO",SUM('Table2(II).B-Hs2'!J155:M155))</f>
        <v>0.96653197798441715</v>
      </c>
      <c r="P31" s="2073" t="s">
        <v>199</v>
      </c>
      <c r="Q31" s="2073" t="s">
        <v>199</v>
      </c>
      <c r="R31" s="2073">
        <f>IF(SUM('Table2(II).B-Hs2'!J156:M156)=0,"NO",SUM('Table2(II).B-Hs2'!J156:M156))</f>
        <v>0.16108866299740282</v>
      </c>
      <c r="S31" s="2073" t="s">
        <v>199</v>
      </c>
      <c r="T31" s="2073">
        <f>IF(SUM('Table2(II).B-Hs2'!J157:M157)=0,"NO",SUM('Table2(II).B-Hs2'!J157:M157))</f>
        <v>2.9532921549523858</v>
      </c>
      <c r="U31" s="2073">
        <f>IF(SUM('Table2(II).B-Hs2'!J158:M158)=0,"NO",SUM('Table2(II).B-Hs2'!J158:M158))</f>
        <v>2.0404563979671027</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8.2014234343733943</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7.0991638953559377</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1.1022595390174565</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702.29522947282396</v>
      </c>
      <c r="D39" s="4183">
        <f t="shared" ref="D39:AK39" si="72">IF(SUM(D40:D45)=0,"NO",SUM(D40:D45))</f>
        <v>295.78927418280523</v>
      </c>
      <c r="E39" s="4183" t="str">
        <f t="shared" si="72"/>
        <v>NO</v>
      </c>
      <c r="F39" s="4183" t="str">
        <f t="shared" si="72"/>
        <v>NO</v>
      </c>
      <c r="G39" s="4183">
        <f t="shared" si="72"/>
        <v>3161.1578559113591</v>
      </c>
      <c r="H39" s="4183">
        <f t="shared" si="72"/>
        <v>5.8511884889807408</v>
      </c>
      <c r="I39" s="4183">
        <f t="shared" si="72"/>
        <v>3723.4592696243503</v>
      </c>
      <c r="J39" s="4183" t="str">
        <f t="shared" si="72"/>
        <v>NO</v>
      </c>
      <c r="K39" s="4183">
        <f t="shared" si="72"/>
        <v>3204.0197104981371</v>
      </c>
      <c r="L39" s="4183" t="str">
        <f t="shared" si="72"/>
        <v>NO</v>
      </c>
      <c r="M39" s="4183">
        <f t="shared" si="72"/>
        <v>16.74828485033116</v>
      </c>
      <c r="N39" s="4183" t="str">
        <f t="shared" si="72"/>
        <v>NO</v>
      </c>
      <c r="O39" s="4183">
        <f t="shared" si="72"/>
        <v>121.97120488828135</v>
      </c>
      <c r="P39" s="4183" t="str">
        <f t="shared" si="72"/>
        <v>NO</v>
      </c>
      <c r="Q39" s="4183" t="str">
        <f t="shared" si="72"/>
        <v>NO</v>
      </c>
      <c r="R39" s="4183">
        <f t="shared" si="72"/>
        <v>48.909846338285938</v>
      </c>
      <c r="S39" s="4183" t="str">
        <f t="shared" si="72"/>
        <v>NO</v>
      </c>
      <c r="T39" s="4183">
        <f t="shared" si="72"/>
        <v>95.453087208590304</v>
      </c>
      <c r="U39" s="4183">
        <f t="shared" si="72"/>
        <v>61.798743810062547</v>
      </c>
      <c r="V39" s="4183" t="str">
        <f t="shared" si="72"/>
        <v>NO</v>
      </c>
      <c r="W39" s="4183">
        <f t="shared" si="72"/>
        <v>11437.453695274005</v>
      </c>
      <c r="X39" s="4183">
        <f t="shared" si="72"/>
        <v>177.28500000000003</v>
      </c>
      <c r="Y39" s="4183">
        <f t="shared" si="72"/>
        <v>114.19799999999998</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291.483</v>
      </c>
      <c r="AI39" s="4184" t="str">
        <f t="shared" si="72"/>
        <v>NO</v>
      </c>
      <c r="AJ39" s="4184">
        <f t="shared" si="72"/>
        <v>192.73345070777475</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177.28500000000003</v>
      </c>
      <c r="Y41" s="4186">
        <f>IF(SUM(Y16)=0,"NO",Y16*11100/1000)</f>
        <v>114.19799999999998</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291.483</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702.29522947282396</v>
      </c>
      <c r="D43" s="4186">
        <f>IF(SUM(D26)=0,"NO",D26*677/1000)</f>
        <v>295.78927418280523</v>
      </c>
      <c r="E43" s="4186" t="str">
        <f>IF(SUM(E26)=0,"NO",E26*116/1000)</f>
        <v>NO</v>
      </c>
      <c r="F43" s="4186" t="str">
        <f>IF(SUM(F26)=0,"NO",F26*1650/1000)</f>
        <v>NO</v>
      </c>
      <c r="G43" s="4186">
        <f>IF(SUM(G26)=0,"NO",G26*3170/1000)</f>
        <v>3161.1578559113591</v>
      </c>
      <c r="H43" s="4186">
        <f>IF(SUM(H26)=0,"NO",H26*1120/1000)</f>
        <v>5.8511884889807408</v>
      </c>
      <c r="I43" s="4186">
        <f>IF(SUM(I26)=0,"NO",I26*1300/1000)</f>
        <v>3723.4592696243503</v>
      </c>
      <c r="J43" s="4186" t="str">
        <f>IF(SUM(J26)=0,"NO",J26*328/1000)</f>
        <v>NO</v>
      </c>
      <c r="K43" s="4186">
        <f>IF(SUM(K26)=0,"NO",K26*4800/1000)</f>
        <v>3204.0197104981371</v>
      </c>
      <c r="L43" s="4186" t="str">
        <f>IF(SUM(L26)=0,"NO",L26*16/1000)</f>
        <v>NO</v>
      </c>
      <c r="M43" s="4186">
        <f>IF(SUM(M26)=0,"NO",M26*138/1000)</f>
        <v>16.74828485033116</v>
      </c>
      <c r="N43" s="4186" t="str">
        <f>IF(SUM(N26)=0,"NO",N26*4/1000)</f>
        <v>NO</v>
      </c>
      <c r="O43" s="4186">
        <f>IF(SUM(O26)=0,"NO",O26*3350/1000)</f>
        <v>121.97120488828135</v>
      </c>
      <c r="P43" s="4186" t="str">
        <f>IF(SUM(P26)=0,"NO",P26*1210/1000)</f>
        <v>NO</v>
      </c>
      <c r="Q43" s="4186" t="str">
        <f>IF(SUM(Q26)=0,"NO",Q26*1330/1000)</f>
        <v>NO</v>
      </c>
      <c r="R43" s="4186">
        <f>IF(SUM(R26)=0,"NO",R26*8060/1000)</f>
        <v>48.909846338285938</v>
      </c>
      <c r="S43" s="4186" t="str">
        <f>IF(SUM(S26)=0,"NO",S26*716/1000)</f>
        <v>NO</v>
      </c>
      <c r="T43" s="4186">
        <f>IF(SUM(T26)=0,"NO",T26*858/1000)</f>
        <v>95.453087208590304</v>
      </c>
      <c r="U43" s="4186">
        <f>IF(SUM(U26)=0,"NO",U26*804/1000)</f>
        <v>61.798743810062547</v>
      </c>
      <c r="V43" s="4186" t="str">
        <f>IF(SUM(V26)=0,"NO",V26*1/1000)</f>
        <v>NO</v>
      </c>
      <c r="W43" s="4186">
        <f t="shared" si="73"/>
        <v>11437.453695274005</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192.73345070777475</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64"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5613.9712902377578</v>
      </c>
      <c r="I10" s="615"/>
      <c r="J10" s="615"/>
      <c r="K10" s="3161" t="str">
        <f>IF(SUM(K11:K14)=0,"NO",SUM(K11:K14))</f>
        <v>NO</v>
      </c>
      <c r="L10" s="3161" t="str">
        <f>IF(SUM(L11:L14)=0,"NO",SUM(L11:L14))</f>
        <v>NO</v>
      </c>
      <c r="M10" s="615"/>
      <c r="N10" s="1842"/>
    </row>
    <row r="11" spans="2:14" ht="18" customHeight="1" x14ac:dyDescent="0.2">
      <c r="B11" s="286" t="s">
        <v>748</v>
      </c>
      <c r="C11" s="2126" t="s">
        <v>749</v>
      </c>
      <c r="D11" s="699">
        <v>5366.6730099999995</v>
      </c>
      <c r="E11" s="1938">
        <f>IF(SUM($D11)=0,"NA",H11/$D11)</f>
        <v>0.54045984948217307</v>
      </c>
      <c r="F11" s="615"/>
      <c r="G11" s="615"/>
      <c r="H11" s="3149">
        <v>2900.4712872046402</v>
      </c>
      <c r="I11" s="615"/>
      <c r="J11" s="615"/>
      <c r="K11" s="3149" t="s">
        <v>199</v>
      </c>
      <c r="L11" s="699" t="s">
        <v>199</v>
      </c>
      <c r="M11" s="615"/>
      <c r="N11" s="1842"/>
    </row>
    <row r="12" spans="2:14" ht="18" customHeight="1" x14ac:dyDescent="0.2">
      <c r="B12" s="286" t="s">
        <v>750</v>
      </c>
      <c r="C12" s="2127" t="s">
        <v>751</v>
      </c>
      <c r="D12" s="699">
        <v>1580.29169</v>
      </c>
      <c r="E12" s="1938">
        <f>IF(SUM($D12)=0,"NA",H12/$D12)</f>
        <v>0.6872265313653878</v>
      </c>
      <c r="F12" s="615"/>
      <c r="G12" s="615"/>
      <c r="H12" s="3149">
        <v>1086.0183766642467</v>
      </c>
      <c r="I12" s="615"/>
      <c r="J12" s="615"/>
      <c r="K12" s="3149" t="s">
        <v>199</v>
      </c>
      <c r="L12" s="699" t="s">
        <v>199</v>
      </c>
      <c r="M12" s="615"/>
      <c r="N12" s="1842"/>
    </row>
    <row r="13" spans="2:14" ht="18" customHeight="1" x14ac:dyDescent="0.2">
      <c r="B13" s="286" t="s">
        <v>752</v>
      </c>
      <c r="C13" s="2127" t="s">
        <v>753</v>
      </c>
      <c r="D13" s="699">
        <v>180.39698980000003</v>
      </c>
      <c r="E13" s="1938">
        <f>IF(SUM($D13)=0,"NA",H13/$D13)</f>
        <v>0.42715335043831415</v>
      </c>
      <c r="F13" s="615"/>
      <c r="G13" s="615"/>
      <c r="H13" s="3149">
        <v>77.057178602056396</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1550.424447766814</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252.60017449878211</v>
      </c>
      <c r="I15" s="615"/>
      <c r="J15" s="615"/>
      <c r="K15" s="3149" t="s">
        <v>199</v>
      </c>
      <c r="L15" s="699" t="s">
        <v>199</v>
      </c>
      <c r="M15" s="615"/>
      <c r="N15" s="1842"/>
    </row>
    <row r="16" spans="2:14" ht="18" customHeight="1" x14ac:dyDescent="0.2">
      <c r="B16" s="160" t="s">
        <v>756</v>
      </c>
      <c r="C16" s="474" t="s">
        <v>757</v>
      </c>
      <c r="D16" s="2917">
        <v>295.53558785000001</v>
      </c>
      <c r="E16" s="1938">
        <f>IF(SUM($D16)=0,"NA",H16/$D16)</f>
        <v>0.41491999999999996</v>
      </c>
      <c r="F16" s="615"/>
      <c r="G16" s="615"/>
      <c r="H16" s="3149">
        <v>122.62362611072199</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1175.2006471573097</v>
      </c>
      <c r="I18" s="615"/>
      <c r="J18" s="615"/>
      <c r="K18" s="3150" t="str">
        <f>K19</f>
        <v>NO</v>
      </c>
      <c r="L18" s="3162" t="str">
        <f>L19</f>
        <v>NO</v>
      </c>
      <c r="M18" s="615"/>
      <c r="N18" s="1842"/>
    </row>
    <row r="19" spans="2:14" ht="18" customHeight="1" x14ac:dyDescent="0.2">
      <c r="B19" s="3151" t="s">
        <v>761</v>
      </c>
      <c r="C19" s="474" t="s">
        <v>753</v>
      </c>
      <c r="D19" s="2917">
        <v>1479.315251</v>
      </c>
      <c r="E19" s="1938">
        <f>IF(SUM($D19)=0,"NA",H19/$D19)</f>
        <v>0.41404144875885485</v>
      </c>
      <c r="F19" s="615"/>
      <c r="G19" s="615"/>
      <c r="H19" s="3149">
        <v>612.49782969510898</v>
      </c>
      <c r="I19" s="615"/>
      <c r="J19" s="615"/>
      <c r="K19" s="3149" t="s">
        <v>199</v>
      </c>
      <c r="L19" s="3149" t="s">
        <v>199</v>
      </c>
      <c r="M19" s="615"/>
      <c r="N19" s="1842"/>
    </row>
    <row r="20" spans="2:14" ht="18" customHeight="1" x14ac:dyDescent="0.2">
      <c r="B20" s="3152" t="s">
        <v>762</v>
      </c>
      <c r="C20" s="474" t="s">
        <v>753</v>
      </c>
      <c r="D20" s="2917">
        <v>396.12221199999999</v>
      </c>
      <c r="E20" s="1938">
        <f>IF(SUM($D20)=0,"NA",H20/$D20)</f>
        <v>0.51332026315527091</v>
      </c>
      <c r="F20" s="615"/>
      <c r="G20" s="615"/>
      <c r="H20" s="3149">
        <v>203.337558105488</v>
      </c>
      <c r="I20" s="615"/>
      <c r="J20" s="615"/>
      <c r="K20" s="3149" t="s">
        <v>199</v>
      </c>
      <c r="L20" s="3149" t="s">
        <v>199</v>
      </c>
      <c r="M20" s="2161"/>
      <c r="N20" s="2174"/>
    </row>
    <row r="21" spans="2:14" ht="18" customHeight="1" thickBot="1" x14ac:dyDescent="0.25">
      <c r="B21" s="3152" t="s">
        <v>763</v>
      </c>
      <c r="C21" s="474" t="s">
        <v>753</v>
      </c>
      <c r="D21" s="2917">
        <v>824.82700109999996</v>
      </c>
      <c r="E21" s="1938">
        <f>IF(SUM($D21)=0,"NA",H21/$D21)</f>
        <v>0.43568561513803322</v>
      </c>
      <c r="F21" s="615"/>
      <c r="G21" s="615"/>
      <c r="H21" s="3149">
        <v>359.36525935671267</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3104.4552540351287</v>
      </c>
      <c r="I22" s="3046">
        <f>IF(SUM(I23:I26,I30,I33:I35,I47)=0,"IE",SUM(I23:I26,I30,I33:I35,I47))</f>
        <v>0.43359999999999999</v>
      </c>
      <c r="J22" s="3046">
        <f>IF(SUM(J23:J26,J30,J33:J35,J47)=0,"IE",SUM(J23:J26,J30,J33:J35,J47))</f>
        <v>5.5046915439456097</v>
      </c>
      <c r="K22" s="3046">
        <f>IF(SUM(K23:K26,K30,K33:K35,K47)=0,"NO",SUM(K23:K26,K30,K33:K35,K47))</f>
        <v>-316.374596</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1989.9362900000001</v>
      </c>
      <c r="E23" s="1938">
        <f>IF(SUM($D23)=0,"NA",(H23-K23)/$D23)</f>
        <v>1.3554188195570727</v>
      </c>
      <c r="F23" s="1938" t="str">
        <f>IFERROR(IF(SUM($D23)=0,"NA",I23/$D23),"NA")</f>
        <v>NA</v>
      </c>
      <c r="G23" s="1938" t="str">
        <f>IFERROR(IF(SUM($D23)=0,"NA",J23/$D23),"NA")</f>
        <v>NA</v>
      </c>
      <c r="H23" s="699">
        <v>2380.8225011855807</v>
      </c>
      <c r="I23" s="699" t="s">
        <v>199</v>
      </c>
      <c r="J23" s="699" t="s">
        <v>199</v>
      </c>
      <c r="K23" s="3149">
        <v>-316.374596</v>
      </c>
      <c r="L23" s="699" t="s">
        <v>199</v>
      </c>
      <c r="M23" s="699" t="s">
        <v>199</v>
      </c>
      <c r="N23" s="2921" t="s">
        <v>199</v>
      </c>
    </row>
    <row r="24" spans="2:14" ht="18" customHeight="1" x14ac:dyDescent="0.2">
      <c r="B24" s="286" t="s">
        <v>766</v>
      </c>
      <c r="C24" s="474" t="s">
        <v>349</v>
      </c>
      <c r="D24" s="699">
        <v>1908.295789</v>
      </c>
      <c r="E24" s="2135"/>
      <c r="F24" s="2135"/>
      <c r="G24" s="1938">
        <f>IF(SUM($D24)=0,"NA",J24/$D24)</f>
        <v>2.884611272359523E-3</v>
      </c>
      <c r="H24" s="2135"/>
      <c r="I24" s="2135"/>
      <c r="J24" s="699">
        <v>5.5046915439456097</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704.30671417274993</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0.43359999999999999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0.43359999999999999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0.43359999999999999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0.43359999999999999</v>
      </c>
      <c r="J46" s="615"/>
      <c r="K46" s="699" t="s">
        <v>199</v>
      </c>
      <c r="L46" s="699" t="s">
        <v>199</v>
      </c>
      <c r="M46" s="699" t="s">
        <v>199</v>
      </c>
      <c r="N46" s="1842"/>
    </row>
    <row r="47" spans="2:16" ht="18" customHeight="1" x14ac:dyDescent="0.2">
      <c r="B47" s="286" t="s">
        <v>787</v>
      </c>
      <c r="C47" s="2131"/>
      <c r="D47" s="615"/>
      <c r="E47" s="615"/>
      <c r="F47" s="615"/>
      <c r="G47" s="615"/>
      <c r="H47" s="3167">
        <f>H50</f>
        <v>19.326038676798056</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19.326038676798056</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19.326038676798056</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10297.766614924123</v>
      </c>
      <c r="I52" s="3161">
        <f>IF(SUM(I53,I62:I67)=0,"IE",SUM(I53,I62:I67))</f>
        <v>2.4997302277832136</v>
      </c>
      <c r="J52" s="1934">
        <f>J67</f>
        <v>5.4627805321978577E-2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1577.5521000000001</v>
      </c>
      <c r="E63" s="4121">
        <f>IF(SUM($D63)=0,"NA",H63/$D63)</f>
        <v>1.4504358393430186</v>
      </c>
      <c r="F63" s="1917"/>
      <c r="G63" s="2134"/>
      <c r="H63" s="699">
        <v>2288.1381042708417</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8009.6285106532814</v>
      </c>
      <c r="I67" s="3168">
        <f t="shared" ref="I67:N67" si="8">IF(SUM(I69:I70)=0,I70,SUM(I69:I70))</f>
        <v>2.4997302277832136</v>
      </c>
      <c r="J67" s="3168">
        <f t="shared" si="8"/>
        <v>5.4627805321978577E-2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8009.6285106532814</v>
      </c>
      <c r="I70" s="3074">
        <f t="shared" si="9"/>
        <v>2.4997302277832136</v>
      </c>
      <c r="J70" s="3074">
        <f t="shared" si="9"/>
        <v>5.4627805321978577E-2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8009.6285106532814</v>
      </c>
      <c r="I71" s="3101">
        <v>2.4997302277832136</v>
      </c>
      <c r="J71" s="3101">
        <v>5.4627805321978577E-2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162.71317983</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302.62886597938149</v>
      </c>
      <c r="E73" s="4121">
        <f t="shared" ref="E73:G74" si="11">IF(SUM($D73)=0,"NA",H73/$D73)</f>
        <v>0.53766576199999994</v>
      </c>
      <c r="F73" s="276" t="s">
        <v>205</v>
      </c>
      <c r="G73" s="276" t="s">
        <v>205</v>
      </c>
      <c r="H73" s="3100">
        <v>162.71317983</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225.77854781948912</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225.77854781948912</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1" t="s">
        <v>837</v>
      </c>
      <c r="C135" s="4492"/>
      <c r="D135" s="4492"/>
      <c r="E135" s="4492"/>
      <c r="F135" s="4492"/>
      <c r="G135" s="4492"/>
      <c r="H135" s="4492"/>
      <c r="I135" s="4492"/>
      <c r="J135" s="4492"/>
      <c r="K135" s="4492"/>
      <c r="L135" s="4492"/>
      <c r="M135" s="4492"/>
      <c r="N135" s="4493"/>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20"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37.027927112633002</v>
      </c>
      <c r="H22" s="2628" t="str">
        <f>H23</f>
        <v>NO</v>
      </c>
    </row>
    <row r="23" spans="2:8" ht="18" customHeight="1" x14ac:dyDescent="0.2">
      <c r="B23" s="169" t="s">
        <v>857</v>
      </c>
      <c r="C23" s="2523"/>
      <c r="D23" s="76"/>
      <c r="E23" s="76"/>
      <c r="F23" s="1829"/>
      <c r="G23" s="3157">
        <f>IF(SUM(G24,G27)=0,"NO",SUM(G24,G27))</f>
        <v>37.027927112633002</v>
      </c>
      <c r="H23" s="2628" t="str">
        <f>H24</f>
        <v>NO</v>
      </c>
    </row>
    <row r="24" spans="2:8" ht="18" customHeight="1" x14ac:dyDescent="0.2">
      <c r="B24" s="171" t="s">
        <v>858</v>
      </c>
      <c r="C24" s="2523"/>
      <c r="D24" s="76"/>
      <c r="E24" s="76"/>
      <c r="F24" s="1829"/>
      <c r="G24" s="3157">
        <f>IF(SUM(G25:G26)=0,"NO",SUM(G25:G26))</f>
        <v>37.027927112633002</v>
      </c>
      <c r="H24" s="2628" t="str">
        <f>H25</f>
        <v>NO</v>
      </c>
    </row>
    <row r="25" spans="2:8" ht="18" customHeight="1" x14ac:dyDescent="0.25">
      <c r="B25" s="2626" t="s">
        <v>859</v>
      </c>
      <c r="C25" s="2638" t="s">
        <v>859</v>
      </c>
      <c r="D25" s="73" t="s">
        <v>860</v>
      </c>
      <c r="E25" s="699">
        <v>1577552.1</v>
      </c>
      <c r="F25" s="4135">
        <f>IF(SUM(E25)=0,"NA",G25*1000/E25)</f>
        <v>1.6950197083522561E-2</v>
      </c>
      <c r="G25" s="699">
        <v>26.739819004524893</v>
      </c>
      <c r="H25" s="2627" t="s">
        <v>199</v>
      </c>
    </row>
    <row r="26" spans="2:8" ht="18" customHeight="1" x14ac:dyDescent="0.25">
      <c r="B26" s="2626" t="s">
        <v>861</v>
      </c>
      <c r="C26" s="2638" t="s">
        <v>861</v>
      </c>
      <c r="D26" s="73" t="s">
        <v>860</v>
      </c>
      <c r="E26" s="699">
        <v>1577552.1</v>
      </c>
      <c r="F26" s="4135">
        <f>IF(SUM(E26)=0,"NA",G26*1000/E26)</f>
        <v>6.5215647128916412E-3</v>
      </c>
      <c r="G26" s="699">
        <v>10.288108108108107</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162"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50.542097736749938</v>
      </c>
      <c r="K10" s="3191">
        <f>IF(SUM(K11,K90,K117,K130,K146,K159)=0,"NO",SUM(K11,K90,K117,K130,K146,K159))</f>
        <v>3723.2124132838198</v>
      </c>
      <c r="L10" s="3192">
        <f>IF(SUM(L11,L90,L117,L130,L146,L159)=0,"NO",SUM(L11,L90,L117,L130,L146,L159))</f>
        <v>2084.8547803143042</v>
      </c>
      <c r="M10" s="3462">
        <f>IF(SUM(M11,M90,M117,M130,M146,M159)=0,"NO",SUM(M11,M90,M117,M130,M146,M159))</f>
        <v>-478.96558989225559</v>
      </c>
    </row>
    <row r="11" spans="1:13" ht="18" customHeight="1" x14ac:dyDescent="0.2">
      <c r="B11" s="147" t="s">
        <v>888</v>
      </c>
      <c r="C11" s="2524"/>
      <c r="D11" s="150"/>
      <c r="E11" s="150"/>
      <c r="F11" s="150"/>
      <c r="G11" s="150"/>
      <c r="H11" s="150"/>
      <c r="I11" s="150"/>
      <c r="J11" s="3081">
        <f>IF(SUM(J12,J25,J38,J51,J64,J77)=0,"NO",SUM(J12,J25,J38,J51,J64,J77))</f>
        <v>26.139909387825845</v>
      </c>
      <c r="K11" s="3081">
        <f t="shared" ref="K11:M11" si="0">IF(SUM(K12,K25,K38,K51,K64,K77)=0,"NO",SUM(K12,K25,K38,K51,K64,K77))</f>
        <v>3533.234971254331</v>
      </c>
      <c r="L11" s="3081">
        <f t="shared" si="0"/>
        <v>2006.2006987637321</v>
      </c>
      <c r="M11" s="3193">
        <f t="shared" si="0"/>
        <v>-461.97363452919524</v>
      </c>
    </row>
    <row r="12" spans="1:13" ht="18" customHeight="1" x14ac:dyDescent="0.2">
      <c r="B12" s="104" t="s">
        <v>889</v>
      </c>
      <c r="C12" s="2524"/>
      <c r="D12" s="150"/>
      <c r="E12" s="150"/>
      <c r="F12" s="150"/>
      <c r="G12" s="150"/>
      <c r="H12" s="150"/>
      <c r="I12" s="150"/>
      <c r="J12" s="3081">
        <f>IF(SUM(J13:J24)=0,"NO",SUM(J13:J24))</f>
        <v>20.348351557810009</v>
      </c>
      <c r="K12" s="3081">
        <f>IF(SUM(K13:K24)=0,"NO",SUM(K13:K24))</f>
        <v>2225.968840128276</v>
      </c>
      <c r="L12" s="3081">
        <f>IF(SUM(L13:L24)=0,"NO",SUM(L13:L24))</f>
        <v>799.62325338649305</v>
      </c>
      <c r="M12" s="3193">
        <f>IF(SUM(M13:M24)=0,"NO",SUM(M13:M24))</f>
        <v>-192.66162652481037</v>
      </c>
    </row>
    <row r="13" spans="1:13" ht="18" customHeight="1" x14ac:dyDescent="0.2">
      <c r="B13" s="2634" t="s">
        <v>671</v>
      </c>
      <c r="C13" s="2636" t="s">
        <v>671</v>
      </c>
      <c r="D13" s="3160">
        <v>12.241530075941547</v>
      </c>
      <c r="E13" s="3160">
        <v>166.97848166444095</v>
      </c>
      <c r="F13" s="3160">
        <v>10.472300921196668</v>
      </c>
      <c r="G13" s="3668">
        <f>IF(SUM(D13)=0,"NA",J13/D13)</f>
        <v>1.7499999999999998E-2</v>
      </c>
      <c r="H13" s="3081">
        <f>IF(SUM(E13)=0,"NA",K13/E13)</f>
        <v>0.14034698690119818</v>
      </c>
      <c r="I13" s="3081">
        <f>IF(SUM(F13)=0,"NA",L13/F13)</f>
        <v>0.80509398575440494</v>
      </c>
      <c r="J13" s="3194">
        <v>0.21422677632897708</v>
      </c>
      <c r="K13" s="3194">
        <v>23.434926778941254</v>
      </c>
      <c r="L13" s="3194">
        <v>8.4311864886657517</v>
      </c>
      <c r="M13" s="3460">
        <v>-2.0411144325309105</v>
      </c>
    </row>
    <row r="14" spans="1:13" ht="18" customHeight="1" x14ac:dyDescent="0.2">
      <c r="B14" s="2634" t="s">
        <v>672</v>
      </c>
      <c r="C14" s="2636" t="s">
        <v>672</v>
      </c>
      <c r="D14" s="3160">
        <v>94.434660585834806</v>
      </c>
      <c r="E14" s="3160">
        <v>1288.1197156971159</v>
      </c>
      <c r="F14" s="3160">
        <v>80.786321392088595</v>
      </c>
      <c r="G14" s="3668">
        <f t="shared" ref="G14:G24" si="1">IF(SUM(D14)=0,"NA",J14/D14)</f>
        <v>1.7500000000000002E-2</v>
      </c>
      <c r="H14" s="3081">
        <f t="shared" ref="H14:H24" si="2">IF(SUM(E14)=0,"NA",K14/E14)</f>
        <v>0.14034698690119821</v>
      </c>
      <c r="I14" s="3081">
        <f t="shared" ref="I14:I24" si="3">IF(SUM(F14)=0,"NA",L14/F14)</f>
        <v>0.80509398575440527</v>
      </c>
      <c r="J14" s="3194">
        <v>1.6526065602521092</v>
      </c>
      <c r="K14" s="3194">
        <v>180.78372086611827</v>
      </c>
      <c r="L14" s="3194">
        <v>65.04058148399298</v>
      </c>
      <c r="M14" s="3460">
        <v>-15.745739908095596</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215.53836883711364</v>
      </c>
      <c r="E16" s="3160">
        <v>2940.0139807346209</v>
      </c>
      <c r="F16" s="3160">
        <v>184.38729836249848</v>
      </c>
      <c r="G16" s="3668">
        <f t="shared" si="1"/>
        <v>1.7500000000000005E-2</v>
      </c>
      <c r="H16" s="3081">
        <f t="shared" si="2"/>
        <v>0.14034698690119818</v>
      </c>
      <c r="I16" s="3081">
        <f t="shared" si="3"/>
        <v>0.80509398575440561</v>
      </c>
      <c r="J16" s="3194">
        <v>3.7719214546494895</v>
      </c>
      <c r="K16" s="3194">
        <v>412.62210364350136</v>
      </c>
      <c r="L16" s="3194">
        <v>148.44910496115068</v>
      </c>
      <c r="M16" s="3460">
        <v>-35.938193401347817</v>
      </c>
    </row>
    <row r="17" spans="2:13" ht="18" customHeight="1" x14ac:dyDescent="0.2">
      <c r="B17" s="2634" t="s">
        <v>676</v>
      </c>
      <c r="C17" s="2636" t="s">
        <v>676</v>
      </c>
      <c r="D17" s="3160">
        <v>1.1291814542614889</v>
      </c>
      <c r="E17" s="3160">
        <v>15.402405057745749</v>
      </c>
      <c r="F17" s="3160">
        <v>0.96598447337076565</v>
      </c>
      <c r="G17" s="3668">
        <f t="shared" si="1"/>
        <v>1.7500000000000002E-2</v>
      </c>
      <c r="H17" s="3081">
        <f t="shared" si="2"/>
        <v>0.14034698690119818</v>
      </c>
      <c r="I17" s="3081">
        <f t="shared" si="3"/>
        <v>0.80509398575440538</v>
      </c>
      <c r="J17" s="3194">
        <v>1.9760675449576059E-2</v>
      </c>
      <c r="K17" s="3194">
        <v>2.1616811408863912</v>
      </c>
      <c r="L17" s="3194">
        <v>0.77770828984293994</v>
      </c>
      <c r="M17" s="3460">
        <v>-0.18827618352782557</v>
      </c>
    </row>
    <row r="18" spans="2:13" ht="18" customHeight="1" x14ac:dyDescent="0.2">
      <c r="B18" s="2634" t="s">
        <v>677</v>
      </c>
      <c r="C18" s="2636" t="s">
        <v>677</v>
      </c>
      <c r="D18" s="3160">
        <v>619.07166384047264</v>
      </c>
      <c r="E18" s="3160">
        <v>8444.3403584588705</v>
      </c>
      <c r="F18" s="3160">
        <v>529.599218014803</v>
      </c>
      <c r="G18" s="3668">
        <f t="shared" si="1"/>
        <v>1.7500000000000002E-2</v>
      </c>
      <c r="H18" s="3081">
        <f t="shared" si="2"/>
        <v>0.14034698690119821</v>
      </c>
      <c r="I18" s="3081">
        <f t="shared" si="3"/>
        <v>0.80509398575440527</v>
      </c>
      <c r="J18" s="3194">
        <v>10.833754117208272</v>
      </c>
      <c r="K18" s="3194">
        <v>1185.1377256778865</v>
      </c>
      <c r="L18" s="3194">
        <v>426.37714528395395</v>
      </c>
      <c r="M18" s="3460">
        <v>-103.22207273084891</v>
      </c>
    </row>
    <row r="19" spans="2:13" ht="18" customHeight="1" x14ac:dyDescent="0.2">
      <c r="B19" s="2634" t="s">
        <v>679</v>
      </c>
      <c r="C19" s="2636" t="s">
        <v>679</v>
      </c>
      <c r="D19" s="3160">
        <v>144.27517589502537</v>
      </c>
      <c r="E19" s="3160">
        <v>1967.9606767594823</v>
      </c>
      <c r="F19" s="3160">
        <v>123.42354657124642</v>
      </c>
      <c r="G19" s="3668">
        <f t="shared" si="1"/>
        <v>1.7500000000000002E-2</v>
      </c>
      <c r="H19" s="3081">
        <f t="shared" si="2"/>
        <v>0.14034698690119818</v>
      </c>
      <c r="I19" s="3081">
        <f t="shared" si="3"/>
        <v>0.80509398575440549</v>
      </c>
      <c r="J19" s="3194">
        <v>2.524815578162944</v>
      </c>
      <c r="K19" s="3194">
        <v>276.19735132323615</v>
      </c>
      <c r="L19" s="3194">
        <v>99.367555044989274</v>
      </c>
      <c r="M19" s="3460">
        <v>-24.055991526257159</v>
      </c>
    </row>
    <row r="20" spans="2:13" ht="18" customHeight="1" x14ac:dyDescent="0.2">
      <c r="B20" s="2634" t="s">
        <v>681</v>
      </c>
      <c r="C20" s="2636" t="s">
        <v>681</v>
      </c>
      <c r="D20" s="3160">
        <v>26.231850162731888</v>
      </c>
      <c r="E20" s="3160">
        <v>357.81103213808774</v>
      </c>
      <c r="F20" s="3160">
        <v>22.440644831135721</v>
      </c>
      <c r="G20" s="3668">
        <f t="shared" si="1"/>
        <v>1.7500000000000002E-2</v>
      </c>
      <c r="H20" s="3081">
        <f t="shared" si="2"/>
        <v>0.14034698690119818</v>
      </c>
      <c r="I20" s="3081">
        <f t="shared" si="3"/>
        <v>0.78388195126177385</v>
      </c>
      <c r="J20" s="3194">
        <v>0.45905737784780809</v>
      </c>
      <c r="K20" s="3194">
        <v>50.2177002405884</v>
      </c>
      <c r="L20" s="3194">
        <v>17.590816457803108</v>
      </c>
      <c r="M20" s="3460">
        <v>-3.8978049089427342</v>
      </c>
    </row>
    <row r="21" spans="2:13" ht="18" customHeight="1" x14ac:dyDescent="0.2">
      <c r="B21" s="2634" t="s">
        <v>683</v>
      </c>
      <c r="C21" s="2636" t="s">
        <v>683</v>
      </c>
      <c r="D21" s="3160">
        <v>7.8695550488195662</v>
      </c>
      <c r="E21" s="3160">
        <v>107.34330964142632</v>
      </c>
      <c r="F21" s="3160">
        <v>6.7321934493407163</v>
      </c>
      <c r="G21" s="3668">
        <f t="shared" si="1"/>
        <v>1.7500000000000002E-2</v>
      </c>
      <c r="H21" s="3081">
        <f t="shared" si="2"/>
        <v>0.14034698690119821</v>
      </c>
      <c r="I21" s="3081">
        <f t="shared" si="3"/>
        <v>0.80509398575440505</v>
      </c>
      <c r="J21" s="3194">
        <v>0.13771721335434242</v>
      </c>
      <c r="K21" s="3194">
        <v>15.065310072176521</v>
      </c>
      <c r="L21" s="3194">
        <v>5.4200484569994138</v>
      </c>
      <c r="M21" s="3460">
        <v>-1.3121449923412998</v>
      </c>
    </row>
    <row r="22" spans="2:13" ht="18" customHeight="1" x14ac:dyDescent="0.2">
      <c r="B22" s="2634" t="s">
        <v>686</v>
      </c>
      <c r="C22" s="2636" t="s">
        <v>686</v>
      </c>
      <c r="D22" s="3160">
        <v>1.3115925081365942</v>
      </c>
      <c r="E22" s="3160">
        <v>16.829519203214858</v>
      </c>
      <c r="F22" s="3160">
        <v>1.1220322415567858</v>
      </c>
      <c r="G22" s="3668">
        <f t="shared" si="1"/>
        <v>1.7500000000000002E-2</v>
      </c>
      <c r="H22" s="3081">
        <f t="shared" si="2"/>
        <v>0.14919529082861607</v>
      </c>
      <c r="I22" s="3081">
        <f t="shared" si="3"/>
        <v>0.80509398575440549</v>
      </c>
      <c r="J22" s="3194">
        <v>2.2952868892390399E-2</v>
      </c>
      <c r="K22" s="3194">
        <v>2.5108850120294197</v>
      </c>
      <c r="L22" s="3194">
        <v>0.9033414094999026</v>
      </c>
      <c r="M22" s="3460">
        <v>-0.21869083205688325</v>
      </c>
    </row>
    <row r="23" spans="2:13" ht="18" customHeight="1" x14ac:dyDescent="0.2">
      <c r="B23" s="2634" t="s">
        <v>688</v>
      </c>
      <c r="C23" s="2636" t="s">
        <v>688</v>
      </c>
      <c r="D23" s="3160">
        <v>24.0458626491709</v>
      </c>
      <c r="E23" s="3160">
        <v>327.99344612658047</v>
      </c>
      <c r="F23" s="3160">
        <v>20.570591095207742</v>
      </c>
      <c r="G23" s="3668">
        <f t="shared" si="1"/>
        <v>1.7499999999999998E-2</v>
      </c>
      <c r="H23" s="3081">
        <f t="shared" si="2"/>
        <v>0.14034698690119815</v>
      </c>
      <c r="I23" s="3081">
        <f t="shared" si="3"/>
        <v>0.7838819512617744</v>
      </c>
      <c r="J23" s="3194">
        <v>0.42080259636049067</v>
      </c>
      <c r="K23" s="3194">
        <v>46.032891887206034</v>
      </c>
      <c r="L23" s="3194">
        <v>16.124915086319525</v>
      </c>
      <c r="M23" s="3460">
        <v>-3.5729878331975065</v>
      </c>
    </row>
    <row r="24" spans="2:13" ht="18" customHeight="1" x14ac:dyDescent="0.2">
      <c r="B24" s="2634" t="s">
        <v>689</v>
      </c>
      <c r="C24" s="2636" t="s">
        <v>689</v>
      </c>
      <c r="D24" s="3160">
        <v>16.613505103063527</v>
      </c>
      <c r="E24" s="3160">
        <v>226.61365368745555</v>
      </c>
      <c r="F24" s="3160">
        <v>14.21240839305262</v>
      </c>
      <c r="G24" s="3668">
        <f t="shared" si="1"/>
        <v>1.7499999999999998E-2</v>
      </c>
      <c r="H24" s="3081">
        <f t="shared" si="2"/>
        <v>0.14034698690119818</v>
      </c>
      <c r="I24" s="3081">
        <f t="shared" si="3"/>
        <v>0.78388195126177418</v>
      </c>
      <c r="J24" s="3194">
        <v>0.2907363393036117</v>
      </c>
      <c r="K24" s="3194">
        <v>31.804543485705985</v>
      </c>
      <c r="L24" s="3194">
        <v>11.140850423275303</v>
      </c>
      <c r="M24" s="3460">
        <v>-2.4686097756637313</v>
      </c>
    </row>
    <row r="25" spans="2:13" ht="18" customHeight="1" x14ac:dyDescent="0.2">
      <c r="B25" s="105" t="s">
        <v>890</v>
      </c>
      <c r="C25" s="2524"/>
      <c r="D25" s="150"/>
      <c r="E25" s="150"/>
      <c r="F25" s="150"/>
      <c r="G25" s="3669"/>
      <c r="H25" s="2135"/>
      <c r="I25" s="2135"/>
      <c r="J25" s="3081" t="str">
        <f>IF(SUM(J26:J37)=0,"NO",SUM(J26:J37))</f>
        <v>NO</v>
      </c>
      <c r="K25" s="3081">
        <f>IF(SUM(K26:K37)=0,"NO",SUM(K26:K37))</f>
        <v>10.319173225304308</v>
      </c>
      <c r="L25" s="3081">
        <f>IF(SUM(L26:L37)=0,"NO",SUM(L26:L37))</f>
        <v>49.232309352603757</v>
      </c>
      <c r="M25" s="3193">
        <f>IF(SUM(M26:M37)=0,"NO",SUM(M26:M37))</f>
        <v>-9.6738947890044553</v>
      </c>
    </row>
    <row r="26" spans="2:13" ht="18" customHeight="1" x14ac:dyDescent="0.2">
      <c r="B26" s="2634" t="s">
        <v>671</v>
      </c>
      <c r="C26" s="2636" t="s">
        <v>671</v>
      </c>
      <c r="D26" s="3461" t="s">
        <v>199</v>
      </c>
      <c r="E26" s="3461">
        <v>5.8028227188633252</v>
      </c>
      <c r="F26" s="3461">
        <v>0.6201625808941702</v>
      </c>
      <c r="G26" s="3668" t="str">
        <f>IF(SUM(D26)=0,"NA",J26/D26)</f>
        <v>NA</v>
      </c>
      <c r="H26" s="3081">
        <f>IF(SUM(E26)=0,"NA",K26/E26)</f>
        <v>1.8721908591280048E-2</v>
      </c>
      <c r="I26" s="3081">
        <f>IF(SUM(F26)=0,"NA",L26/F26)</f>
        <v>0.83577460252321134</v>
      </c>
      <c r="J26" s="3194" t="s">
        <v>199</v>
      </c>
      <c r="K26" s="3194">
        <v>0.10863991651396233</v>
      </c>
      <c r="L26" s="3194">
        <v>0.51831613454659398</v>
      </c>
      <c r="M26" s="3460">
        <v>-0.10184644634757614</v>
      </c>
    </row>
    <row r="27" spans="2:13" ht="18" customHeight="1" x14ac:dyDescent="0.2">
      <c r="B27" s="2634" t="s">
        <v>672</v>
      </c>
      <c r="C27" s="2636" t="s">
        <v>672</v>
      </c>
      <c r="D27" s="3461" t="s">
        <v>199</v>
      </c>
      <c r="E27" s="3461">
        <v>44.764632402659942</v>
      </c>
      <c r="F27" s="3461">
        <v>4.7841113383264569</v>
      </c>
      <c r="G27" s="3668" t="str">
        <f t="shared" ref="G27:G37" si="7">IF(SUM(D27)=0,"NA",J27/D27)</f>
        <v>NA</v>
      </c>
      <c r="H27" s="3081">
        <f t="shared" ref="H27:H37" si="8">IF(SUM(E27)=0,"NA",K27/E27)</f>
        <v>1.8721908591280052E-2</v>
      </c>
      <c r="I27" s="3081">
        <f t="shared" ref="I27:I37" si="9">IF(SUM(F27)=0,"NA",L27/F27)</f>
        <v>0.83577460252321123</v>
      </c>
      <c r="J27" s="3194" t="s">
        <v>199</v>
      </c>
      <c r="K27" s="3194">
        <v>0.8380793559648525</v>
      </c>
      <c r="L27" s="3194">
        <v>3.9984387522165825</v>
      </c>
      <c r="M27" s="3460">
        <v>-0.78567258610987323</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v>102.1711285857007</v>
      </c>
      <c r="F29" s="3461">
        <v>10.919291156458067</v>
      </c>
      <c r="G29" s="3668" t="str">
        <f t="shared" si="7"/>
        <v>NA</v>
      </c>
      <c r="H29" s="3081">
        <f t="shared" si="8"/>
        <v>1.8721908591280045E-2</v>
      </c>
      <c r="I29" s="3081">
        <f t="shared" si="9"/>
        <v>0.83577460252321156</v>
      </c>
      <c r="J29" s="3194" t="s">
        <v>199</v>
      </c>
      <c r="K29" s="3194">
        <v>1.9128385300494082</v>
      </c>
      <c r="L29" s="3194">
        <v>9.1260662261239602</v>
      </c>
      <c r="M29" s="3460">
        <v>-1.7932249303341086</v>
      </c>
    </row>
    <row r="30" spans="2:13" ht="18" customHeight="1" x14ac:dyDescent="0.2">
      <c r="B30" s="2634" t="s">
        <v>676</v>
      </c>
      <c r="C30" s="2636" t="s">
        <v>676</v>
      </c>
      <c r="D30" s="3461" t="s">
        <v>199</v>
      </c>
      <c r="E30" s="3461">
        <v>0.53526313752112575</v>
      </c>
      <c r="F30" s="3461">
        <v>5.7204947472121966E-2</v>
      </c>
      <c r="G30" s="3668" t="str">
        <f t="shared" si="7"/>
        <v>NA</v>
      </c>
      <c r="H30" s="3081">
        <f t="shared" si="8"/>
        <v>1.8721908591280045E-2</v>
      </c>
      <c r="I30" s="3081">
        <f t="shared" si="9"/>
        <v>0.83577460252321145</v>
      </c>
      <c r="J30" s="3194" t="s">
        <v>199</v>
      </c>
      <c r="K30" s="3194">
        <v>1.0021147532952277E-2</v>
      </c>
      <c r="L30" s="3194">
        <v>4.7810442235873926E-2</v>
      </c>
      <c r="M30" s="3460">
        <v>-9.3945052362480429E-3</v>
      </c>
    </row>
    <row r="31" spans="2:13" ht="18" customHeight="1" x14ac:dyDescent="0.2">
      <c r="B31" s="2634" t="s">
        <v>677</v>
      </c>
      <c r="C31" s="2636" t="s">
        <v>677</v>
      </c>
      <c r="D31" s="3461" t="s">
        <v>199</v>
      </c>
      <c r="E31" s="3461">
        <v>293.45703463965964</v>
      </c>
      <c r="F31" s="3461">
        <v>31.362507662362329</v>
      </c>
      <c r="G31" s="3668" t="str">
        <f t="shared" si="7"/>
        <v>NA</v>
      </c>
      <c r="H31" s="3081">
        <f t="shared" si="8"/>
        <v>1.8721908591280048E-2</v>
      </c>
      <c r="I31" s="3081">
        <f t="shared" si="9"/>
        <v>0.83577460252321134</v>
      </c>
      <c r="J31" s="3194" t="s">
        <v>199</v>
      </c>
      <c r="K31" s="3194">
        <v>5.4940757779918101</v>
      </c>
      <c r="L31" s="3194">
        <v>26.211987375642046</v>
      </c>
      <c r="M31" s="3460">
        <v>-5.1505202867202806</v>
      </c>
    </row>
    <row r="32" spans="2:13" ht="18" customHeight="1" x14ac:dyDescent="0.2">
      <c r="B32" s="2634" t="s">
        <v>679</v>
      </c>
      <c r="C32" s="2636" t="s">
        <v>679</v>
      </c>
      <c r="D32" s="3461" t="s">
        <v>199</v>
      </c>
      <c r="E32" s="3461">
        <v>68.3904106151749</v>
      </c>
      <c r="F32" s="3461">
        <v>7.3090589891098627</v>
      </c>
      <c r="G32" s="3668" t="str">
        <f t="shared" si="7"/>
        <v>NA</v>
      </c>
      <c r="H32" s="3081">
        <f t="shared" si="8"/>
        <v>1.8721908591280048E-2</v>
      </c>
      <c r="I32" s="3081">
        <f t="shared" si="9"/>
        <v>0.83577460252321134</v>
      </c>
      <c r="J32" s="3194" t="s">
        <v>199</v>
      </c>
      <c r="K32" s="3194">
        <v>1.2803990160574132</v>
      </c>
      <c r="L32" s="3194">
        <v>6.1087258714420001</v>
      </c>
      <c r="M32" s="3460">
        <v>-1.2003331176678618</v>
      </c>
    </row>
    <row r="33" spans="2:13" ht="18" customHeight="1" x14ac:dyDescent="0.2">
      <c r="B33" s="2634" t="s">
        <v>681</v>
      </c>
      <c r="C33" s="2636" t="s">
        <v>681</v>
      </c>
      <c r="D33" s="3461" t="s">
        <v>199</v>
      </c>
      <c r="E33" s="3461">
        <v>12.434620111849984</v>
      </c>
      <c r="F33" s="3461">
        <v>1.3289198162017934</v>
      </c>
      <c r="G33" s="3668" t="str">
        <f t="shared" si="7"/>
        <v>NA</v>
      </c>
      <c r="H33" s="3081">
        <f t="shared" si="8"/>
        <v>1.8721908591280045E-2</v>
      </c>
      <c r="I33" s="3081">
        <f t="shared" si="9"/>
        <v>0.83577460252321123</v>
      </c>
      <c r="J33" s="3194" t="s">
        <v>199</v>
      </c>
      <c r="K33" s="3194">
        <v>0.23279982110134786</v>
      </c>
      <c r="L33" s="3194">
        <v>1.1106774311712728</v>
      </c>
      <c r="M33" s="3460">
        <v>-0.21824238503052035</v>
      </c>
    </row>
    <row r="34" spans="2:13" ht="18" customHeight="1" x14ac:dyDescent="0.2">
      <c r="B34" s="2634" t="s">
        <v>683</v>
      </c>
      <c r="C34" s="2636" t="s">
        <v>683</v>
      </c>
      <c r="D34" s="3461" t="s">
        <v>199</v>
      </c>
      <c r="E34" s="3461">
        <v>3.730386033554995</v>
      </c>
      <c r="F34" s="3461">
        <v>0.39867594486053798</v>
      </c>
      <c r="G34" s="3668" t="str">
        <f t="shared" si="7"/>
        <v>NA</v>
      </c>
      <c r="H34" s="3081">
        <f t="shared" si="8"/>
        <v>1.8721908591280048E-2</v>
      </c>
      <c r="I34" s="3081">
        <f t="shared" si="9"/>
        <v>0.83577460252321167</v>
      </c>
      <c r="J34" s="3194" t="s">
        <v>199</v>
      </c>
      <c r="K34" s="3194">
        <v>6.9839946330404357E-2</v>
      </c>
      <c r="L34" s="3194">
        <v>0.33320322935138197</v>
      </c>
      <c r="M34" s="3460">
        <v>-6.5472715509156107E-2</v>
      </c>
    </row>
    <row r="35" spans="2:13" ht="18" customHeight="1" x14ac:dyDescent="0.2">
      <c r="B35" s="2634" t="s">
        <v>686</v>
      </c>
      <c r="C35" s="2636" t="s">
        <v>686</v>
      </c>
      <c r="D35" s="3461" t="s">
        <v>199</v>
      </c>
      <c r="E35" s="3461">
        <v>0.62173100559249905</v>
      </c>
      <c r="F35" s="3461">
        <v>6.6445990810089672E-2</v>
      </c>
      <c r="G35" s="3668" t="str">
        <f t="shared" si="7"/>
        <v>NA</v>
      </c>
      <c r="H35" s="3081">
        <f t="shared" si="8"/>
        <v>1.8721908591280052E-2</v>
      </c>
      <c r="I35" s="3081">
        <f t="shared" si="9"/>
        <v>0.83577460252321112</v>
      </c>
      <c r="J35" s="3194" t="s">
        <v>199</v>
      </c>
      <c r="K35" s="3194">
        <v>1.1639991055067394E-2</v>
      </c>
      <c r="L35" s="3194">
        <v>5.5533871558563638E-2</v>
      </c>
      <c r="M35" s="3460">
        <v>-1.0912119251526017E-2</v>
      </c>
    </row>
    <row r="36" spans="2:13" ht="18" customHeight="1" x14ac:dyDescent="0.2">
      <c r="B36" s="2634" t="s">
        <v>688</v>
      </c>
      <c r="C36" s="2636" t="s">
        <v>688</v>
      </c>
      <c r="D36" s="3461" t="s">
        <v>199</v>
      </c>
      <c r="E36" s="3461">
        <v>11.398401769195818</v>
      </c>
      <c r="F36" s="3461">
        <v>1.2181764981849772</v>
      </c>
      <c r="G36" s="3668" t="str">
        <f t="shared" si="7"/>
        <v>NA</v>
      </c>
      <c r="H36" s="3081">
        <f t="shared" si="8"/>
        <v>1.8721908591280052E-2</v>
      </c>
      <c r="I36" s="3081">
        <f t="shared" si="9"/>
        <v>0.83577460252321145</v>
      </c>
      <c r="J36" s="3194" t="s">
        <v>199</v>
      </c>
      <c r="K36" s="3194">
        <v>0.21339983600956891</v>
      </c>
      <c r="L36" s="3194">
        <v>1.0181209785736669</v>
      </c>
      <c r="M36" s="3460">
        <v>-0.20005551961131032</v>
      </c>
    </row>
    <row r="37" spans="2:13" ht="18" customHeight="1" x14ac:dyDescent="0.2">
      <c r="B37" s="2634" t="s">
        <v>689</v>
      </c>
      <c r="C37" s="2636" t="s">
        <v>689</v>
      </c>
      <c r="D37" s="3461" t="s">
        <v>199</v>
      </c>
      <c r="E37" s="3461">
        <v>7.8752594041716559</v>
      </c>
      <c r="F37" s="3461">
        <v>0.84164921692780237</v>
      </c>
      <c r="G37" s="3668" t="str">
        <f t="shared" si="7"/>
        <v>NA</v>
      </c>
      <c r="H37" s="3081">
        <f t="shared" si="8"/>
        <v>1.8721908591280048E-2</v>
      </c>
      <c r="I37" s="3081">
        <f t="shared" si="9"/>
        <v>0.83577460252321145</v>
      </c>
      <c r="J37" s="3194" t="s">
        <v>199</v>
      </c>
      <c r="K37" s="3194">
        <v>0.14743988669752031</v>
      </c>
      <c r="L37" s="3194">
        <v>0.70342903974180615</v>
      </c>
      <c r="M37" s="3460">
        <v>-0.13822017718599622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4.9062929399318254</v>
      </c>
      <c r="K51" s="3081">
        <f>IF(SUM(K52:K63)=0,"NO",SUM(K52:K63))</f>
        <v>159.55608877286051</v>
      </c>
      <c r="L51" s="3081">
        <f>IF(SUM(L52:L63)=0,"NO",SUM(L52:L63))</f>
        <v>94.819148845234878</v>
      </c>
      <c r="M51" s="3193">
        <f>IF(SUM(M52:M63)=0,"NO",SUM(M52:M63))</f>
        <v>-21.73671915122377</v>
      </c>
    </row>
    <row r="52" spans="2:13" ht="18" customHeight="1" x14ac:dyDescent="0.2">
      <c r="B52" s="2634" t="s">
        <v>671</v>
      </c>
      <c r="C52" s="2636" t="s">
        <v>671</v>
      </c>
      <c r="D52" s="3461">
        <v>1.0128096234629431</v>
      </c>
      <c r="E52" s="3461">
        <v>9.1999778823220577</v>
      </c>
      <c r="F52" s="3461">
        <v>1.2270963469531508</v>
      </c>
      <c r="G52" s="3081">
        <f>IF(SUM(D52)=0,"NA",J52/D52)</f>
        <v>5.0999999999999997E-2</v>
      </c>
      <c r="H52" s="3081">
        <f>IF(SUM(E52)=0,"NA",K52/E52)</f>
        <v>0.18258753219967502</v>
      </c>
      <c r="I52" s="3081">
        <f>IF(SUM(F52)=0,"NA",L52/F52)</f>
        <v>0.81350815257208542</v>
      </c>
      <c r="J52" s="3194">
        <v>5.1653290796610095E-2</v>
      </c>
      <c r="K52" s="3194">
        <v>1.6798012578247767</v>
      </c>
      <c r="L52" s="3194">
        <v>0.9982528822378125</v>
      </c>
      <c r="M52" s="3460">
        <v>-0.2288434647153389</v>
      </c>
    </row>
    <row r="53" spans="2:13" ht="18" customHeight="1" x14ac:dyDescent="0.2">
      <c r="B53" s="2634" t="s">
        <v>672</v>
      </c>
      <c r="C53" s="2636" t="s">
        <v>672</v>
      </c>
      <c r="D53" s="3461">
        <v>7.8131028095712773</v>
      </c>
      <c r="E53" s="3461">
        <v>70.971257949341592</v>
      </c>
      <c r="F53" s="3461">
        <v>9.4661718193528799</v>
      </c>
      <c r="G53" s="3081">
        <f t="shared" ref="G53:G63" si="39">IF(SUM(D53)=0,"NA",J53/D53)</f>
        <v>5.099999999999999E-2</v>
      </c>
      <c r="H53" s="3081">
        <f t="shared" ref="H53:H63" si="40">IF(SUM(E53)=0,"NA",K53/E53)</f>
        <v>0.18258753219967502</v>
      </c>
      <c r="I53" s="3081">
        <f t="shared" ref="I53:I63" si="41">IF(SUM(F53)=0,"NA",L53/F53)</f>
        <v>0.81350815257208531</v>
      </c>
      <c r="J53" s="3194">
        <v>0.39846824328813507</v>
      </c>
      <c r="K53" s="3194">
        <v>12.958466846076849</v>
      </c>
      <c r="L53" s="3194">
        <v>7.7008079486916969</v>
      </c>
      <c r="M53" s="3460">
        <v>-1.7653638706611863</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17.832683727401108</v>
      </c>
      <c r="E55" s="3461">
        <v>161.98532485659911</v>
      </c>
      <c r="F55" s="3461">
        <v>21.605660680282263</v>
      </c>
      <c r="G55" s="3081">
        <f t="shared" si="39"/>
        <v>5.099999999999999E-2</v>
      </c>
      <c r="H55" s="3081">
        <f t="shared" si="40"/>
        <v>0.182587532199675</v>
      </c>
      <c r="I55" s="3081">
        <f t="shared" si="41"/>
        <v>0.8135081525720852</v>
      </c>
      <c r="J55" s="3194">
        <v>0.9094668700974563</v>
      </c>
      <c r="K55" s="3194">
        <v>29.576500718129104</v>
      </c>
      <c r="L55" s="3194">
        <v>17.576381105115765</v>
      </c>
      <c r="M55" s="3460">
        <v>-4.0292795751665027</v>
      </c>
    </row>
    <row r="56" spans="2:13" ht="18" customHeight="1" x14ac:dyDescent="0.2">
      <c r="B56" s="2634" t="s">
        <v>676</v>
      </c>
      <c r="C56" s="2636" t="s">
        <v>676</v>
      </c>
      <c r="D56" s="3461">
        <v>9.3423439424418081E-2</v>
      </c>
      <c r="E56" s="3461">
        <v>0.84862303485660773</v>
      </c>
      <c r="F56" s="3461">
        <v>0.11318964451140689</v>
      </c>
      <c r="G56" s="3081">
        <f t="shared" si="39"/>
        <v>5.1000000000000004E-2</v>
      </c>
      <c r="H56" s="3081">
        <f t="shared" si="40"/>
        <v>0.182587532199675</v>
      </c>
      <c r="I56" s="3081">
        <f t="shared" si="41"/>
        <v>0.8135081525720852</v>
      </c>
      <c r="J56" s="3194">
        <v>4.7645954106453224E-3</v>
      </c>
      <c r="K56" s="3194">
        <v>0.15494798570226678</v>
      </c>
      <c r="L56" s="3194">
        <v>9.2080698596765681E-2</v>
      </c>
      <c r="M56" s="3460">
        <v>-2.1108945914641235E-2</v>
      </c>
    </row>
    <row r="57" spans="2:13" ht="18" customHeight="1" x14ac:dyDescent="0.2">
      <c r="B57" s="2634" t="s">
        <v>677</v>
      </c>
      <c r="C57" s="2636" t="s">
        <v>677</v>
      </c>
      <c r="D57" s="3461">
        <v>51.219229529411706</v>
      </c>
      <c r="E57" s="3461">
        <v>465.25602433457271</v>
      </c>
      <c r="F57" s="3461">
        <v>62.056015260202209</v>
      </c>
      <c r="G57" s="3081">
        <f t="shared" si="39"/>
        <v>5.099999999999999E-2</v>
      </c>
      <c r="H57" s="3081">
        <f t="shared" si="40"/>
        <v>0.18258753219967502</v>
      </c>
      <c r="I57" s="3081">
        <f t="shared" si="41"/>
        <v>0.81350815257208531</v>
      </c>
      <c r="J57" s="3194">
        <v>2.6121807059999966</v>
      </c>
      <c r="K57" s="3194">
        <v>84.949949324281576</v>
      </c>
      <c r="L57" s="3194">
        <v>50.483074330312235</v>
      </c>
      <c r="M57" s="3460">
        <v>-11.572940929889999</v>
      </c>
    </row>
    <row r="58" spans="2:13" ht="18" customHeight="1" x14ac:dyDescent="0.2">
      <c r="B58" s="2634" t="s">
        <v>679</v>
      </c>
      <c r="C58" s="2636" t="s">
        <v>679</v>
      </c>
      <c r="D58" s="3461">
        <v>11.936684847956114</v>
      </c>
      <c r="E58" s="3461">
        <v>108.42831075593854</v>
      </c>
      <c r="F58" s="3461">
        <v>14.462206946233565</v>
      </c>
      <c r="G58" s="3081">
        <f t="shared" si="39"/>
        <v>5.0999999999999997E-2</v>
      </c>
      <c r="H58" s="3081">
        <f t="shared" si="40"/>
        <v>0.182587532199675</v>
      </c>
      <c r="I58" s="3081">
        <f t="shared" si="41"/>
        <v>0.81350815257208497</v>
      </c>
      <c r="J58" s="3194">
        <v>0.60877092724576176</v>
      </c>
      <c r="K58" s="3194">
        <v>19.797657681506294</v>
      </c>
      <c r="L58" s="3194">
        <v>11.765123254945642</v>
      </c>
      <c r="M58" s="3460">
        <v>-2.697083691287923</v>
      </c>
    </row>
    <row r="59" spans="2:13" ht="18" customHeight="1" x14ac:dyDescent="0.2">
      <c r="B59" s="2634" t="s">
        <v>681</v>
      </c>
      <c r="C59" s="2636" t="s">
        <v>681</v>
      </c>
      <c r="D59" s="3461">
        <v>2.1703063359920214</v>
      </c>
      <c r="E59" s="3461">
        <v>19.714238319261554</v>
      </c>
      <c r="F59" s="3461">
        <v>2.629492172042466</v>
      </c>
      <c r="G59" s="3081">
        <f t="shared" si="39"/>
        <v>5.099999999999999E-2</v>
      </c>
      <c r="H59" s="3081">
        <f t="shared" si="40"/>
        <v>0.182587532199675</v>
      </c>
      <c r="I59" s="3081">
        <f t="shared" si="41"/>
        <v>0.81350815257208531</v>
      </c>
      <c r="J59" s="3194">
        <v>0.11068562313559306</v>
      </c>
      <c r="K59" s="3194">
        <v>3.5995741239102359</v>
      </c>
      <c r="L59" s="3194">
        <v>2.1391133190810265</v>
      </c>
      <c r="M59" s="3460">
        <v>-0.49037885296144057</v>
      </c>
    </row>
    <row r="60" spans="2:13" ht="18" customHeight="1" x14ac:dyDescent="0.2">
      <c r="B60" s="2634" t="s">
        <v>683</v>
      </c>
      <c r="C60" s="2636" t="s">
        <v>683</v>
      </c>
      <c r="D60" s="3461">
        <v>0.65109190079760637</v>
      </c>
      <c r="E60" s="3461">
        <v>5.9142714957784666</v>
      </c>
      <c r="F60" s="3461">
        <v>0.78884765161273995</v>
      </c>
      <c r="G60" s="3081">
        <f t="shared" si="39"/>
        <v>5.0999999999999997E-2</v>
      </c>
      <c r="H60" s="3081">
        <f t="shared" si="40"/>
        <v>0.18258753219967502</v>
      </c>
      <c r="I60" s="3081">
        <f t="shared" si="41"/>
        <v>0.81350815257208509</v>
      </c>
      <c r="J60" s="3194">
        <v>3.3205686940677923E-2</v>
      </c>
      <c r="K60" s="3194">
        <v>1.0798722371730709</v>
      </c>
      <c r="L60" s="3194">
        <v>0.64173399572430789</v>
      </c>
      <c r="M60" s="3460">
        <v>-0.14711365588843217</v>
      </c>
    </row>
    <row r="61" spans="2:13" ht="18" customHeight="1" x14ac:dyDescent="0.2">
      <c r="B61" s="2634" t="s">
        <v>686</v>
      </c>
      <c r="C61" s="2636" t="s">
        <v>686</v>
      </c>
      <c r="D61" s="3461">
        <v>0.10851531679960105</v>
      </c>
      <c r="E61" s="3461">
        <v>0.98571191596307772</v>
      </c>
      <c r="F61" s="3461">
        <v>0.13147460860212332</v>
      </c>
      <c r="G61" s="3081">
        <f t="shared" si="39"/>
        <v>5.099999999999999E-2</v>
      </c>
      <c r="H61" s="3081">
        <f t="shared" si="40"/>
        <v>0.18258753219967502</v>
      </c>
      <c r="I61" s="3081">
        <f t="shared" si="41"/>
        <v>0.81350815257208497</v>
      </c>
      <c r="J61" s="3194">
        <v>5.5342811567796529E-3</v>
      </c>
      <c r="K61" s="3194">
        <v>0.17997870619551182</v>
      </c>
      <c r="L61" s="3194">
        <v>0.10695566595405129</v>
      </c>
      <c r="M61" s="3460">
        <v>-2.4518942648072025E-2</v>
      </c>
    </row>
    <row r="62" spans="2:13" ht="18" customHeight="1" x14ac:dyDescent="0.2">
      <c r="B62" s="2634" t="s">
        <v>688</v>
      </c>
      <c r="C62" s="2636" t="s">
        <v>688</v>
      </c>
      <c r="D62" s="3461">
        <v>1.9894474746593527</v>
      </c>
      <c r="E62" s="3461">
        <v>18.071385125989757</v>
      </c>
      <c r="F62" s="3461">
        <v>2.410367824372261</v>
      </c>
      <c r="G62" s="3081">
        <f t="shared" si="39"/>
        <v>5.1000000000000004E-2</v>
      </c>
      <c r="H62" s="3081">
        <f t="shared" si="40"/>
        <v>0.18258753219967502</v>
      </c>
      <c r="I62" s="3081">
        <f t="shared" si="41"/>
        <v>0.81350815257208509</v>
      </c>
      <c r="J62" s="3194">
        <v>0.10146182120762699</v>
      </c>
      <c r="K62" s="3194">
        <v>3.2996096135843831</v>
      </c>
      <c r="L62" s="3194">
        <v>1.9608538758242742</v>
      </c>
      <c r="M62" s="3460">
        <v>-0.44951394854798721</v>
      </c>
    </row>
    <row r="63" spans="2:13" ht="18" customHeight="1" x14ac:dyDescent="0.2">
      <c r="B63" s="2634" t="s">
        <v>689</v>
      </c>
      <c r="C63" s="2636" t="s">
        <v>689</v>
      </c>
      <c r="D63" s="3461">
        <v>1.3745273461282799</v>
      </c>
      <c r="E63" s="3461">
        <v>12.485684268865651</v>
      </c>
      <c r="F63" s="3461">
        <v>1.6653450422935618</v>
      </c>
      <c r="G63" s="3081">
        <f t="shared" si="39"/>
        <v>5.0999999999999997E-2</v>
      </c>
      <c r="H63" s="3081">
        <f t="shared" si="40"/>
        <v>0.182587532199675</v>
      </c>
      <c r="I63" s="3081">
        <f t="shared" si="41"/>
        <v>0.81350815257208509</v>
      </c>
      <c r="J63" s="3194">
        <v>7.0100894652542267E-2</v>
      </c>
      <c r="K63" s="3194">
        <v>2.2797302784764826</v>
      </c>
      <c r="L63" s="3194">
        <v>1.3547717687513163</v>
      </c>
      <c r="M63" s="3460">
        <v>-0.31057327354224568</v>
      </c>
    </row>
    <row r="64" spans="2:13" ht="18" customHeight="1" x14ac:dyDescent="0.2">
      <c r="B64" s="104" t="s">
        <v>893</v>
      </c>
      <c r="C64" s="2524"/>
      <c r="D64" s="150"/>
      <c r="E64" s="150"/>
      <c r="F64" s="150"/>
      <c r="G64" s="2135"/>
      <c r="H64" s="2135"/>
      <c r="I64" s="2135"/>
      <c r="J64" s="3081">
        <f>IF(SUM(J65:J76)=0,"NO",SUM(J65:J76))</f>
        <v>0.30870415462295953</v>
      </c>
      <c r="K64" s="3081">
        <f>IF(SUM(K65:K76)=0,"NO",SUM(K65:K76))</f>
        <v>444.60158775101723</v>
      </c>
      <c r="L64" s="3081">
        <f>IF(SUM(L65:L76)=0,"NO",SUM(L65:L76))</f>
        <v>162.72015418368136</v>
      </c>
      <c r="M64" s="3193">
        <f>IF(SUM(M65:M76)=0,"NO",SUM(M65:M76))</f>
        <v>-48.387352033204174</v>
      </c>
    </row>
    <row r="65" spans="2:13" ht="18" customHeight="1" x14ac:dyDescent="0.2">
      <c r="B65" s="2634" t="s">
        <v>671</v>
      </c>
      <c r="C65" s="2636" t="s">
        <v>671</v>
      </c>
      <c r="D65" s="3461">
        <v>0.92857919784038367</v>
      </c>
      <c r="E65" s="3461">
        <v>55.878799536225664</v>
      </c>
      <c r="F65" s="3461">
        <v>2.4582959079818729</v>
      </c>
      <c r="G65" s="3081">
        <f>IF(SUM(D65)=0,"NA",J65/D65)</f>
        <v>3.5000000000000001E-3</v>
      </c>
      <c r="H65" s="3081">
        <f>IF(SUM(E65)=0,"NA",K65/E65)</f>
        <v>8.3766132060298912E-2</v>
      </c>
      <c r="I65" s="3081">
        <f>IF(SUM(F65)=0,"NA",L65/F65)</f>
        <v>0.69686990443315755</v>
      </c>
      <c r="J65" s="3194">
        <v>3.2500271924413428E-3</v>
      </c>
      <c r="K65" s="3194">
        <v>4.6807509013224484</v>
      </c>
      <c r="L65" s="3194">
        <v>1.7131124344637501</v>
      </c>
      <c r="M65" s="3460">
        <v>-0.5094204516625882</v>
      </c>
    </row>
    <row r="66" spans="2:13" ht="18" customHeight="1" x14ac:dyDescent="0.2">
      <c r="B66" s="2634" t="s">
        <v>672</v>
      </c>
      <c r="C66" s="2636" t="s">
        <v>672</v>
      </c>
      <c r="D66" s="3461">
        <v>7.1633252404829602</v>
      </c>
      <c r="E66" s="3461">
        <v>431.06502499374096</v>
      </c>
      <c r="F66" s="3461">
        <v>18.963997004431597</v>
      </c>
      <c r="G66" s="3081">
        <f t="shared" ref="G66:G76" si="42">IF(SUM(D66)=0,"NA",J66/D66)</f>
        <v>3.5000000000000001E-3</v>
      </c>
      <c r="H66" s="3081">
        <f t="shared" ref="H66:H76" si="43">IF(SUM(E66)=0,"NA",K66/E66)</f>
        <v>8.3766132060298884E-2</v>
      </c>
      <c r="I66" s="3081">
        <f t="shared" ref="I66:I76" si="44">IF(SUM(F66)=0,"NA",L66/F66)</f>
        <v>0.6968699044331581</v>
      </c>
      <c r="J66" s="3194">
        <v>2.507163834169036E-2</v>
      </c>
      <c r="K66" s="3194">
        <v>36.108649810201747</v>
      </c>
      <c r="L66" s="3194">
        <v>13.215438780148943</v>
      </c>
      <c r="M66" s="3460">
        <v>-3.9298149128256807</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16.349626590546755</v>
      </c>
      <c r="E68" s="3461">
        <v>983.86600611997335</v>
      </c>
      <c r="F68" s="3461">
        <v>43.283567236966555</v>
      </c>
      <c r="G68" s="3081">
        <f t="shared" si="42"/>
        <v>3.5000000000000001E-3</v>
      </c>
      <c r="H68" s="3081">
        <f t="shared" si="43"/>
        <v>8.3766132060298926E-2</v>
      </c>
      <c r="I68" s="3081">
        <f t="shared" si="44"/>
        <v>0.69686990443315755</v>
      </c>
      <c r="J68" s="3194">
        <v>5.7223693066913647E-2</v>
      </c>
      <c r="K68" s="3194">
        <v>82.414649798284557</v>
      </c>
      <c r="L68" s="3194">
        <v>30.163015363951033</v>
      </c>
      <c r="M68" s="3460">
        <v>-8.9694386667734278</v>
      </c>
    </row>
    <row r="69" spans="2:13" ht="18" customHeight="1" x14ac:dyDescent="0.2">
      <c r="B69" s="2634" t="s">
        <v>676</v>
      </c>
      <c r="C69" s="2636" t="s">
        <v>676</v>
      </c>
      <c r="D69" s="3461">
        <v>8.5653868634858882E-2</v>
      </c>
      <c r="E69" s="3461">
        <v>5.154364179254646</v>
      </c>
      <c r="F69" s="3461">
        <v>0.22675777710463504</v>
      </c>
      <c r="G69" s="3081">
        <f t="shared" si="42"/>
        <v>3.4999999999999996E-3</v>
      </c>
      <c r="H69" s="3081">
        <f t="shared" si="43"/>
        <v>8.3766132060298912E-2</v>
      </c>
      <c r="I69" s="3081">
        <f t="shared" si="44"/>
        <v>0.69686990443315755</v>
      </c>
      <c r="J69" s="3194">
        <v>2.9978854022200607E-4</v>
      </c>
      <c r="K69" s="3194">
        <v>0.43176115052631886</v>
      </c>
      <c r="L69" s="3194">
        <v>0.15802067046038226</v>
      </c>
      <c r="M69" s="3460">
        <v>-4.6989887936427971E-2</v>
      </c>
    </row>
    <row r="70" spans="2:13" ht="18" customHeight="1" x14ac:dyDescent="0.2">
      <c r="B70" s="2634" t="s">
        <v>677</v>
      </c>
      <c r="C70" s="2636" t="s">
        <v>677</v>
      </c>
      <c r="D70" s="3461">
        <v>46.959576576499408</v>
      </c>
      <c r="E70" s="3461">
        <v>2825.8707194034127</v>
      </c>
      <c r="F70" s="3461">
        <v>124.31953591794047</v>
      </c>
      <c r="G70" s="3081">
        <f t="shared" si="42"/>
        <v>3.5000000000000005E-3</v>
      </c>
      <c r="H70" s="3081">
        <f t="shared" si="43"/>
        <v>8.3766132060298898E-2</v>
      </c>
      <c r="I70" s="3081">
        <f t="shared" si="44"/>
        <v>0.6968699044331581</v>
      </c>
      <c r="J70" s="3194">
        <v>0.16435851801774795</v>
      </c>
      <c r="K70" s="3194">
        <v>236.71225986687813</v>
      </c>
      <c r="L70" s="3194">
        <v>86.634543114309736</v>
      </c>
      <c r="M70" s="3460">
        <v>-25.762119984079465</v>
      </c>
    </row>
    <row r="71" spans="2:13" ht="18" customHeight="1" x14ac:dyDescent="0.2">
      <c r="B71" s="2634" t="s">
        <v>679</v>
      </c>
      <c r="C71" s="2636" t="s">
        <v>679</v>
      </c>
      <c r="D71" s="3461">
        <v>10.943969117404521</v>
      </c>
      <c r="E71" s="3461">
        <v>658.57156596265963</v>
      </c>
      <c r="F71" s="3461">
        <v>28.972773201214935</v>
      </c>
      <c r="G71" s="3081">
        <f t="shared" si="42"/>
        <v>3.5000000000000001E-3</v>
      </c>
      <c r="H71" s="3081">
        <f t="shared" si="43"/>
        <v>8.3766132060298898E-2</v>
      </c>
      <c r="I71" s="3081">
        <f t="shared" si="44"/>
        <v>0.69686990443315777</v>
      </c>
      <c r="J71" s="3194">
        <v>3.8303891910915822E-2</v>
      </c>
      <c r="K71" s="3194">
        <v>55.165992765585997</v>
      </c>
      <c r="L71" s="3194">
        <v>20.190253691894206</v>
      </c>
      <c r="M71" s="3460">
        <v>-6.0038838945947886</v>
      </c>
    </row>
    <row r="72" spans="2:13" ht="18" customHeight="1" x14ac:dyDescent="0.2">
      <c r="B72" s="2634" t="s">
        <v>681</v>
      </c>
      <c r="C72" s="2636" t="s">
        <v>681</v>
      </c>
      <c r="D72" s="3461">
        <v>1.9898125668008222</v>
      </c>
      <c r="E72" s="3461">
        <v>119.74028472048357</v>
      </c>
      <c r="F72" s="3461">
        <v>5.2677769456754433</v>
      </c>
      <c r="G72" s="3081">
        <f t="shared" si="42"/>
        <v>3.5000000000000001E-3</v>
      </c>
      <c r="H72" s="3081">
        <f t="shared" si="43"/>
        <v>8.3766132060298926E-2</v>
      </c>
      <c r="I72" s="3081">
        <f t="shared" si="44"/>
        <v>0.69686990443315733</v>
      </c>
      <c r="J72" s="3194">
        <v>6.9643439838028781E-3</v>
      </c>
      <c r="K72" s="3194">
        <v>10.03018050283382</v>
      </c>
      <c r="L72" s="3194">
        <v>3.6709552167080357</v>
      </c>
      <c r="M72" s="3460">
        <v>-1.0916152535626891</v>
      </c>
    </row>
    <row r="73" spans="2:13" ht="18" customHeight="1" x14ac:dyDescent="0.2">
      <c r="B73" s="2634" t="s">
        <v>683</v>
      </c>
      <c r="C73" s="2636" t="s">
        <v>683</v>
      </c>
      <c r="D73" s="3461">
        <v>0.59694377004024668</v>
      </c>
      <c r="E73" s="3461">
        <v>35.922085416145073</v>
      </c>
      <c r="F73" s="3461">
        <v>1.580333083702633</v>
      </c>
      <c r="G73" s="3081">
        <f t="shared" si="42"/>
        <v>3.5000000000000001E-3</v>
      </c>
      <c r="H73" s="3081">
        <f t="shared" si="43"/>
        <v>8.3766132060298926E-2</v>
      </c>
      <c r="I73" s="3081">
        <f t="shared" si="44"/>
        <v>0.69686990443315755</v>
      </c>
      <c r="J73" s="3194">
        <v>2.0893031951408634E-3</v>
      </c>
      <c r="K73" s="3194">
        <v>3.009054150850146</v>
      </c>
      <c r="L73" s="3194">
        <v>1.1012865650124111</v>
      </c>
      <c r="M73" s="3460">
        <v>-0.32748457606880671</v>
      </c>
    </row>
    <row r="74" spans="2:13" ht="18" customHeight="1" x14ac:dyDescent="0.2">
      <c r="B74" s="2634" t="s">
        <v>686</v>
      </c>
      <c r="C74" s="2636" t="s">
        <v>686</v>
      </c>
      <c r="D74" s="3461">
        <v>9.9490628340041104E-2</v>
      </c>
      <c r="E74" s="3461">
        <v>5.9870142360241791</v>
      </c>
      <c r="F74" s="3461">
        <v>0.26338884728377215</v>
      </c>
      <c r="G74" s="3081">
        <f t="shared" si="42"/>
        <v>3.5000000000000001E-3</v>
      </c>
      <c r="H74" s="3081">
        <f t="shared" si="43"/>
        <v>8.3766132060298898E-2</v>
      </c>
      <c r="I74" s="3081">
        <f t="shared" si="44"/>
        <v>0.6968699044331581</v>
      </c>
      <c r="J74" s="3194">
        <v>3.4821719919014387E-4</v>
      </c>
      <c r="K74" s="3194">
        <v>0.50150902514169093</v>
      </c>
      <c r="L74" s="3194">
        <v>0.18354776083540197</v>
      </c>
      <c r="M74" s="3460">
        <v>-5.4580762678134449E-2</v>
      </c>
    </row>
    <row r="75" spans="2:13" ht="18" customHeight="1" x14ac:dyDescent="0.2">
      <c r="B75" s="2634" t="s">
        <v>688</v>
      </c>
      <c r="C75" s="2636" t="s">
        <v>688</v>
      </c>
      <c r="D75" s="3461">
        <v>1.8239948529007537</v>
      </c>
      <c r="E75" s="3461">
        <v>109.76192766044329</v>
      </c>
      <c r="F75" s="3461">
        <v>4.828795533535823</v>
      </c>
      <c r="G75" s="3081">
        <f t="shared" si="42"/>
        <v>3.5000000000000005E-3</v>
      </c>
      <c r="H75" s="3081">
        <f t="shared" si="43"/>
        <v>8.3766132060298912E-2</v>
      </c>
      <c r="I75" s="3081">
        <f t="shared" si="44"/>
        <v>0.69686990443315755</v>
      </c>
      <c r="J75" s="3194">
        <v>6.3839819851526387E-3</v>
      </c>
      <c r="K75" s="3194">
        <v>9.1943321275976686</v>
      </c>
      <c r="L75" s="3194">
        <v>3.3650422819823671</v>
      </c>
      <c r="M75" s="3460">
        <v>-1.0006473157657985</v>
      </c>
    </row>
    <row r="76" spans="2:13" ht="18" customHeight="1" x14ac:dyDescent="0.2">
      <c r="B76" s="2634" t="s">
        <v>689</v>
      </c>
      <c r="C76" s="2636" t="s">
        <v>689</v>
      </c>
      <c r="D76" s="3461">
        <v>1.2602146256405207</v>
      </c>
      <c r="E76" s="3461">
        <v>75.835513656306262</v>
      </c>
      <c r="F76" s="3461">
        <v>3.3362587322611139</v>
      </c>
      <c r="G76" s="3081">
        <f t="shared" si="42"/>
        <v>3.5000000000000005E-3</v>
      </c>
      <c r="H76" s="3081">
        <f t="shared" si="43"/>
        <v>8.3766132060298912E-2</v>
      </c>
      <c r="I76" s="3081">
        <f t="shared" si="44"/>
        <v>0.69686990443315755</v>
      </c>
      <c r="J76" s="3194">
        <v>4.410751189741823E-3</v>
      </c>
      <c r="K76" s="3194">
        <v>6.3524476517947521</v>
      </c>
      <c r="L76" s="3194">
        <v>2.3249383039150899</v>
      </c>
      <c r="M76" s="3460">
        <v>-0.69135632725636975</v>
      </c>
    </row>
    <row r="77" spans="2:13" ht="18" customHeight="1" x14ac:dyDescent="0.2">
      <c r="B77" s="104" t="s">
        <v>894</v>
      </c>
      <c r="C77" s="2524"/>
      <c r="D77" s="150"/>
      <c r="E77" s="150"/>
      <c r="F77" s="150"/>
      <c r="G77" s="2135"/>
      <c r="H77" s="2135"/>
      <c r="I77" s="2135"/>
      <c r="J77" s="3081">
        <f>IF(SUM(J78:J89)=0,"NO",SUM(J78:J89))</f>
        <v>0.57656073546105069</v>
      </c>
      <c r="K77" s="3081">
        <f>IF(SUM(K78:K89)=0,"NO",SUM(K78:K89))</f>
        <v>692.78928137687274</v>
      </c>
      <c r="L77" s="3081">
        <f>IF(SUM(L78:L89)=0,"NO",SUM(L78:L89))</f>
        <v>899.80583299571913</v>
      </c>
      <c r="M77" s="3193">
        <f>IF(SUM(M78:M89)=0,"NO",SUM(M78:M89))</f>
        <v>-189.51404203095245</v>
      </c>
    </row>
    <row r="78" spans="2:13" ht="18" customHeight="1" x14ac:dyDescent="0.2">
      <c r="B78" s="2634" t="s">
        <v>671</v>
      </c>
      <c r="C78" s="2636" t="s">
        <v>671</v>
      </c>
      <c r="D78" s="3461">
        <v>0.23525877956619684</v>
      </c>
      <c r="E78" s="3461">
        <v>195.48997553027874</v>
      </c>
      <c r="F78" s="3461">
        <v>9.6036788658367254</v>
      </c>
      <c r="G78" s="3081">
        <f>IF(SUM(D78)=0,"NA",J78/D78)</f>
        <v>2.5801428035845907E-2</v>
      </c>
      <c r="H78" s="3081">
        <f>IF(SUM(E78)=0,"NA",K78/E78)</f>
        <v>3.7309651105338147E-2</v>
      </c>
      <c r="I78" s="3081">
        <f>IF(SUM(F78)=0,"NA",L78/F78)</f>
        <v>0.88332238470219748</v>
      </c>
      <c r="J78" s="3194">
        <v>6.0700124707781635E-3</v>
      </c>
      <c r="K78" s="3194">
        <v>7.2936627816257911</v>
      </c>
      <c r="L78" s="3194">
        <v>8.4831445176849911</v>
      </c>
      <c r="M78" s="3460">
        <v>-1.0052158904436919</v>
      </c>
    </row>
    <row r="79" spans="2:13" ht="18" customHeight="1" x14ac:dyDescent="0.2">
      <c r="B79" s="2634" t="s">
        <v>672</v>
      </c>
      <c r="C79" s="2636" t="s">
        <v>672</v>
      </c>
      <c r="D79" s="3461">
        <v>1.8148534423678044</v>
      </c>
      <c r="E79" s="3461">
        <v>1508.0655255192933</v>
      </c>
      <c r="F79" s="3461">
        <v>74.085522679311893</v>
      </c>
      <c r="G79" s="3081">
        <f t="shared" ref="G79:G89" si="45">IF(SUM(D79)=0,"NA",J79/D79)</f>
        <v>2.5801428035845914E-2</v>
      </c>
      <c r="H79" s="3081">
        <f t="shared" ref="H79:H89" si="46">IF(SUM(E79)=0,"NA",K79/E79)</f>
        <v>3.7309651105338154E-2</v>
      </c>
      <c r="I79" s="3081">
        <f t="shared" ref="I79:I89" si="47">IF(SUM(F79)=0,"NA",L79/F79)</f>
        <v>1.9343408280382006</v>
      </c>
      <c r="J79" s="3194">
        <v>4.6825810488860135E-2</v>
      </c>
      <c r="K79" s="3194">
        <v>56.265398601113262</v>
      </c>
      <c r="L79" s="3194">
        <v>143.30665128514306</v>
      </c>
      <c r="M79" s="3460">
        <v>-85.619773303567314</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4.142234940219109</v>
      </c>
      <c r="E81" s="3461">
        <v>3442.019926300979</v>
      </c>
      <c r="F81" s="3461">
        <v>169.09334574491092</v>
      </c>
      <c r="G81" s="3081">
        <f t="shared" si="45"/>
        <v>2.5801428035845907E-2</v>
      </c>
      <c r="H81" s="3081">
        <f t="shared" si="46"/>
        <v>3.730965110533814E-2</v>
      </c>
      <c r="I81" s="3081">
        <f t="shared" si="47"/>
        <v>0.88332238470219759</v>
      </c>
      <c r="J81" s="3194">
        <v>0.10687557671762982</v>
      </c>
      <c r="K81" s="3194">
        <v>128.42056254791123</v>
      </c>
      <c r="L81" s="3194">
        <v>149.36393740066791</v>
      </c>
      <c r="M81" s="3460">
        <v>-17.698979785312147</v>
      </c>
    </row>
    <row r="82" spans="2:13" ht="18" customHeight="1" x14ac:dyDescent="0.2">
      <c r="B82" s="2634" t="s">
        <v>676</v>
      </c>
      <c r="C82" s="2636" t="s">
        <v>676</v>
      </c>
      <c r="D82" s="3461">
        <v>2.1700706463191777E-2</v>
      </c>
      <c r="E82" s="3461">
        <v>18.032358168743439</v>
      </c>
      <c r="F82" s="3461">
        <v>0.88586116283766603</v>
      </c>
      <c r="G82" s="3081">
        <f t="shared" si="45"/>
        <v>2.5801428035845904E-2</v>
      </c>
      <c r="H82" s="3081">
        <f t="shared" si="46"/>
        <v>3.7309651105338154E-2</v>
      </c>
      <c r="I82" s="3081">
        <f t="shared" si="47"/>
        <v>2.1435580761819932</v>
      </c>
      <c r="J82" s="3194">
        <v>5.599092161370587E-4</v>
      </c>
      <c r="K82" s="3194">
        <v>0.67278099188231211</v>
      </c>
      <c r="L82" s="3194">
        <v>1.8988948499766507</v>
      </c>
      <c r="M82" s="3460">
        <v>-1.2091168345007142</v>
      </c>
    </row>
    <row r="83" spans="2:13" ht="18" customHeight="1" x14ac:dyDescent="0.2">
      <c r="B83" s="2634" t="s">
        <v>677</v>
      </c>
      <c r="C83" s="2636" t="s">
        <v>677</v>
      </c>
      <c r="D83" s="3461">
        <v>11.897372566633386</v>
      </c>
      <c r="E83" s="3461">
        <v>9886.2073339598119</v>
      </c>
      <c r="F83" s="3461">
        <v>485.67175978660026</v>
      </c>
      <c r="G83" s="3081">
        <f t="shared" si="45"/>
        <v>2.5801428035845904E-2</v>
      </c>
      <c r="H83" s="3081">
        <f t="shared" si="46"/>
        <v>3.7309651105338147E-2</v>
      </c>
      <c r="I83" s="3081">
        <f t="shared" si="47"/>
        <v>0.893823304093189</v>
      </c>
      <c r="J83" s="3194">
        <v>0.30696920209363859</v>
      </c>
      <c r="K83" s="3194">
        <v>368.85094638507582</v>
      </c>
      <c r="L83" s="3194">
        <v>434.10473703721266</v>
      </c>
      <c r="M83" s="3460">
        <v>-55.935203602438136</v>
      </c>
    </row>
    <row r="84" spans="2:13" ht="18" customHeight="1" x14ac:dyDescent="0.2">
      <c r="B84" s="2634" t="s">
        <v>679</v>
      </c>
      <c r="C84" s="2636" t="s">
        <v>679</v>
      </c>
      <c r="D84" s="3461">
        <v>2.7726927591730339</v>
      </c>
      <c r="E84" s="3461">
        <v>2303.9889973211421</v>
      </c>
      <c r="F84" s="3461">
        <v>113.18621520450426</v>
      </c>
      <c r="G84" s="3081">
        <f t="shared" si="45"/>
        <v>2.5801428035845911E-2</v>
      </c>
      <c r="H84" s="3081">
        <f t="shared" si="46"/>
        <v>3.7309651105338147E-2</v>
      </c>
      <c r="I84" s="3081">
        <f t="shared" si="47"/>
        <v>0.92163556873690311</v>
      </c>
      <c r="J84" s="3194">
        <v>7.1539432691314075E-2</v>
      </c>
      <c r="K84" s="3194">
        <v>85.961025640589682</v>
      </c>
      <c r="L84" s="3194">
        <v>104.3164418231808</v>
      </c>
      <c r="M84" s="3460">
        <v>-16.183711573551161</v>
      </c>
    </row>
    <row r="85" spans="2:13" ht="18" customHeight="1" x14ac:dyDescent="0.2">
      <c r="B85" s="2634" t="s">
        <v>681</v>
      </c>
      <c r="C85" s="2636" t="s">
        <v>681</v>
      </c>
      <c r="D85" s="3461" t="s">
        <v>199</v>
      </c>
      <c r="E85" s="3461">
        <v>328.91447096209077</v>
      </c>
      <c r="F85" s="3461">
        <v>19.46291800026059</v>
      </c>
      <c r="G85" s="3081" t="str">
        <f t="shared" si="45"/>
        <v>NA</v>
      </c>
      <c r="H85" s="3081">
        <f t="shared" si="46"/>
        <v>4.7517755431926517E-2</v>
      </c>
      <c r="I85" s="3081">
        <f t="shared" si="47"/>
        <v>0.98656983794510045</v>
      </c>
      <c r="J85" s="3194">
        <v>1.3007169580238925E-2</v>
      </c>
      <c r="K85" s="3194">
        <v>15.629277389198126</v>
      </c>
      <c r="L85" s="3194">
        <v>19.201527857455869</v>
      </c>
      <c r="M85" s="3460">
        <v>-3.177395084795938</v>
      </c>
    </row>
    <row r="86" spans="2:13" ht="18" customHeight="1" x14ac:dyDescent="0.2">
      <c r="B86" s="2634" t="s">
        <v>683</v>
      </c>
      <c r="C86" s="2636" t="s">
        <v>683</v>
      </c>
      <c r="D86" s="3461">
        <v>0.1512377868639837</v>
      </c>
      <c r="E86" s="3461">
        <v>125.67212712660776</v>
      </c>
      <c r="F86" s="3461">
        <v>6.1737935566093238</v>
      </c>
      <c r="G86" s="3081">
        <f t="shared" si="45"/>
        <v>2.5801428035845907E-2</v>
      </c>
      <c r="H86" s="3081">
        <f t="shared" si="46"/>
        <v>3.7309651105338147E-2</v>
      </c>
      <c r="I86" s="3081">
        <f t="shared" si="47"/>
        <v>0.88511894152498727</v>
      </c>
      <c r="J86" s="3194">
        <v>3.9021508740716771E-3</v>
      </c>
      <c r="K86" s="3194">
        <v>4.6887832167594379</v>
      </c>
      <c r="L86" s="3194">
        <v>5.4645416180198314</v>
      </c>
      <c r="M86" s="3460">
        <v>-0.65730178622185187</v>
      </c>
    </row>
    <row r="87" spans="2:13" ht="18" customHeight="1" x14ac:dyDescent="0.2">
      <c r="B87" s="2634" t="s">
        <v>686</v>
      </c>
      <c r="C87" s="2636" t="s">
        <v>686</v>
      </c>
      <c r="D87" s="3461">
        <v>2.5206297810663952E-2</v>
      </c>
      <c r="E87" s="3461">
        <v>20.945354521101294</v>
      </c>
      <c r="F87" s="3461">
        <v>1.0289655927682206</v>
      </c>
      <c r="G87" s="3081">
        <f t="shared" si="45"/>
        <v>2.5801428035845911E-2</v>
      </c>
      <c r="H87" s="3081">
        <f t="shared" si="46"/>
        <v>3.7309651105338147E-2</v>
      </c>
      <c r="I87" s="3081">
        <f t="shared" si="47"/>
        <v>4.6481132331627064</v>
      </c>
      <c r="J87" s="3194">
        <v>6.5035847901194629E-4</v>
      </c>
      <c r="K87" s="3194">
        <v>0.78146386945990631</v>
      </c>
      <c r="L87" s="3194">
        <v>4.7827485882150746</v>
      </c>
      <c r="M87" s="3460">
        <v>-3.9815419495820783</v>
      </c>
    </row>
    <row r="88" spans="2:13" ht="18" customHeight="1" x14ac:dyDescent="0.2">
      <c r="B88" s="2634" t="s">
        <v>688</v>
      </c>
      <c r="C88" s="2636" t="s">
        <v>688</v>
      </c>
      <c r="D88" s="3461" t="s">
        <v>199</v>
      </c>
      <c r="E88" s="3461">
        <v>301.50493171524988</v>
      </c>
      <c r="F88" s="3461">
        <v>17.841008166905542</v>
      </c>
      <c r="G88" s="3081" t="str">
        <f t="shared" si="45"/>
        <v>NA</v>
      </c>
      <c r="H88" s="3081">
        <f t="shared" si="46"/>
        <v>4.7517755431926524E-2</v>
      </c>
      <c r="I88" s="3081">
        <f t="shared" si="47"/>
        <v>0.97362037320833694</v>
      </c>
      <c r="J88" s="3194">
        <v>1.1923238781885682E-2</v>
      </c>
      <c r="K88" s="3194">
        <v>14.326837606764951</v>
      </c>
      <c r="L88" s="3194">
        <v>17.370369029875562</v>
      </c>
      <c r="M88" s="3460">
        <v>-2.6815806549372914</v>
      </c>
    </row>
    <row r="89" spans="2:13" ht="18" customHeight="1" x14ac:dyDescent="0.2">
      <c r="B89" s="2634" t="s">
        <v>689</v>
      </c>
      <c r="C89" s="2636" t="s">
        <v>689</v>
      </c>
      <c r="D89" s="3461" t="s">
        <v>199</v>
      </c>
      <c r="E89" s="3461">
        <v>208.31249827599078</v>
      </c>
      <c r="F89" s="3461">
        <v>12.326514733498374</v>
      </c>
      <c r="G89" s="3081" t="str">
        <f t="shared" si="45"/>
        <v>NA</v>
      </c>
      <c r="H89" s="3081">
        <f t="shared" si="46"/>
        <v>4.7517755431926524E-2</v>
      </c>
      <c r="I89" s="3081">
        <f t="shared" si="47"/>
        <v>0.93398979656428249</v>
      </c>
      <c r="J89" s="3194">
        <v>8.2378740674846507E-3</v>
      </c>
      <c r="K89" s="3194">
        <v>9.898542346492146</v>
      </c>
      <c r="L89" s="3194">
        <v>11.512838988286777</v>
      </c>
      <c r="M89" s="3460">
        <v>-1.3642215656021532</v>
      </c>
    </row>
    <row r="90" spans="2:13" ht="18" customHeight="1" x14ac:dyDescent="0.2">
      <c r="B90" s="88" t="s">
        <v>657</v>
      </c>
      <c r="C90" s="2524" t="s">
        <v>895</v>
      </c>
      <c r="D90" s="150"/>
      <c r="E90" s="150"/>
      <c r="F90" s="150"/>
      <c r="G90" s="2135"/>
      <c r="H90" s="2135"/>
      <c r="I90" s="2135"/>
      <c r="J90" s="3081">
        <f>IF(SUM(J91,J104)=0,"NO",SUM(J91,J104))</f>
        <v>24.262964544627071</v>
      </c>
      <c r="K90" s="3081">
        <f t="shared" ref="K90:M90" si="48">IF(SUM(K91,K104)=0,"NO",SUM(K91,K104))</f>
        <v>5.4134018350329889</v>
      </c>
      <c r="L90" s="3081">
        <f t="shared" si="48"/>
        <v>5.0708145311577759</v>
      </c>
      <c r="M90" s="3193" t="str">
        <f t="shared" si="48"/>
        <v>NO</v>
      </c>
    </row>
    <row r="91" spans="2:13" ht="18" customHeight="1" x14ac:dyDescent="0.2">
      <c r="B91" s="104" t="s">
        <v>896</v>
      </c>
      <c r="C91" s="2524"/>
      <c r="D91" s="150"/>
      <c r="E91" s="150"/>
      <c r="F91" s="150"/>
      <c r="G91" s="2135"/>
      <c r="H91" s="2135"/>
      <c r="I91" s="2135"/>
      <c r="J91" s="3081">
        <f>IF(SUM(J92:J103)=0,"NO",SUM(J92:J103))</f>
        <v>24.262964544627071</v>
      </c>
      <c r="K91" s="3081">
        <f>IF(SUM(K92:K103)=0,"NO",SUM(K92:K103))</f>
        <v>5.4134018350329889</v>
      </c>
      <c r="L91" s="3081">
        <f>IF(SUM(L92:L103)=0,"NO",SUM(L92:L103))</f>
        <v>5.0708145311577759</v>
      </c>
      <c r="M91" s="3193" t="str">
        <f>IF(SUM(M92:M103)=0,"NO",SUM(M92:M103))</f>
        <v>NO</v>
      </c>
    </row>
    <row r="92" spans="2:13" ht="18" customHeight="1" x14ac:dyDescent="0.2">
      <c r="B92" s="2634" t="s">
        <v>671</v>
      </c>
      <c r="C92" s="2636" t="s">
        <v>671</v>
      </c>
      <c r="D92" s="3461">
        <v>0.42573282196125761</v>
      </c>
      <c r="E92" s="3461">
        <v>2.3885089452613228</v>
      </c>
      <c r="F92" s="3461">
        <v>5.3385368701039812E-2</v>
      </c>
      <c r="G92" s="3081">
        <f>IF(SUM(D92)=0,"NA",J92/D92)</f>
        <v>0.6</v>
      </c>
      <c r="H92" s="3081">
        <f>IF(SUM(E92)=0,"NA",K92/E92)</f>
        <v>2.3860960072225622E-2</v>
      </c>
      <c r="I92" s="3081">
        <f>IF(SUM(F92)=0,"NA",L92/F92)</f>
        <v>0.99999999999999822</v>
      </c>
      <c r="J92" s="3194">
        <v>0.25543969317675458</v>
      </c>
      <c r="K92" s="3194">
        <v>5.6992116575034162E-2</v>
      </c>
      <c r="L92" s="3194">
        <v>5.3385368701039715E-2</v>
      </c>
      <c r="M92" s="3460" t="s">
        <v>199</v>
      </c>
    </row>
    <row r="93" spans="2:13" ht="18" customHeight="1" x14ac:dyDescent="0.2">
      <c r="B93" s="2634" t="s">
        <v>672</v>
      </c>
      <c r="C93" s="2636" t="s">
        <v>672</v>
      </c>
      <c r="D93" s="3461">
        <v>3.2842246265582737</v>
      </c>
      <c r="E93" s="3461">
        <v>18.425640434873067</v>
      </c>
      <c r="F93" s="3461">
        <v>0.41182998712230723</v>
      </c>
      <c r="G93" s="3081">
        <f t="shared" ref="G93:G103" si="49">IF(SUM(D93)=0,"NA",J93/D93)</f>
        <v>0.6</v>
      </c>
      <c r="H93" s="3081">
        <f t="shared" ref="H93:H103" si="50">IF(SUM(E93)=0,"NA",K93/E93)</f>
        <v>2.3860960072225622E-2</v>
      </c>
      <c r="I93" s="3081">
        <f t="shared" ref="I93:I103" si="51">IF(SUM(F93)=0,"NA",L93/F93)</f>
        <v>0.99999999999999944</v>
      </c>
      <c r="J93" s="3194">
        <v>1.9705347759349641</v>
      </c>
      <c r="K93" s="3194">
        <v>0.4396534707216922</v>
      </c>
      <c r="L93" s="3194">
        <v>0.41182998712230701</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7.4959386152464296</v>
      </c>
      <c r="E95" s="3461">
        <v>42.054818214779729</v>
      </c>
      <c r="F95" s="3461">
        <v>0.93996381320045097</v>
      </c>
      <c r="G95" s="3081">
        <f t="shared" si="49"/>
        <v>0.59999999999999987</v>
      </c>
      <c r="H95" s="3081">
        <f t="shared" si="50"/>
        <v>2.3860960072225618E-2</v>
      </c>
      <c r="I95" s="3081">
        <f t="shared" si="51"/>
        <v>0.99999999999999867</v>
      </c>
      <c r="J95" s="3194">
        <v>4.497563169147857</v>
      </c>
      <c r="K95" s="3194">
        <v>1.0034683382675658</v>
      </c>
      <c r="L95" s="3194">
        <v>0.93996381320044975</v>
      </c>
      <c r="M95" s="3460" t="s">
        <v>199</v>
      </c>
    </row>
    <row r="96" spans="2:13" ht="18" customHeight="1" x14ac:dyDescent="0.2">
      <c r="B96" s="2634" t="s">
        <v>676</v>
      </c>
      <c r="C96" s="2636" t="s">
        <v>676</v>
      </c>
      <c r="D96" s="3461">
        <v>3.9270385650062259E-2</v>
      </c>
      <c r="E96" s="3461">
        <v>0.22032049813996096</v>
      </c>
      <c r="F96" s="3461">
        <v>4.9243654912549317E-3</v>
      </c>
      <c r="G96" s="3081">
        <f t="shared" si="49"/>
        <v>0.6</v>
      </c>
      <c r="H96" s="3081">
        <f t="shared" si="50"/>
        <v>2.3860960072225625E-2</v>
      </c>
      <c r="I96" s="3081">
        <f t="shared" si="51"/>
        <v>0.99999999999999878</v>
      </c>
      <c r="J96" s="3194">
        <v>2.3562231390037353E-2</v>
      </c>
      <c r="K96" s="3194">
        <v>5.2570586092104687E-3</v>
      </c>
      <c r="L96" s="3194">
        <v>4.9243654912549256E-3</v>
      </c>
      <c r="M96" s="3460" t="s">
        <v>199</v>
      </c>
    </row>
    <row r="97" spans="2:13" ht="18" customHeight="1" x14ac:dyDescent="0.2">
      <c r="B97" s="2634" t="s">
        <v>677</v>
      </c>
      <c r="C97" s="2636" t="s">
        <v>677</v>
      </c>
      <c r="D97" s="3461">
        <v>21.529916996326463</v>
      </c>
      <c r="E97" s="3461">
        <v>120.79030951750121</v>
      </c>
      <c r="F97" s="3461">
        <v>2.6997743600240138</v>
      </c>
      <c r="G97" s="3081">
        <f t="shared" si="49"/>
        <v>0.6</v>
      </c>
      <c r="H97" s="3081">
        <f t="shared" si="50"/>
        <v>2.3860960072225622E-2</v>
      </c>
      <c r="I97" s="3081">
        <f t="shared" si="51"/>
        <v>0.999999999999998</v>
      </c>
      <c r="J97" s="3194">
        <v>12.917950197795877</v>
      </c>
      <c r="K97" s="3194">
        <v>2.8821727525088709</v>
      </c>
      <c r="L97" s="3194">
        <v>2.6997743600240085</v>
      </c>
      <c r="M97" s="3460" t="s">
        <v>199</v>
      </c>
    </row>
    <row r="98" spans="2:13" ht="18" customHeight="1" x14ac:dyDescent="0.2">
      <c r="B98" s="2634" t="s">
        <v>679</v>
      </c>
      <c r="C98" s="2636" t="s">
        <v>679</v>
      </c>
      <c r="D98" s="3461">
        <v>5.0175654016862508</v>
      </c>
      <c r="E98" s="3461">
        <v>28.150283997722735</v>
      </c>
      <c r="F98" s="3461">
        <v>0.62918470254796921</v>
      </c>
      <c r="G98" s="3081">
        <f t="shared" si="49"/>
        <v>0.6</v>
      </c>
      <c r="H98" s="3081">
        <f t="shared" si="50"/>
        <v>2.3860960072225622E-2</v>
      </c>
      <c r="I98" s="3081">
        <f t="shared" si="51"/>
        <v>0.99999999999999911</v>
      </c>
      <c r="J98" s="3194">
        <v>3.0105392410117502</v>
      </c>
      <c r="K98" s="3194">
        <v>0.67169280249147401</v>
      </c>
      <c r="L98" s="3194">
        <v>0.62918470254796866</v>
      </c>
      <c r="M98" s="3460" t="s">
        <v>199</v>
      </c>
    </row>
    <row r="99" spans="2:13" ht="18" customHeight="1" x14ac:dyDescent="0.2">
      <c r="B99" s="2634" t="s">
        <v>681</v>
      </c>
      <c r="C99" s="2636" t="s">
        <v>681</v>
      </c>
      <c r="D99" s="3461">
        <v>0.91228461848840936</v>
      </c>
      <c r="E99" s="3461">
        <v>5.1182334541314063</v>
      </c>
      <c r="F99" s="3461">
        <v>0.11439721864508533</v>
      </c>
      <c r="G99" s="3081">
        <f t="shared" si="49"/>
        <v>0.6</v>
      </c>
      <c r="H99" s="3081">
        <f t="shared" si="50"/>
        <v>2.3860960072225625E-2</v>
      </c>
      <c r="I99" s="3081">
        <f t="shared" si="51"/>
        <v>0.99999999999999911</v>
      </c>
      <c r="J99" s="3194">
        <v>0.54737077109304555</v>
      </c>
      <c r="K99" s="3194">
        <v>0.12212596408935893</v>
      </c>
      <c r="L99" s="3194">
        <v>0.11439721864508523</v>
      </c>
      <c r="M99" s="3460" t="s">
        <v>199</v>
      </c>
    </row>
    <row r="100" spans="2:13" ht="18" customHeight="1" x14ac:dyDescent="0.2">
      <c r="B100" s="2634" t="s">
        <v>683</v>
      </c>
      <c r="C100" s="2636" t="s">
        <v>683</v>
      </c>
      <c r="D100" s="3461">
        <v>0.27368538554652283</v>
      </c>
      <c r="E100" s="3461">
        <v>1.5354700362394222</v>
      </c>
      <c r="F100" s="3461">
        <v>3.4319165593525595E-2</v>
      </c>
      <c r="G100" s="3081">
        <f t="shared" si="49"/>
        <v>0.59999999999999987</v>
      </c>
      <c r="H100" s="3081">
        <f t="shared" si="50"/>
        <v>2.3860960072225622E-2</v>
      </c>
      <c r="I100" s="3081">
        <f t="shared" si="51"/>
        <v>1.0000000000000002</v>
      </c>
      <c r="J100" s="3194">
        <v>0.16421123132791365</v>
      </c>
      <c r="K100" s="3194">
        <v>3.6637789226807681E-2</v>
      </c>
      <c r="L100" s="3194">
        <v>3.4319165593525602E-2</v>
      </c>
      <c r="M100" s="3460" t="s">
        <v>199</v>
      </c>
    </row>
    <row r="101" spans="2:13" ht="18" customHeight="1" x14ac:dyDescent="0.2">
      <c r="B101" s="2634" t="s">
        <v>686</v>
      </c>
      <c r="C101" s="2636" t="s">
        <v>686</v>
      </c>
      <c r="D101" s="3461">
        <v>4.5614230924420462E-2</v>
      </c>
      <c r="E101" s="3461">
        <v>0.25591167270657034</v>
      </c>
      <c r="F101" s="3461">
        <v>5.7198609322542653E-3</v>
      </c>
      <c r="G101" s="3081">
        <f t="shared" si="49"/>
        <v>0.59999999999999987</v>
      </c>
      <c r="H101" s="3081">
        <f t="shared" si="50"/>
        <v>2.3860960072225618E-2</v>
      </c>
      <c r="I101" s="3081">
        <f t="shared" si="51"/>
        <v>1.0000000000000002</v>
      </c>
      <c r="J101" s="3194">
        <v>2.7368538554652273E-2</v>
      </c>
      <c r="K101" s="3194">
        <v>6.1062982044679456E-3</v>
      </c>
      <c r="L101" s="3194">
        <v>5.7198609322542671E-3</v>
      </c>
      <c r="M101" s="3460" t="s">
        <v>199</v>
      </c>
    </row>
    <row r="102" spans="2:13" ht="18" customHeight="1" x14ac:dyDescent="0.2">
      <c r="B102" s="2634" t="s">
        <v>688</v>
      </c>
      <c r="C102" s="2636" t="s">
        <v>688</v>
      </c>
      <c r="D102" s="3461">
        <v>0.83626090028104183</v>
      </c>
      <c r="E102" s="3461">
        <v>4.6917139996204567</v>
      </c>
      <c r="F102" s="3461">
        <v>0.10486411709132822</v>
      </c>
      <c r="G102" s="3081">
        <f t="shared" si="49"/>
        <v>0.60000000000000009</v>
      </c>
      <c r="H102" s="3081">
        <f t="shared" si="50"/>
        <v>2.3860960072225622E-2</v>
      </c>
      <c r="I102" s="3081">
        <f t="shared" si="51"/>
        <v>0.99999999999999833</v>
      </c>
      <c r="J102" s="3194">
        <v>0.50175654016862514</v>
      </c>
      <c r="K102" s="3194">
        <v>0.11194880041524569</v>
      </c>
      <c r="L102" s="3194">
        <v>0.10486411709132804</v>
      </c>
      <c r="M102" s="3460" t="s">
        <v>199</v>
      </c>
    </row>
    <row r="103" spans="2:13" ht="18" customHeight="1" x14ac:dyDescent="0.2">
      <c r="B103" s="2634" t="s">
        <v>689</v>
      </c>
      <c r="C103" s="2636" t="s">
        <v>689</v>
      </c>
      <c r="D103" s="3461">
        <v>0.57778025837599256</v>
      </c>
      <c r="E103" s="3461">
        <v>3.2415478542832243</v>
      </c>
      <c r="F103" s="3461">
        <v>7.2451571808554036E-2</v>
      </c>
      <c r="G103" s="3081">
        <f t="shared" si="49"/>
        <v>0.59999999999999987</v>
      </c>
      <c r="H103" s="3081">
        <f t="shared" si="50"/>
        <v>2.3860960072225622E-2</v>
      </c>
      <c r="I103" s="3081">
        <f t="shared" si="51"/>
        <v>1.0000000000000009</v>
      </c>
      <c r="J103" s="3194">
        <v>0.34666815502559545</v>
      </c>
      <c r="K103" s="3194">
        <v>7.7346443923260649E-2</v>
      </c>
      <c r="L103" s="3194">
        <v>7.2451571808554105E-2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0.1392238042970198</v>
      </c>
      <c r="K117" s="3081">
        <f>IF(SUM(K118:K129)=0,"NO",SUM(K118:K129))</f>
        <v>25.300539850144599</v>
      </c>
      <c r="L117" s="3081">
        <f>IF(SUM(L118:L129)=0,"NO",SUM(L118:L129))</f>
        <v>30.520703198200088</v>
      </c>
      <c r="M117" s="3193">
        <f>IF(SUM(M118:M129)=0,"NO",SUM(M118:M129))</f>
        <v>-16.991955363060356</v>
      </c>
    </row>
    <row r="118" spans="2:13" ht="18" customHeight="1" x14ac:dyDescent="0.2">
      <c r="B118" s="2634" t="s">
        <v>671</v>
      </c>
      <c r="C118" s="2636" t="s">
        <v>671</v>
      </c>
      <c r="D118" s="3461">
        <v>0.41467169202347737</v>
      </c>
      <c r="E118" s="3461">
        <v>5.1370487910234415</v>
      </c>
      <c r="F118" s="3461">
        <v>0.50021170754205579</v>
      </c>
      <c r="G118" s="4443">
        <f>IF(SUM(D118)=0,"NA",J118/D118)</f>
        <v>3.5347086946162808E-3</v>
      </c>
      <c r="H118" s="3081">
        <f>IF(SUM(E118)=0,"NA",K118/E118)</f>
        <v>5.1851415612890882E-2</v>
      </c>
      <c r="I118" s="3081">
        <f>IF(SUM(F118)=0,"NA",L118/F118)</f>
        <v>0.64236993092794903</v>
      </c>
      <c r="J118" s="3194">
        <v>1.4657436352066302E-3</v>
      </c>
      <c r="K118" s="3194">
        <v>0.26636325188705512</v>
      </c>
      <c r="L118" s="3194">
        <v>0.32132096002314181</v>
      </c>
      <c r="M118" s="3460">
        <v>-0.17889074751891412</v>
      </c>
    </row>
    <row r="119" spans="2:13" ht="18" customHeight="1" x14ac:dyDescent="0.2">
      <c r="B119" s="2634" t="s">
        <v>672</v>
      </c>
      <c r="C119" s="2636" t="s">
        <v>672</v>
      </c>
      <c r="D119" s="3461">
        <v>3.1988959098953975</v>
      </c>
      <c r="E119" s="3461">
        <v>39.62866210218084</v>
      </c>
      <c r="F119" s="3461">
        <v>3.8587760296101457</v>
      </c>
      <c r="G119" s="4443">
        <f t="shared" ref="G119:G129" si="77">IF(SUM(D119)=0,"NA",J119/D119)</f>
        <v>3.5347086946162808E-3</v>
      </c>
      <c r="H119" s="3081">
        <f t="shared" ref="H119:H129" si="78">IF(SUM(E119)=0,"NA",K119/E119)</f>
        <v>5.1851415612890889E-2</v>
      </c>
      <c r="I119" s="3081">
        <f t="shared" ref="I119:I129" si="79">IF(SUM(F119)=0,"NA",L119/F119)</f>
        <v>0.64236993092794892</v>
      </c>
      <c r="J119" s="3194">
        <v>1.1307165185879721E-2</v>
      </c>
      <c r="K119" s="3194">
        <v>2.054802228842997</v>
      </c>
      <c r="L119" s="3194">
        <v>2.4787616916070943</v>
      </c>
      <c r="M119" s="3460">
        <v>-1.3800143380030518</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7.3011837202705125</v>
      </c>
      <c r="E121" s="3461">
        <v>90.448751927662741</v>
      </c>
      <c r="F121" s="3461">
        <v>8.8072989935083399</v>
      </c>
      <c r="G121" s="4443">
        <f t="shared" si="77"/>
        <v>3.5347086946162804E-3</v>
      </c>
      <c r="H121" s="3081">
        <f t="shared" si="78"/>
        <v>5.1851415612890882E-2</v>
      </c>
      <c r="I121" s="3081">
        <f t="shared" si="79"/>
        <v>0.64236993092794892</v>
      </c>
      <c r="J121" s="3194">
        <v>2.5807557577031022E-2</v>
      </c>
      <c r="K121" s="3194">
        <v>4.6898958278685061</v>
      </c>
      <c r="L121" s="3194">
        <v>5.6575440461217461</v>
      </c>
      <c r="M121" s="3460">
        <v>-3.1497549473865947</v>
      </c>
    </row>
    <row r="122" spans="2:13" ht="18" customHeight="1" x14ac:dyDescent="0.2">
      <c r="B122" s="2634" t="s">
        <v>676</v>
      </c>
      <c r="C122" s="2636" t="s">
        <v>676</v>
      </c>
      <c r="D122" s="3461">
        <v>3.8250086495345906E-2</v>
      </c>
      <c r="E122" s="3461">
        <v>0.4738509147529027</v>
      </c>
      <c r="F122" s="3461">
        <v>4.6140456287488862E-2</v>
      </c>
      <c r="G122" s="4443">
        <f t="shared" si="77"/>
        <v>3.5347086946162813E-3</v>
      </c>
      <c r="H122" s="3081">
        <f t="shared" si="78"/>
        <v>5.1851415612890903E-2</v>
      </c>
      <c r="I122" s="3081">
        <f t="shared" si="79"/>
        <v>0.64236993092794903</v>
      </c>
      <c r="J122" s="3194">
        <v>1.3520291330492397E-4</v>
      </c>
      <c r="K122" s="3194">
        <v>2.4569840719401295E-2</v>
      </c>
      <c r="L122" s="3194">
        <v>2.963924171837827E-2</v>
      </c>
      <c r="M122" s="3460">
        <v>-1.6501214569110603E-2</v>
      </c>
    </row>
    <row r="123" spans="2:13" ht="18" customHeight="1" x14ac:dyDescent="0.2">
      <c r="B123" s="2634" t="s">
        <v>677</v>
      </c>
      <c r="C123" s="2636" t="s">
        <v>677</v>
      </c>
      <c r="D123" s="3461">
        <v>20.970539853758719</v>
      </c>
      <c r="E123" s="3461">
        <v>259.78789600318549</v>
      </c>
      <c r="F123" s="3461">
        <v>25.2964206385554</v>
      </c>
      <c r="G123" s="4443">
        <f t="shared" si="77"/>
        <v>3.53470869461628E-3</v>
      </c>
      <c r="H123" s="3081">
        <f t="shared" si="78"/>
        <v>5.1851415612890889E-2</v>
      </c>
      <c r="I123" s="3081">
        <f t="shared" si="79"/>
        <v>0.64236993092794903</v>
      </c>
      <c r="J123" s="3194">
        <v>7.4124749551878158E-2</v>
      </c>
      <c r="K123" s="3194">
        <v>13.470370166859647</v>
      </c>
      <c r="L123" s="3194">
        <v>16.249659978313176</v>
      </c>
      <c r="M123" s="3460">
        <v>-9.0467606602422297</v>
      </c>
    </row>
    <row r="124" spans="2:13" ht="18" customHeight="1" x14ac:dyDescent="0.2">
      <c r="B124" s="2634" t="s">
        <v>679</v>
      </c>
      <c r="C124" s="2636" t="s">
        <v>679</v>
      </c>
      <c r="D124" s="3461">
        <v>4.8872020845624125</v>
      </c>
      <c r="E124" s="3461">
        <v>60.543789322776277</v>
      </c>
      <c r="F124" s="3461">
        <v>5.895352267459943</v>
      </c>
      <c r="G124" s="4443">
        <f t="shared" si="77"/>
        <v>3.5347086946162804E-3</v>
      </c>
      <c r="H124" s="3081">
        <f t="shared" si="78"/>
        <v>5.1851415612890882E-2</v>
      </c>
      <c r="I124" s="3081">
        <f t="shared" si="79"/>
        <v>0.64236993092794892</v>
      </c>
      <c r="J124" s="3194">
        <v>1.7274835700649568E-2</v>
      </c>
      <c r="K124" s="3194">
        <v>3.1392811829545781</v>
      </c>
      <c r="L124" s="3194">
        <v>3.7869970288441706</v>
      </c>
      <c r="M124" s="3460">
        <v>-2.1083552386157733</v>
      </c>
    </row>
    <row r="125" spans="2:13" ht="18" customHeight="1" x14ac:dyDescent="0.2">
      <c r="B125" s="2634" t="s">
        <v>681</v>
      </c>
      <c r="C125" s="2636" t="s">
        <v>681</v>
      </c>
      <c r="D125" s="3461">
        <v>0.888582197193166</v>
      </c>
      <c r="E125" s="3461">
        <v>11.007961695050232</v>
      </c>
      <c r="F125" s="3461">
        <v>1.0718822304472626</v>
      </c>
      <c r="G125" s="4443">
        <f t="shared" si="77"/>
        <v>3.5347086946162804E-3</v>
      </c>
      <c r="H125" s="3081">
        <f t="shared" si="78"/>
        <v>5.1851415612890882E-2</v>
      </c>
      <c r="I125" s="3081">
        <f t="shared" si="79"/>
        <v>0.64236993092794892</v>
      </c>
      <c r="J125" s="3194">
        <v>3.140879218299922E-3</v>
      </c>
      <c r="K125" s="3194">
        <v>0.57077839690083243</v>
      </c>
      <c r="L125" s="3194">
        <v>0.68854491433530396</v>
      </c>
      <c r="M125" s="3460">
        <v>-0.38333731611195881</v>
      </c>
    </row>
    <row r="126" spans="2:13" ht="18" customHeight="1" x14ac:dyDescent="0.2">
      <c r="B126" s="2634" t="s">
        <v>683</v>
      </c>
      <c r="C126" s="2636" t="s">
        <v>683</v>
      </c>
      <c r="D126" s="3461">
        <v>0.26657465915794976</v>
      </c>
      <c r="E126" s="3461">
        <v>3.3023885085150693</v>
      </c>
      <c r="F126" s="3461">
        <v>0.32156466913417875</v>
      </c>
      <c r="G126" s="4443">
        <f t="shared" si="77"/>
        <v>3.5347086946162813E-3</v>
      </c>
      <c r="H126" s="3081">
        <f t="shared" si="78"/>
        <v>5.1851415612890896E-2</v>
      </c>
      <c r="I126" s="3081">
        <f t="shared" si="79"/>
        <v>0.64236993092794881</v>
      </c>
      <c r="J126" s="3194">
        <v>9.4226376548997668E-4</v>
      </c>
      <c r="K126" s="3194">
        <v>0.17123351907024975</v>
      </c>
      <c r="L126" s="3194">
        <v>0.20656347430059113</v>
      </c>
      <c r="M126" s="3460">
        <v>-0.11500119483358766</v>
      </c>
    </row>
    <row r="127" spans="2:13" ht="18" customHeight="1" x14ac:dyDescent="0.2">
      <c r="B127" s="2634" t="s">
        <v>686</v>
      </c>
      <c r="C127" s="2636" t="s">
        <v>686</v>
      </c>
      <c r="D127" s="3461">
        <v>4.442910985965829E-2</v>
      </c>
      <c r="E127" s="3461">
        <v>0.55039808475251162</v>
      </c>
      <c r="F127" s="3461">
        <v>5.3594111522363118E-2</v>
      </c>
      <c r="G127" s="4443">
        <f t="shared" si="77"/>
        <v>3.5347086946162813E-3</v>
      </c>
      <c r="H127" s="3081">
        <f t="shared" si="78"/>
        <v>5.1851415612890882E-2</v>
      </c>
      <c r="I127" s="3081">
        <f t="shared" si="79"/>
        <v>0.64236993092794914</v>
      </c>
      <c r="J127" s="3194">
        <v>1.5704396091499611E-4</v>
      </c>
      <c r="K127" s="3194">
        <v>2.8538919845041619E-2</v>
      </c>
      <c r="L127" s="3194">
        <v>3.4427245716765198E-2</v>
      </c>
      <c r="M127" s="3460">
        <v>-1.9166865805597941E-2</v>
      </c>
    </row>
    <row r="128" spans="2:13" ht="18" customHeight="1" x14ac:dyDescent="0.2">
      <c r="B128" s="2634" t="s">
        <v>688</v>
      </c>
      <c r="C128" s="2636" t="s">
        <v>688</v>
      </c>
      <c r="D128" s="3461">
        <v>0.81453368076040211</v>
      </c>
      <c r="E128" s="3461">
        <v>10.090631553796047</v>
      </c>
      <c r="F128" s="3461">
        <v>0.98255871124332395</v>
      </c>
      <c r="G128" s="4443">
        <f t="shared" si="77"/>
        <v>3.5347086946162808E-3</v>
      </c>
      <c r="H128" s="3081">
        <f t="shared" si="78"/>
        <v>5.1851415612890875E-2</v>
      </c>
      <c r="I128" s="3081">
        <f t="shared" si="79"/>
        <v>0.64236993092794903</v>
      </c>
      <c r="J128" s="3194">
        <v>2.8791392834415955E-3</v>
      </c>
      <c r="K128" s="3194">
        <v>0.52321353049242969</v>
      </c>
      <c r="L128" s="3194">
        <v>0.63116617147402865</v>
      </c>
      <c r="M128" s="3460">
        <v>-0.35139253976929558</v>
      </c>
    </row>
    <row r="129" spans="2:13" ht="18" customHeight="1" x14ac:dyDescent="0.2">
      <c r="B129" s="2634" t="s">
        <v>689</v>
      </c>
      <c r="C129" s="2636" t="s">
        <v>689</v>
      </c>
      <c r="D129" s="3461">
        <v>0.56276872488900509</v>
      </c>
      <c r="E129" s="3461">
        <v>6.9717090735318132</v>
      </c>
      <c r="F129" s="3461">
        <v>0.6788587459499329</v>
      </c>
      <c r="G129" s="4443">
        <f t="shared" si="77"/>
        <v>3.5347086946162804E-3</v>
      </c>
      <c r="H129" s="3081">
        <f t="shared" si="78"/>
        <v>5.1851415612890889E-2</v>
      </c>
      <c r="I129" s="3081">
        <f t="shared" si="79"/>
        <v>0.64236993092794892</v>
      </c>
      <c r="J129" s="3194">
        <v>1.9892235049232838E-3</v>
      </c>
      <c r="K129" s="3194">
        <v>0.36149298470386054</v>
      </c>
      <c r="L129" s="3194">
        <v>0.43607844574569243</v>
      </c>
      <c r="M129" s="3460">
        <v>-0.24278030020424057</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59.51651987646914</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59.51651987646914</v>
      </c>
      <c r="L131" s="3196"/>
      <c r="M131" s="3193" t="str">
        <f>IF(SUM(M132:M143)=0,"NO",SUM(M132:M143))</f>
        <v>NO</v>
      </c>
    </row>
    <row r="132" spans="2:13" ht="18" customHeight="1" x14ac:dyDescent="0.2">
      <c r="B132" s="2634" t="s">
        <v>671</v>
      </c>
      <c r="C132" s="2636" t="s">
        <v>671</v>
      </c>
      <c r="D132" s="3461" t="s">
        <v>199</v>
      </c>
      <c r="E132" s="3461">
        <v>0.8261678351870676</v>
      </c>
      <c r="F132" s="346"/>
      <c r="G132" s="3668" t="str">
        <f>IF(SUM(D132)=0,"NA",J132/D132)</f>
        <v>NA</v>
      </c>
      <c r="H132" s="3081">
        <f>IF(SUM(E132)=0,"NA",K132/E132)</f>
        <v>0.7584269662921348</v>
      </c>
      <c r="I132" s="4253"/>
      <c r="J132" s="3194" t="s">
        <v>199</v>
      </c>
      <c r="K132" s="3194">
        <v>0.62658796488906809</v>
      </c>
      <c r="L132" s="3196"/>
      <c r="M132" s="3460" t="s">
        <v>199</v>
      </c>
    </row>
    <row r="133" spans="2:13" ht="18" customHeight="1" x14ac:dyDescent="0.2">
      <c r="B133" s="2634" t="s">
        <v>672</v>
      </c>
      <c r="C133" s="2636" t="s">
        <v>672</v>
      </c>
      <c r="D133" s="3461" t="s">
        <v>199</v>
      </c>
      <c r="E133" s="3461">
        <v>6.3732947285859511</v>
      </c>
      <c r="F133" s="346"/>
      <c r="G133" s="3668" t="str">
        <f t="shared" ref="G133:G143" si="80">IF(SUM(D133)=0,"NA",J133/D133)</f>
        <v>NA</v>
      </c>
      <c r="H133" s="3081">
        <f t="shared" ref="H133:H143" si="81">IF(SUM(E133)=0,"NA",K133/E133)</f>
        <v>0.7584269662921348</v>
      </c>
      <c r="I133" s="4253"/>
      <c r="J133" s="3194" t="s">
        <v>199</v>
      </c>
      <c r="K133" s="3194">
        <v>4.8336785862870979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14.546455098115153</v>
      </c>
      <c r="F135" s="346"/>
      <c r="G135" s="3668" t="str">
        <f t="shared" si="80"/>
        <v>NA</v>
      </c>
      <c r="H135" s="3081">
        <f t="shared" si="81"/>
        <v>0.75842696629213502</v>
      </c>
      <c r="I135" s="4253"/>
      <c r="J135" s="3194" t="s">
        <v>199</v>
      </c>
      <c r="K135" s="3194">
        <v>11.032423810368236</v>
      </c>
      <c r="L135" s="3196"/>
      <c r="M135" s="3460" t="s">
        <v>199</v>
      </c>
    </row>
    <row r="136" spans="2:13" ht="18" customHeight="1" x14ac:dyDescent="0.2">
      <c r="B136" s="2634" t="s">
        <v>676</v>
      </c>
      <c r="C136" s="2636" t="s">
        <v>676</v>
      </c>
      <c r="D136" s="3461" t="s">
        <v>199</v>
      </c>
      <c r="E136" s="3461">
        <v>7.6207254470095021E-2</v>
      </c>
      <c r="F136" s="346"/>
      <c r="G136" s="3668" t="str">
        <f t="shared" si="80"/>
        <v>NA</v>
      </c>
      <c r="H136" s="3081">
        <f t="shared" si="81"/>
        <v>0.75842696629213491</v>
      </c>
      <c r="I136" s="4253"/>
      <c r="J136" s="3194" t="s">
        <v>199</v>
      </c>
      <c r="K136" s="3194">
        <v>5.7797636817206906E-2</v>
      </c>
      <c r="L136" s="3196"/>
      <c r="M136" s="3460" t="s">
        <v>199</v>
      </c>
    </row>
    <row r="137" spans="2:13" ht="18" customHeight="1" x14ac:dyDescent="0.2">
      <c r="B137" s="2634" t="s">
        <v>677</v>
      </c>
      <c r="C137" s="2636" t="s">
        <v>677</v>
      </c>
      <c r="D137" s="3461" t="s">
        <v>199</v>
      </c>
      <c r="E137" s="3461">
        <v>41.780487665174562</v>
      </c>
      <c r="F137" s="346"/>
      <c r="G137" s="3668" t="str">
        <f t="shared" si="80"/>
        <v>NA</v>
      </c>
      <c r="H137" s="3081">
        <f t="shared" si="81"/>
        <v>0.75842696629213491</v>
      </c>
      <c r="I137" s="4253"/>
      <c r="J137" s="3194" t="s">
        <v>199</v>
      </c>
      <c r="K137" s="3194">
        <v>31.687448510104307</v>
      </c>
      <c r="L137" s="3196"/>
      <c r="M137" s="3460" t="s">
        <v>199</v>
      </c>
    </row>
    <row r="138" spans="2:13" ht="18" customHeight="1" x14ac:dyDescent="0.2">
      <c r="B138" s="2634" t="s">
        <v>679</v>
      </c>
      <c r="C138" s="2636" t="s">
        <v>679</v>
      </c>
      <c r="D138" s="3461" t="s">
        <v>199</v>
      </c>
      <c r="E138" s="3461">
        <v>9.736978057561867</v>
      </c>
      <c r="F138" s="346"/>
      <c r="G138" s="3668" t="str">
        <f t="shared" si="80"/>
        <v>NA</v>
      </c>
      <c r="H138" s="3081">
        <f t="shared" si="81"/>
        <v>0.75842696629213491</v>
      </c>
      <c r="I138" s="4253"/>
      <c r="J138" s="3194" t="s">
        <v>199</v>
      </c>
      <c r="K138" s="3194">
        <v>7.3847867290497318</v>
      </c>
      <c r="L138" s="3196"/>
      <c r="M138" s="3460" t="s">
        <v>199</v>
      </c>
    </row>
    <row r="139" spans="2:13" ht="18" customHeight="1" x14ac:dyDescent="0.2">
      <c r="B139" s="2634" t="s">
        <v>681</v>
      </c>
      <c r="C139" s="2636" t="s">
        <v>681</v>
      </c>
      <c r="D139" s="3461" t="s">
        <v>199</v>
      </c>
      <c r="E139" s="3461">
        <v>1.7703596468294307</v>
      </c>
      <c r="F139" s="346"/>
      <c r="G139" s="3668" t="str">
        <f t="shared" si="80"/>
        <v>NA</v>
      </c>
      <c r="H139" s="3081">
        <f t="shared" si="81"/>
        <v>0.75842696629213491</v>
      </c>
      <c r="I139" s="4253"/>
      <c r="J139" s="3194" t="s">
        <v>199</v>
      </c>
      <c r="K139" s="3194">
        <v>1.3426884961908605</v>
      </c>
      <c r="L139" s="3196"/>
      <c r="M139" s="3460" t="s">
        <v>199</v>
      </c>
    </row>
    <row r="140" spans="2:13" ht="18" customHeight="1" x14ac:dyDescent="0.2">
      <c r="B140" s="2634" t="s">
        <v>683</v>
      </c>
      <c r="C140" s="2636" t="s">
        <v>683</v>
      </c>
      <c r="D140" s="3461" t="s">
        <v>199</v>
      </c>
      <c r="E140" s="3461">
        <v>0.53110789404882919</v>
      </c>
      <c r="F140" s="346"/>
      <c r="G140" s="3668" t="str">
        <f t="shared" si="80"/>
        <v>NA</v>
      </c>
      <c r="H140" s="3081">
        <f t="shared" si="81"/>
        <v>0.75842696629213491</v>
      </c>
      <c r="I140" s="4253"/>
      <c r="J140" s="3194" t="s">
        <v>199</v>
      </c>
      <c r="K140" s="3194">
        <v>0.40280654885725814</v>
      </c>
      <c r="L140" s="3196"/>
      <c r="M140" s="3460" t="s">
        <v>199</v>
      </c>
    </row>
    <row r="141" spans="2:13" ht="18" customHeight="1" x14ac:dyDescent="0.2">
      <c r="B141" s="2634" t="s">
        <v>686</v>
      </c>
      <c r="C141" s="2636" t="s">
        <v>686</v>
      </c>
      <c r="D141" s="3461" t="s">
        <v>199</v>
      </c>
      <c r="E141" s="3461">
        <v>8.8517982341471527E-2</v>
      </c>
      <c r="F141" s="346"/>
      <c r="G141" s="3668" t="str">
        <f t="shared" si="80"/>
        <v>NA</v>
      </c>
      <c r="H141" s="3081">
        <f t="shared" si="81"/>
        <v>0.75842696629213502</v>
      </c>
      <c r="I141" s="4253"/>
      <c r="J141" s="3194" t="s">
        <v>199</v>
      </c>
      <c r="K141" s="3194">
        <v>6.7134424809543028E-2</v>
      </c>
      <c r="L141" s="3196"/>
      <c r="M141" s="3460" t="s">
        <v>199</v>
      </c>
    </row>
    <row r="142" spans="2:13" ht="18" customHeight="1" x14ac:dyDescent="0.2">
      <c r="B142" s="2634" t="s">
        <v>688</v>
      </c>
      <c r="C142" s="2636" t="s">
        <v>688</v>
      </c>
      <c r="D142" s="3461" t="s">
        <v>199</v>
      </c>
      <c r="E142" s="3461">
        <v>1.6228296762603116</v>
      </c>
      <c r="F142" s="346"/>
      <c r="G142" s="3668" t="str">
        <f t="shared" si="80"/>
        <v>NA</v>
      </c>
      <c r="H142" s="3081">
        <f t="shared" si="81"/>
        <v>0.7584269662921348</v>
      </c>
      <c r="I142" s="4253"/>
      <c r="J142" s="3194" t="s">
        <v>199</v>
      </c>
      <c r="K142" s="3194">
        <v>1.2307977881749554</v>
      </c>
      <c r="L142" s="3196"/>
      <c r="M142" s="3460" t="s">
        <v>199</v>
      </c>
    </row>
    <row r="143" spans="2:13" ht="18" customHeight="1" x14ac:dyDescent="0.2">
      <c r="B143" s="2634" t="s">
        <v>689</v>
      </c>
      <c r="C143" s="2636" t="s">
        <v>689</v>
      </c>
      <c r="D143" s="3461" t="s">
        <v>199</v>
      </c>
      <c r="E143" s="3461">
        <v>1.121227776325306</v>
      </c>
      <c r="F143" s="346"/>
      <c r="G143" s="3668" t="str">
        <f t="shared" si="80"/>
        <v>NA</v>
      </c>
      <c r="H143" s="3081">
        <f t="shared" si="81"/>
        <v>0.75842696629213491</v>
      </c>
      <c r="I143" s="4253"/>
      <c r="J143" s="3194" t="s">
        <v>199</v>
      </c>
      <c r="K143" s="3194">
        <v>0.85036938092087822</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99.746980467842391</v>
      </c>
      <c r="L146" s="3081">
        <f>IF(SUM(L147:L158)=0,"NO",SUM(L147:L158))</f>
        <v>43.062563821214091</v>
      </c>
      <c r="M146" s="3193" t="str">
        <f>IF(SUM(M147:M158)=0,"NO",SUM(M147:M158))</f>
        <v>NO</v>
      </c>
    </row>
    <row r="147" spans="2:13" ht="18" customHeight="1" x14ac:dyDescent="0.2">
      <c r="B147" s="2634" t="s">
        <v>671</v>
      </c>
      <c r="C147" s="2636" t="s">
        <v>671</v>
      </c>
      <c r="D147" s="3461">
        <v>0.49212449285104171</v>
      </c>
      <c r="E147" s="3461">
        <v>1.9571703942985728</v>
      </c>
      <c r="F147" s="3461">
        <v>0.45336125639812697</v>
      </c>
      <c r="G147" s="3668" t="str">
        <f>IFERROR(J147/D147,"NA")</f>
        <v>NA</v>
      </c>
      <c r="H147" s="3081">
        <f>IF(SUM(E147)=0,"NA",K147/E147)</f>
        <v>0.53655672221323791</v>
      </c>
      <c r="I147" s="3081">
        <f>IF(SUM(F147)=0,"NA",L147/F147)</f>
        <v>1.0000000000000002</v>
      </c>
      <c r="J147" s="3194" t="s">
        <v>199</v>
      </c>
      <c r="K147" s="3194">
        <v>1.0501329315776327</v>
      </c>
      <c r="L147" s="3194">
        <v>0.45336125639812708</v>
      </c>
      <c r="M147" s="3460" t="s">
        <v>199</v>
      </c>
    </row>
    <row r="148" spans="2:13" ht="18" customHeight="1" x14ac:dyDescent="0.2">
      <c r="B148" s="2634" t="s">
        <v>672</v>
      </c>
      <c r="C148" s="2636" t="s">
        <v>672</v>
      </c>
      <c r="D148" s="3461">
        <v>3.7963889448508943</v>
      </c>
      <c r="E148" s="3461">
        <v>15.098171613160421</v>
      </c>
      <c r="F148" s="3461">
        <v>3.4973582636426941</v>
      </c>
      <c r="G148" s="3668" t="str">
        <f t="shared" ref="G148:G158" si="82">IFERROR(J148/D148,"NA")</f>
        <v>NA</v>
      </c>
      <c r="H148" s="3081">
        <f t="shared" ref="H148:H158" si="83">IF(SUM(E148)=0,"NA",K148/E148)</f>
        <v>0.53655672221323802</v>
      </c>
      <c r="I148" s="3081">
        <f t="shared" ref="I148:I158" si="84">IF(SUM(F148)=0,"NA",L148/F148)</f>
        <v>1.0000000000000004</v>
      </c>
      <c r="J148" s="3194" t="s">
        <v>199</v>
      </c>
      <c r="K148" s="3194">
        <v>8.1010254721703117</v>
      </c>
      <c r="L148" s="3194">
        <v>3.4973582636426954</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8.6649062491272719</v>
      </c>
      <c r="E150" s="3461">
        <v>34.460178728185589</v>
      </c>
      <c r="F150" s="3461">
        <v>7.9823964072955933</v>
      </c>
      <c r="G150" s="3668" t="str">
        <f t="shared" si="82"/>
        <v>NA</v>
      </c>
      <c r="H150" s="3081">
        <f t="shared" si="83"/>
        <v>0.53655672221323791</v>
      </c>
      <c r="I150" s="3081">
        <f t="shared" si="84"/>
        <v>1.0000000000000009</v>
      </c>
      <c r="J150" s="3194" t="s">
        <v>199</v>
      </c>
      <c r="K150" s="3194">
        <v>18.489840545277605</v>
      </c>
      <c r="L150" s="3194">
        <v>7.9823964072955995</v>
      </c>
      <c r="M150" s="3460" t="s">
        <v>199</v>
      </c>
    </row>
    <row r="151" spans="2:13" ht="18" customHeight="1" x14ac:dyDescent="0.2">
      <c r="B151" s="2634" t="s">
        <v>676</v>
      </c>
      <c r="C151" s="2636" t="s">
        <v>676</v>
      </c>
      <c r="D151" s="3461">
        <v>4.5394476594666701E-2</v>
      </c>
      <c r="E151" s="3461">
        <v>0.18053302964267023</v>
      </c>
      <c r="F151" s="3461">
        <v>4.18188837203897E-2</v>
      </c>
      <c r="G151" s="3668" t="str">
        <f t="shared" si="82"/>
        <v>NA</v>
      </c>
      <c r="H151" s="3081">
        <f t="shared" si="83"/>
        <v>0.53655672221323791</v>
      </c>
      <c r="I151" s="3081">
        <f t="shared" si="84"/>
        <v>1.0000000000000002</v>
      </c>
      <c r="J151" s="3194" t="s">
        <v>199</v>
      </c>
      <c r="K151" s="3194">
        <v>9.6866210636296454E-2</v>
      </c>
      <c r="L151" s="3194">
        <v>4.1818883720389707E-2</v>
      </c>
      <c r="M151" s="3460" t="s">
        <v>199</v>
      </c>
    </row>
    <row r="152" spans="2:13" ht="18" customHeight="1" x14ac:dyDescent="0.2">
      <c r="B152" s="2634" t="s">
        <v>677</v>
      </c>
      <c r="C152" s="2636" t="s">
        <v>677</v>
      </c>
      <c r="D152" s="3461">
        <v>24.887438638466975</v>
      </c>
      <c r="E152" s="3461">
        <v>98.97690279738498</v>
      </c>
      <c r="F152" s="3461">
        <v>22.927126394990996</v>
      </c>
      <c r="G152" s="3668" t="str">
        <f t="shared" si="82"/>
        <v>NA</v>
      </c>
      <c r="H152" s="3081">
        <f t="shared" si="83"/>
        <v>0.53655672221323802</v>
      </c>
      <c r="I152" s="3081">
        <f t="shared" si="84"/>
        <v>0.99999999999999989</v>
      </c>
      <c r="J152" s="3194" t="s">
        <v>199</v>
      </c>
      <c r="K152" s="3194">
        <v>53.106722539783149</v>
      </c>
      <c r="L152" s="3194">
        <v>22.927126394990992</v>
      </c>
      <c r="M152" s="3460" t="s">
        <v>199</v>
      </c>
    </row>
    <row r="153" spans="2:13" ht="18" customHeight="1" x14ac:dyDescent="0.2">
      <c r="B153" s="2634" t="s">
        <v>679</v>
      </c>
      <c r="C153" s="2636" t="s">
        <v>679</v>
      </c>
      <c r="D153" s="3461">
        <v>5.8000386657444212</v>
      </c>
      <c r="E153" s="3461">
        <v>23.066651075661749</v>
      </c>
      <c r="F153" s="3461">
        <v>5.3431862361207827</v>
      </c>
      <c r="G153" s="3668" t="str">
        <f t="shared" si="82"/>
        <v>NA</v>
      </c>
      <c r="H153" s="3081">
        <f t="shared" si="83"/>
        <v>0.53655672221323791</v>
      </c>
      <c r="I153" s="3081">
        <f t="shared" si="84"/>
        <v>1</v>
      </c>
      <c r="J153" s="3194" t="s">
        <v>199</v>
      </c>
      <c r="K153" s="3194">
        <v>12.376566693593528</v>
      </c>
      <c r="L153" s="3194">
        <v>5.3431862361207827</v>
      </c>
      <c r="M153" s="3460" t="s">
        <v>199</v>
      </c>
    </row>
    <row r="154" spans="2:13" ht="18" customHeight="1" x14ac:dyDescent="0.2">
      <c r="B154" s="2634" t="s">
        <v>681</v>
      </c>
      <c r="C154" s="2636" t="s">
        <v>681</v>
      </c>
      <c r="D154" s="3461">
        <v>1.0545524846808039</v>
      </c>
      <c r="E154" s="3461">
        <v>4.1939365592112283</v>
      </c>
      <c r="F154" s="3461">
        <v>0.97148840656741497</v>
      </c>
      <c r="G154" s="3668" t="str">
        <f t="shared" si="82"/>
        <v>NA</v>
      </c>
      <c r="H154" s="3081">
        <f t="shared" si="83"/>
        <v>0.53655672221323791</v>
      </c>
      <c r="I154" s="3081">
        <f t="shared" si="84"/>
        <v>1.0000000000000002</v>
      </c>
      <c r="J154" s="3194" t="s">
        <v>199</v>
      </c>
      <c r="K154" s="3194">
        <v>2.2502848533806419</v>
      </c>
      <c r="L154" s="3194">
        <v>0.9714884065674152</v>
      </c>
      <c r="M154" s="3460" t="s">
        <v>199</v>
      </c>
    </row>
    <row r="155" spans="2:13" ht="18" customHeight="1" x14ac:dyDescent="0.2">
      <c r="B155" s="2634" t="s">
        <v>683</v>
      </c>
      <c r="C155" s="2636" t="s">
        <v>683</v>
      </c>
      <c r="D155" s="3461">
        <v>0.31636574540424117</v>
      </c>
      <c r="E155" s="3461">
        <v>1.2581809677633684</v>
      </c>
      <c r="F155" s="3461">
        <v>0.29144652197022453</v>
      </c>
      <c r="G155" s="3668" t="str">
        <f t="shared" si="82"/>
        <v>NA</v>
      </c>
      <c r="H155" s="3081">
        <f t="shared" si="83"/>
        <v>0.53655672221323791</v>
      </c>
      <c r="I155" s="3081">
        <f t="shared" si="84"/>
        <v>1.0000000000000007</v>
      </c>
      <c r="J155" s="3194" t="s">
        <v>199</v>
      </c>
      <c r="K155" s="3194">
        <v>0.67508545601419245</v>
      </c>
      <c r="L155" s="3194">
        <v>0.29144652197022469</v>
      </c>
      <c r="M155" s="3460" t="s">
        <v>199</v>
      </c>
    </row>
    <row r="156" spans="2:13" ht="18" customHeight="1" x14ac:dyDescent="0.2">
      <c r="B156" s="2634" t="s">
        <v>686</v>
      </c>
      <c r="C156" s="2636" t="s">
        <v>686</v>
      </c>
      <c r="D156" s="3461">
        <v>5.2727624234040191E-2</v>
      </c>
      <c r="E156" s="3461">
        <v>0.20969682796056138</v>
      </c>
      <c r="F156" s="3461">
        <v>4.8574420328370747E-2</v>
      </c>
      <c r="G156" s="3668" t="str">
        <f t="shared" si="82"/>
        <v>NA</v>
      </c>
      <c r="H156" s="3081">
        <f t="shared" si="83"/>
        <v>0.53655672221323791</v>
      </c>
      <c r="I156" s="3081">
        <f t="shared" si="84"/>
        <v>0.99999999999999989</v>
      </c>
      <c r="J156" s="3194" t="s">
        <v>199</v>
      </c>
      <c r="K156" s="3194">
        <v>0.11251424266903208</v>
      </c>
      <c r="L156" s="3194">
        <v>4.857442032837074E-2</v>
      </c>
      <c r="M156" s="3460" t="s">
        <v>199</v>
      </c>
    </row>
    <row r="157" spans="2:13" ht="18" customHeight="1" x14ac:dyDescent="0.2">
      <c r="B157" s="2634" t="s">
        <v>688</v>
      </c>
      <c r="C157" s="2636" t="s">
        <v>688</v>
      </c>
      <c r="D157" s="3461">
        <v>0.9666731109574036</v>
      </c>
      <c r="E157" s="3461">
        <v>3.8444418459436256</v>
      </c>
      <c r="F157" s="3461">
        <v>0.89053103935346378</v>
      </c>
      <c r="G157" s="3668" t="str">
        <f t="shared" si="82"/>
        <v>NA</v>
      </c>
      <c r="H157" s="3081">
        <f t="shared" si="83"/>
        <v>0.53655672221323802</v>
      </c>
      <c r="I157" s="3081">
        <f t="shared" si="84"/>
        <v>1</v>
      </c>
      <c r="J157" s="3194" t="s">
        <v>199</v>
      </c>
      <c r="K157" s="3194">
        <v>2.0627611155989221</v>
      </c>
      <c r="L157" s="3194">
        <v>0.89053103935346378</v>
      </c>
      <c r="M157" s="3460" t="s">
        <v>199</v>
      </c>
    </row>
    <row r="158" spans="2:13" ht="18" customHeight="1" x14ac:dyDescent="0.2">
      <c r="B158" s="2634" t="s">
        <v>689</v>
      </c>
      <c r="C158" s="2636" t="s">
        <v>689</v>
      </c>
      <c r="D158" s="3461">
        <v>0.66788324029784241</v>
      </c>
      <c r="E158" s="3461">
        <v>2.6561598208337771</v>
      </c>
      <c r="F158" s="3461">
        <v>0.61527599082602946</v>
      </c>
      <c r="G158" s="3668" t="str">
        <f t="shared" si="82"/>
        <v>NA</v>
      </c>
      <c r="H158" s="3081">
        <f t="shared" si="83"/>
        <v>0.53655672221323802</v>
      </c>
      <c r="I158" s="3081">
        <f t="shared" si="84"/>
        <v>1.0000000000000004</v>
      </c>
      <c r="J158" s="3194" t="s">
        <v>199</v>
      </c>
      <c r="K158" s="3194">
        <v>1.425180407141073</v>
      </c>
      <c r="L158" s="3194">
        <v>0.61527599082602968</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3.7530873369915327</v>
      </c>
      <c r="K162" s="3200">
        <f t="shared" ref="K162:M162" si="90">IF(SUM(K163,K165,K175)=0,"NO",SUM(K163,K165,K175))</f>
        <v>4.448336097381862</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3.7530873369915327</v>
      </c>
      <c r="K163" s="3197">
        <f t="shared" ref="K163:M163" si="91">K164</f>
        <v>3.3460765583644054</v>
      </c>
      <c r="L163" s="3197">
        <f t="shared" si="91"/>
        <v>0</v>
      </c>
      <c r="M163" s="3193" t="str">
        <f t="shared" si="91"/>
        <v>NO</v>
      </c>
    </row>
    <row r="164" spans="2:13" ht="18" customHeight="1" x14ac:dyDescent="0.2">
      <c r="B164" s="2634" t="s">
        <v>905</v>
      </c>
      <c r="C164" s="2636" t="s">
        <v>905</v>
      </c>
      <c r="D164" s="4136">
        <v>45.509572971775548</v>
      </c>
      <c r="E164" s="4136">
        <v>882.63277051297814</v>
      </c>
      <c r="F164" s="2635">
        <v>0</v>
      </c>
      <c r="G164" s="3668">
        <f t="shared" ref="G164" si="92">IF(SUM(D164)=0,"NA",J164/D164)</f>
        <v>8.2468085106382982E-2</v>
      </c>
      <c r="H164" s="3081">
        <f t="shared" ref="H164" si="93">IF(SUM(E164)=0,"NA",K164/E164)</f>
        <v>3.7910178164127038E-3</v>
      </c>
      <c r="I164" s="3081" t="str">
        <f t="shared" ref="I164" si="94">IF(SUM(F164)=0,"NA",L164/F164)</f>
        <v>NA</v>
      </c>
      <c r="J164" s="3120">
        <v>3.7530873369915327</v>
      </c>
      <c r="K164" s="3120">
        <v>3.3460765583644054</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1.1022595390174565</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1.1022595390174565</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1.1022595390174565</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1.1022595390174565</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3083.3902291881086</v>
      </c>
      <c r="D10" s="2517">
        <f t="shared" ref="D10:I10" si="0">IF(SUM(D11,D21,D32:D33,D43:D48)=0,"NO",SUM(D11,D21,D32:D33,D43:D48))</f>
        <v>2192.06804562664</v>
      </c>
      <c r="E10" s="2517">
        <f t="shared" si="0"/>
        <v>45.871067593386485</v>
      </c>
      <c r="F10" s="2517">
        <f t="shared" si="0"/>
        <v>29.615496776943218</v>
      </c>
      <c r="G10" s="2517">
        <f t="shared" si="0"/>
        <v>471.32860008354407</v>
      </c>
      <c r="H10" s="2925">
        <f t="shared" si="0"/>
        <v>27.494168338206737</v>
      </c>
      <c r="I10" s="2934" t="str">
        <f t="shared" si="0"/>
        <v>NO</v>
      </c>
      <c r="J10" s="2935">
        <f>IF(SUM(C10:E10)=0,"NO",SUM(C10)+28*SUM(D10)+265*SUM(E10))</f>
        <v>76617.128418981447</v>
      </c>
    </row>
    <row r="11" spans="1:10" ht="18" customHeight="1" x14ac:dyDescent="0.2">
      <c r="B11" s="234" t="s">
        <v>923</v>
      </c>
      <c r="C11" s="2936"/>
      <c r="D11" s="2163">
        <f>SUM(D17:D20)</f>
        <v>1938.4604272450067</v>
      </c>
      <c r="E11" s="1955"/>
      <c r="F11" s="1955"/>
      <c r="G11" s="1955"/>
      <c r="H11" s="2937"/>
      <c r="I11" s="2937"/>
      <c r="J11" s="1887">
        <f>IF(SUM(C11:E11)=0,"NO",SUM(C11)+28*SUM(D11)+265*SUM(E11))</f>
        <v>54276.891962860187</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1448.9317717731542</v>
      </c>
      <c r="E17" s="615"/>
      <c r="F17" s="615"/>
      <c r="G17" s="615"/>
      <c r="H17" s="2939"/>
      <c r="I17" s="2940"/>
      <c r="J17" s="2943">
        <f>IF(SUM(C17:E17)=0,"NO",SUM(C17)+28*SUM(D17)+265*SUM(E17))</f>
        <v>40570.089609648319</v>
      </c>
    </row>
    <row r="18" spans="2:10" ht="18" customHeight="1" x14ac:dyDescent="0.2">
      <c r="B18" s="228" t="s">
        <v>930</v>
      </c>
      <c r="C18" s="2945"/>
      <c r="D18" s="2930">
        <f>Table3.A!G24</f>
        <v>476.89991125844108</v>
      </c>
      <c r="E18" s="615"/>
      <c r="F18" s="615"/>
      <c r="G18" s="615"/>
      <c r="H18" s="2939"/>
      <c r="I18" s="2940"/>
      <c r="J18" s="2943">
        <f t="shared" ref="J18:J22" si="1">IF(SUM(C18:E18)=0,"NO",SUM(C18)+28*SUM(D18)+265*SUM(E18))</f>
        <v>13353.19751523635</v>
      </c>
    </row>
    <row r="19" spans="2:10" ht="18" customHeight="1" x14ac:dyDescent="0.2">
      <c r="B19" s="228" t="s">
        <v>931</v>
      </c>
      <c r="C19" s="2945"/>
      <c r="D19" s="2930">
        <f>Table3.A!G27</f>
        <v>4.0809898806005238</v>
      </c>
      <c r="E19" s="615"/>
      <c r="F19" s="615"/>
      <c r="G19" s="615"/>
      <c r="H19" s="2939"/>
      <c r="I19" s="2940"/>
      <c r="J19" s="2943">
        <f t="shared" si="1"/>
        <v>114.26771665681467</v>
      </c>
    </row>
    <row r="20" spans="2:10" ht="18" customHeight="1" thickBot="1" x14ac:dyDescent="0.25">
      <c r="B20" s="1296" t="s">
        <v>932</v>
      </c>
      <c r="C20" s="2946"/>
      <c r="D20" s="2517">
        <f>Table3.A!G30</f>
        <v>8.5477543328109125</v>
      </c>
      <c r="E20" s="1948"/>
      <c r="F20" s="1948"/>
      <c r="G20" s="1948"/>
      <c r="H20" s="2947"/>
      <c r="I20" s="2948"/>
      <c r="J20" s="2943">
        <f t="shared" si="1"/>
        <v>239.33712131870556</v>
      </c>
    </row>
    <row r="21" spans="2:10" ht="18" customHeight="1" x14ac:dyDescent="0.2">
      <c r="B21" s="1455" t="s">
        <v>933</v>
      </c>
      <c r="C21" s="2949"/>
      <c r="D21" s="2930">
        <f>IF(SUM(D27:D31)=0,"NO",SUM(D27:D31))</f>
        <v>234.03120177982962</v>
      </c>
      <c r="E21" s="2930">
        <f>IF(SUM(E27:E31)=0,"NO",SUM(E27:E31))</f>
        <v>2.3876339583751296</v>
      </c>
      <c r="F21" s="2160"/>
      <c r="G21" s="2160"/>
      <c r="H21" s="2930" t="str">
        <f>IF(SUM(H27:H31)=0,"NE",SUM(H27:H31))</f>
        <v>NE</v>
      </c>
      <c r="I21" s="2940"/>
      <c r="J21" s="2950">
        <f t="shared" si="1"/>
        <v>7185.5966488046388</v>
      </c>
    </row>
    <row r="22" spans="2:10" ht="18" customHeight="1" x14ac:dyDescent="0.2">
      <c r="B22" s="228" t="s">
        <v>934</v>
      </c>
      <c r="C22" s="2945"/>
      <c r="D22" s="2930">
        <f>D27</f>
        <v>144.2814112168829</v>
      </c>
      <c r="E22" s="2930">
        <f>E27</f>
        <v>1.0512473870119761</v>
      </c>
      <c r="F22" s="2951"/>
      <c r="G22" s="2951"/>
      <c r="H22" s="2930" t="str">
        <f>H27</f>
        <v>NE</v>
      </c>
      <c r="I22" s="2940"/>
      <c r="J22" s="2943">
        <f t="shared" si="1"/>
        <v>4318.4600716308951</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144.2814112168829</v>
      </c>
      <c r="E27" s="2930">
        <f>'Table3.B(b)'!X15</f>
        <v>1.0512473870119761</v>
      </c>
      <c r="F27" s="615"/>
      <c r="G27" s="615"/>
      <c r="H27" s="2953" t="s">
        <v>221</v>
      </c>
      <c r="I27" s="2940"/>
      <c r="J27" s="2943">
        <f t="shared" ref="J27:J49" si="2">IF(SUM(C27:E27)=0,"NO",SUM(C27)+28*SUM(D27)+265*SUM(E27))</f>
        <v>4318.4600716308951</v>
      </c>
    </row>
    <row r="28" spans="2:10" ht="18" customHeight="1" x14ac:dyDescent="0.2">
      <c r="B28" s="228" t="s">
        <v>938</v>
      </c>
      <c r="C28" s="2945"/>
      <c r="D28" s="2930">
        <f>'Table3.B(a)'!K24</f>
        <v>24.210816141403786</v>
      </c>
      <c r="E28" s="2930" t="str">
        <f>'Table3.B(b)'!X24</f>
        <v>NA</v>
      </c>
      <c r="F28" s="2951"/>
      <c r="G28" s="2951"/>
      <c r="H28" s="2953" t="s">
        <v>221</v>
      </c>
      <c r="I28" s="2940"/>
      <c r="J28" s="2943">
        <f t="shared" si="2"/>
        <v>677.90285195930596</v>
      </c>
    </row>
    <row r="29" spans="2:10" ht="18" customHeight="1" x14ac:dyDescent="0.2">
      <c r="B29" s="228" t="s">
        <v>939</v>
      </c>
      <c r="C29" s="2945"/>
      <c r="D29" s="2930">
        <f>'Table3.B(a)'!K27</f>
        <v>60.753206663399595</v>
      </c>
      <c r="E29" s="2930">
        <f>'Table3.B(b)'!X27</f>
        <v>0.20466318746833725</v>
      </c>
      <c r="F29" s="2951"/>
      <c r="G29" s="2951"/>
      <c r="H29" s="2953" t="s">
        <v>221</v>
      </c>
      <c r="I29" s="2940"/>
      <c r="J29" s="2943">
        <f t="shared" si="2"/>
        <v>1755.3255312542979</v>
      </c>
    </row>
    <row r="30" spans="2:10" ht="18" customHeight="1" x14ac:dyDescent="0.2">
      <c r="B30" s="228" t="s">
        <v>940</v>
      </c>
      <c r="C30" s="2945"/>
      <c r="D30" s="2930">
        <f>'Table3.B(a)'!K30</f>
        <v>4.7857677581433249</v>
      </c>
      <c r="E30" s="2930">
        <f>'Table3.B(b)'!X30</f>
        <v>0.46694857540391649</v>
      </c>
      <c r="F30" s="2951"/>
      <c r="G30" s="2951"/>
      <c r="H30" s="2953" t="s">
        <v>221</v>
      </c>
      <c r="I30" s="2940"/>
      <c r="J30" s="2943">
        <f t="shared" si="2"/>
        <v>257.74286971005097</v>
      </c>
    </row>
    <row r="31" spans="2:10" ht="18" customHeight="1" thickBot="1" x14ac:dyDescent="0.25">
      <c r="B31" s="1296" t="s">
        <v>941</v>
      </c>
      <c r="C31" s="2954"/>
      <c r="D31" s="2955"/>
      <c r="E31" s="2956">
        <f>SUM('Table3.B(b)'!Y47:Z47)</f>
        <v>0.66477480849089987</v>
      </c>
      <c r="F31" s="2957"/>
      <c r="G31" s="2957"/>
      <c r="H31" s="2958"/>
      <c r="I31" s="2959"/>
      <c r="J31" s="2943">
        <f t="shared" si="2"/>
        <v>176.16532425008847</v>
      </c>
    </row>
    <row r="32" spans="2:10" ht="18" customHeight="1" thickBot="1" x14ac:dyDescent="0.25">
      <c r="B32" s="2658" t="s">
        <v>942</v>
      </c>
      <c r="C32" s="2960"/>
      <c r="D32" s="2961">
        <f>Table3.C!G11</f>
        <v>7.4910678817133576</v>
      </c>
      <c r="E32" s="2962"/>
      <c r="F32" s="2962"/>
      <c r="G32" s="2962"/>
      <c r="H32" s="2963" t="s">
        <v>221</v>
      </c>
      <c r="I32" s="2964"/>
      <c r="J32" s="2965">
        <f t="shared" si="2"/>
        <v>209.74990068797402</v>
      </c>
    </row>
    <row r="33" spans="2:10" ht="18" customHeight="1" x14ac:dyDescent="0.2">
      <c r="B33" s="2657" t="s">
        <v>943</v>
      </c>
      <c r="C33" s="2966"/>
      <c r="D33" s="2967" t="s">
        <v>221</v>
      </c>
      <c r="E33" s="2967">
        <f>IF(SUM(E34,E42)=0,"NO",SUM(E34,E42))</f>
        <v>42.970834146284133</v>
      </c>
      <c r="F33" s="2967" t="str">
        <f>IF(SUM(F34,F42)=0,"NO",SUM(F34,F42))</f>
        <v>NO</v>
      </c>
      <c r="G33" s="2967" t="str">
        <f>IF(SUM(G34,G42)=0,"NO",SUM(G34,G42))</f>
        <v>NO</v>
      </c>
      <c r="H33" s="2967" t="str">
        <f>IF(SUM(H34,H42)=0,"NO",SUM(H34,H42))</f>
        <v>NO</v>
      </c>
      <c r="I33" s="2968"/>
      <c r="J33" s="2969">
        <f t="shared" si="2"/>
        <v>11387.271048765295</v>
      </c>
    </row>
    <row r="34" spans="2:10" ht="18" customHeight="1" x14ac:dyDescent="0.2">
      <c r="B34" s="228" t="s">
        <v>944</v>
      </c>
      <c r="C34" s="2970"/>
      <c r="D34" s="615"/>
      <c r="E34" s="2971">
        <f>IF(SUM(E35:E41)=0,"NO",SUM(E35:E41))</f>
        <v>31.430417673910423</v>
      </c>
      <c r="F34" s="615"/>
      <c r="G34" s="615"/>
      <c r="H34" s="615"/>
      <c r="I34" s="2940"/>
      <c r="J34" s="2972">
        <f t="shared" si="2"/>
        <v>8329.0606835862618</v>
      </c>
    </row>
    <row r="35" spans="2:10" ht="18" customHeight="1" x14ac:dyDescent="0.2">
      <c r="B35" s="232" t="s">
        <v>945</v>
      </c>
      <c r="C35" s="2970"/>
      <c r="D35" s="615"/>
      <c r="E35" s="4248">
        <f>Table3.D!F11</f>
        <v>11.584459657133733</v>
      </c>
      <c r="F35" s="615"/>
      <c r="G35" s="615"/>
      <c r="H35" s="615"/>
      <c r="I35" s="2940"/>
      <c r="J35" s="2972">
        <f t="shared" si="2"/>
        <v>3069.8818091404391</v>
      </c>
    </row>
    <row r="36" spans="2:10" ht="18" customHeight="1" x14ac:dyDescent="0.2">
      <c r="B36" s="232" t="s">
        <v>946</v>
      </c>
      <c r="C36" s="2970"/>
      <c r="D36" s="615"/>
      <c r="E36" s="4248">
        <f>Table3.D!F12</f>
        <v>1.5052564836731799</v>
      </c>
      <c r="F36" s="615"/>
      <c r="G36" s="615"/>
      <c r="H36" s="615"/>
      <c r="I36" s="2940"/>
      <c r="J36" s="2972">
        <f t="shared" si="2"/>
        <v>398.89296817339266</v>
      </c>
    </row>
    <row r="37" spans="2:10" ht="18" customHeight="1" x14ac:dyDescent="0.2">
      <c r="B37" s="232" t="s">
        <v>947</v>
      </c>
      <c r="C37" s="2970"/>
      <c r="D37" s="615"/>
      <c r="E37" s="4248">
        <f>Table3.D!F16</f>
        <v>9.8291753477835648</v>
      </c>
      <c r="F37" s="615"/>
      <c r="G37" s="615"/>
      <c r="H37" s="615"/>
      <c r="I37" s="2940"/>
      <c r="J37" s="2972">
        <f t="shared" si="2"/>
        <v>2604.7314671626445</v>
      </c>
    </row>
    <row r="38" spans="2:10" ht="18" customHeight="1" x14ac:dyDescent="0.2">
      <c r="B38" s="232" t="s">
        <v>948</v>
      </c>
      <c r="C38" s="2970"/>
      <c r="D38" s="615"/>
      <c r="E38" s="4248">
        <f>Table3.D!F17</f>
        <v>8.3156935344017135</v>
      </c>
      <c r="F38" s="615"/>
      <c r="G38" s="615"/>
      <c r="H38" s="615"/>
      <c r="I38" s="2940"/>
      <c r="J38" s="2972">
        <f t="shared" si="2"/>
        <v>2203.6587866164541</v>
      </c>
    </row>
    <row r="39" spans="2:10" ht="26.25" customHeight="1" x14ac:dyDescent="0.2">
      <c r="B39" s="1708" t="s">
        <v>949</v>
      </c>
      <c r="C39" s="2970"/>
      <c r="D39" s="2951"/>
      <c r="E39" s="4248">
        <f>Table3.D!F18</f>
        <v>0.10783265091822881</v>
      </c>
      <c r="F39" s="2951"/>
      <c r="G39" s="2951"/>
      <c r="H39" s="2951"/>
      <c r="I39" s="2940"/>
      <c r="J39" s="2972">
        <f t="shared" si="2"/>
        <v>28.575652493330637</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11.540416472373707</v>
      </c>
      <c r="F42" s="2957"/>
      <c r="G42" s="2957"/>
      <c r="H42" s="2957"/>
      <c r="I42" s="2976"/>
      <c r="J42" s="2977">
        <f t="shared" si="2"/>
        <v>3058.2103651790321</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12.08534872009087</v>
      </c>
      <c r="E44" s="2984">
        <f>SUM(Table3.F!J10,Table3.F!J20,Table3.F!J23,Table3.F!J26:J27)</f>
        <v>0.51259948872721606</v>
      </c>
      <c r="F44" s="2919">
        <v>29.615496776943218</v>
      </c>
      <c r="G44" s="2919">
        <v>471.32860008354407</v>
      </c>
      <c r="H44" s="2920">
        <v>27.494168338206737</v>
      </c>
      <c r="I44" s="2985" t="s">
        <v>199</v>
      </c>
      <c r="J44" s="2986">
        <f t="shared" si="2"/>
        <v>474.22862867525657</v>
      </c>
    </row>
    <row r="45" spans="2:10" ht="18" customHeight="1" thickBot="1" x14ac:dyDescent="0.25">
      <c r="B45" s="2660" t="s">
        <v>955</v>
      </c>
      <c r="C45" s="2987">
        <f>'Table3.G-J'!E10</f>
        <v>1318.3866247265748</v>
      </c>
      <c r="D45" s="2988"/>
      <c r="E45" s="2988"/>
      <c r="F45" s="2988"/>
      <c r="G45" s="2988"/>
      <c r="H45" s="2989"/>
      <c r="I45" s="2990"/>
      <c r="J45" s="2986">
        <f t="shared" si="2"/>
        <v>1318.3866247265748</v>
      </c>
    </row>
    <row r="46" spans="2:10" ht="18" customHeight="1" thickBot="1" x14ac:dyDescent="0.25">
      <c r="B46" s="2660" t="s">
        <v>956</v>
      </c>
      <c r="C46" s="2987">
        <f>'Table3.G-J'!E13</f>
        <v>1765.0036044615335</v>
      </c>
      <c r="D46" s="2988"/>
      <c r="E46" s="2988"/>
      <c r="F46" s="2988"/>
      <c r="G46" s="2988"/>
      <c r="H46" s="2989"/>
      <c r="I46" s="2990"/>
      <c r="J46" s="2986">
        <f t="shared" si="2"/>
        <v>1765.0036044615335</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25785.084999999999</v>
      </c>
      <c r="D10" s="3208"/>
      <c r="E10" s="3208"/>
      <c r="F10" s="3109">
        <f>IF(SUM(C10)=0,"NA",G10*1000/C10)</f>
        <v>56.192631196412741</v>
      </c>
      <c r="G10" s="3209">
        <f>G15</f>
        <v>1448.9317717731542</v>
      </c>
      <c r="I10" s="275" t="s">
        <v>977</v>
      </c>
      <c r="J10" s="276" t="s">
        <v>978</v>
      </c>
      <c r="K10" s="699">
        <v>448.83496171526389</v>
      </c>
      <c r="L10" s="699">
        <v>361.1571888362584</v>
      </c>
      <c r="M10" s="3125">
        <v>541.78354877710592</v>
      </c>
      <c r="N10" s="3125">
        <v>43.39813269144436</v>
      </c>
      <c r="O10" s="2921">
        <v>56.538878245955139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17.983810617770239</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25785.084999999999</v>
      </c>
      <c r="D15" s="3215"/>
      <c r="E15" s="3215"/>
      <c r="F15" s="3109">
        <f>IF(SUM(C15)=0,"NA",G15*1000/C15)</f>
        <v>56.192631196412741</v>
      </c>
      <c r="G15" s="3216">
        <f>G20</f>
        <v>1448.9317717731542</v>
      </c>
      <c r="I15" s="1780" t="s">
        <v>989</v>
      </c>
      <c r="J15" s="1853" t="s">
        <v>428</v>
      </c>
      <c r="K15" s="3408">
        <v>75</v>
      </c>
      <c r="L15" s="3408">
        <v>58.035069202392279</v>
      </c>
      <c r="M15" s="1563">
        <v>80.285471838344989</v>
      </c>
      <c r="N15" s="1563">
        <v>66.670678321103267</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1448.9317717731542</v>
      </c>
      <c r="I20" s="72"/>
      <c r="J20" s="287"/>
      <c r="K20" s="287"/>
      <c r="L20" s="287"/>
      <c r="M20" s="287"/>
      <c r="N20" s="287"/>
      <c r="O20" s="287"/>
    </row>
    <row r="21" spans="2:15" ht="18" customHeight="1" x14ac:dyDescent="0.2">
      <c r="B21" s="2652" t="s">
        <v>994</v>
      </c>
      <c r="C21" s="3239">
        <v>2450.9789999999998</v>
      </c>
      <c r="D21" s="3224">
        <v>235.97845266340195</v>
      </c>
      <c r="E21" s="3224">
        <v>6.1412707191643339</v>
      </c>
      <c r="F21" s="3109">
        <f t="shared" ref="F21:F30" si="0">IF(SUM(C21)=0,"NA",G21*1000/C21)</f>
        <v>95.791521258255202</v>
      </c>
      <c r="G21" s="3206">
        <v>234.78300698203708</v>
      </c>
      <c r="I21" s="72"/>
      <c r="J21" s="287"/>
      <c r="K21" s="287"/>
      <c r="L21" s="287"/>
      <c r="M21" s="287"/>
      <c r="N21" s="287"/>
      <c r="O21" s="287"/>
    </row>
    <row r="22" spans="2:15" ht="18" customHeight="1" x14ac:dyDescent="0.2">
      <c r="B22" s="2652" t="s">
        <v>965</v>
      </c>
      <c r="C22" s="3239">
        <v>22274.777999999998</v>
      </c>
      <c r="D22" s="3224">
        <v>124.85925424238154</v>
      </c>
      <c r="E22" s="3224">
        <v>6.21225</v>
      </c>
      <c r="F22" s="3109">
        <f t="shared" si="0"/>
        <v>51.270332185986589</v>
      </c>
      <c r="G22" s="3206">
        <v>1142.0352674291059</v>
      </c>
      <c r="I22" s="72"/>
      <c r="J22" s="287"/>
      <c r="K22" s="287"/>
      <c r="L22" s="287"/>
      <c r="M22" s="287"/>
      <c r="N22" s="287"/>
      <c r="O22" s="287"/>
    </row>
    <row r="23" spans="2:15" ht="18" customHeight="1" x14ac:dyDescent="0.2">
      <c r="B23" s="2652" t="s">
        <v>966</v>
      </c>
      <c r="C23" s="3239">
        <v>1059.328</v>
      </c>
      <c r="D23" s="3224">
        <v>204.79044926651693</v>
      </c>
      <c r="E23" s="3224">
        <v>5.0289797865230614</v>
      </c>
      <c r="F23" s="3109">
        <f t="shared" si="0"/>
        <v>68.074758112700835</v>
      </c>
      <c r="G23" s="3206">
        <v>72.113497362011145</v>
      </c>
      <c r="I23" s="72"/>
      <c r="J23" s="287"/>
      <c r="K23" s="287"/>
      <c r="L23" s="287"/>
      <c r="M23" s="287"/>
      <c r="N23" s="287"/>
      <c r="O23" s="287"/>
    </row>
    <row r="24" spans="2:15" ht="18" customHeight="1" x14ac:dyDescent="0.2">
      <c r="B24" s="286" t="s">
        <v>995</v>
      </c>
      <c r="C24" s="2654">
        <f>C25</f>
        <v>71444.854000000007</v>
      </c>
      <c r="D24" s="3225"/>
      <c r="E24" s="3225"/>
      <c r="F24" s="3109">
        <f t="shared" si="0"/>
        <v>6.6750771337350772</v>
      </c>
      <c r="G24" s="3106">
        <f>G25</f>
        <v>476.89991125844108</v>
      </c>
      <c r="I24" s="72"/>
    </row>
    <row r="25" spans="2:15" ht="18" customHeight="1" x14ac:dyDescent="0.2">
      <c r="B25" s="282" t="s">
        <v>996</v>
      </c>
      <c r="C25" s="2654">
        <f>C26</f>
        <v>71444.854000000007</v>
      </c>
      <c r="D25" s="3225"/>
      <c r="E25" s="3225"/>
      <c r="F25" s="3109">
        <f t="shared" si="0"/>
        <v>6.6750771337350772</v>
      </c>
      <c r="G25" s="3106">
        <f>G26</f>
        <v>476.89991125844108</v>
      </c>
    </row>
    <row r="26" spans="2:15" ht="18" customHeight="1" x14ac:dyDescent="0.2">
      <c r="B26" s="2653" t="s">
        <v>967</v>
      </c>
      <c r="C26" s="288">
        <v>71444.854000000007</v>
      </c>
      <c r="D26" s="3226">
        <v>16.352395717269317</v>
      </c>
      <c r="E26" s="3226">
        <v>6.1755897641293087</v>
      </c>
      <c r="F26" s="3109">
        <f t="shared" si="0"/>
        <v>6.6750771337350772</v>
      </c>
      <c r="G26" s="3207">
        <v>476.89991125844108</v>
      </c>
    </row>
    <row r="27" spans="2:15" ht="18" customHeight="1" x14ac:dyDescent="0.2">
      <c r="B27" s="286" t="s">
        <v>997</v>
      </c>
      <c r="C27" s="2654">
        <f>C28</f>
        <v>2606.3910000000001</v>
      </c>
      <c r="D27" s="3225"/>
      <c r="E27" s="3225"/>
      <c r="F27" s="3109">
        <f t="shared" si="0"/>
        <v>1.5657627273116443</v>
      </c>
      <c r="G27" s="3106">
        <f>G28</f>
        <v>4.0809898806005238</v>
      </c>
    </row>
    <row r="28" spans="2:15" ht="18" customHeight="1" x14ac:dyDescent="0.2">
      <c r="B28" s="282" t="s">
        <v>998</v>
      </c>
      <c r="C28" s="2654">
        <f>C29</f>
        <v>2606.3910000000001</v>
      </c>
      <c r="D28" s="3225"/>
      <c r="E28" s="3225"/>
      <c r="F28" s="3109">
        <f t="shared" si="0"/>
        <v>1.5657627273116443</v>
      </c>
      <c r="G28" s="3106">
        <f>G29</f>
        <v>4.0809898806005238</v>
      </c>
    </row>
    <row r="29" spans="2:15" ht="18" customHeight="1" x14ac:dyDescent="0.2">
      <c r="B29" s="2653" t="s">
        <v>968</v>
      </c>
      <c r="C29" s="288">
        <v>2606.3910000000001</v>
      </c>
      <c r="D29" s="3226">
        <v>33.840088308712325</v>
      </c>
      <c r="E29" s="3226">
        <v>0.70000000000000007</v>
      </c>
      <c r="F29" s="3109">
        <f t="shared" si="0"/>
        <v>1.5657627273116443</v>
      </c>
      <c r="G29" s="3207">
        <v>4.0809898806005238</v>
      </c>
    </row>
    <row r="30" spans="2:15" ht="18" customHeight="1" x14ac:dyDescent="0.2">
      <c r="B30" s="286" t="s">
        <v>999</v>
      </c>
      <c r="C30" s="2654">
        <f>SUM(C32:C39)</f>
        <v>104396.139</v>
      </c>
      <c r="D30" s="3225"/>
      <c r="E30" s="3225"/>
      <c r="F30" s="3109">
        <f t="shared" si="0"/>
        <v>8.1878069578903812E-2</v>
      </c>
      <c r="G30" s="3106">
        <f>SUM(G32:G39)</f>
        <v>8.5477543328109125</v>
      </c>
    </row>
    <row r="31" spans="2:15" ht="18" customHeight="1" x14ac:dyDescent="0.2">
      <c r="B31" s="1304" t="s">
        <v>498</v>
      </c>
      <c r="C31" s="3240"/>
      <c r="D31" s="3228"/>
      <c r="E31" s="3228"/>
      <c r="F31" s="3228"/>
      <c r="G31" s="3229"/>
    </row>
    <row r="32" spans="2:15" ht="18" customHeight="1" x14ac:dyDescent="0.2">
      <c r="B32" s="285" t="s">
        <v>1000</v>
      </c>
      <c r="C32" s="3234">
        <v>5.1520000000000001</v>
      </c>
      <c r="D32" s="3230" t="s">
        <v>205</v>
      </c>
      <c r="E32" s="3230" t="s">
        <v>205</v>
      </c>
      <c r="F32" s="3109">
        <f t="shared" ref="F32:F41" si="1">IF(SUM(C32)=0,"NA",G32*1000/C32)</f>
        <v>76.006174462646882</v>
      </c>
      <c r="G32" s="3206">
        <v>0.39158381083155674</v>
      </c>
    </row>
    <row r="33" spans="2:7" ht="18" customHeight="1" x14ac:dyDescent="0.2">
      <c r="B33" s="285" t="s">
        <v>1001</v>
      </c>
      <c r="C33" s="3234">
        <v>2.7589999999999999</v>
      </c>
      <c r="D33" s="3230" t="s">
        <v>205</v>
      </c>
      <c r="E33" s="3230" t="s">
        <v>205</v>
      </c>
      <c r="F33" s="3109">
        <f t="shared" si="1"/>
        <v>45.996686405068701</v>
      </c>
      <c r="G33" s="3206">
        <v>0.12690485779158453</v>
      </c>
    </row>
    <row r="34" spans="2:7" ht="18" customHeight="1" x14ac:dyDescent="0.2">
      <c r="B34" s="285" t="s">
        <v>1002</v>
      </c>
      <c r="C34" s="3234">
        <v>30.123000000000001</v>
      </c>
      <c r="D34" s="3230" t="s">
        <v>205</v>
      </c>
      <c r="E34" s="3230" t="s">
        <v>205</v>
      </c>
      <c r="F34" s="3109">
        <f t="shared" si="1"/>
        <v>19.999704881094388</v>
      </c>
      <c r="G34" s="3206">
        <v>0.60245111013320629</v>
      </c>
    </row>
    <row r="35" spans="2:7" ht="18" customHeight="1" x14ac:dyDescent="0.2">
      <c r="B35" s="285" t="s">
        <v>1003</v>
      </c>
      <c r="C35" s="3234">
        <v>460.32400000000001</v>
      </c>
      <c r="D35" s="3230" t="s">
        <v>205</v>
      </c>
      <c r="E35" s="3230" t="s">
        <v>205</v>
      </c>
      <c r="F35" s="3109">
        <f t="shared" si="1"/>
        <v>4.999996687116032</v>
      </c>
      <c r="G35" s="3206">
        <v>2.3016184750000002</v>
      </c>
    </row>
    <row r="36" spans="2:7" ht="18" customHeight="1" x14ac:dyDescent="0.2">
      <c r="B36" s="285" t="s">
        <v>1004</v>
      </c>
      <c r="C36" s="3234">
        <v>222.53</v>
      </c>
      <c r="D36" s="3230" t="s">
        <v>205</v>
      </c>
      <c r="E36" s="3230" t="s">
        <v>205</v>
      </c>
      <c r="F36" s="3109">
        <f t="shared" si="1"/>
        <v>17.999997951186046</v>
      </c>
      <c r="G36" s="3206">
        <v>4.0055395440774308</v>
      </c>
    </row>
    <row r="37" spans="2:7" ht="18" customHeight="1" x14ac:dyDescent="0.2">
      <c r="B37" s="285" t="s">
        <v>1005</v>
      </c>
      <c r="C37" s="3234">
        <v>0.64600000000000002</v>
      </c>
      <c r="D37" s="3230" t="s">
        <v>205</v>
      </c>
      <c r="E37" s="3230" t="s">
        <v>205</v>
      </c>
      <c r="F37" s="3109">
        <f t="shared" si="1"/>
        <v>10.006287556295343</v>
      </c>
      <c r="G37" s="3206">
        <v>6.4640617613667918E-3</v>
      </c>
    </row>
    <row r="38" spans="2:7" ht="18" customHeight="1" x14ac:dyDescent="0.2">
      <c r="B38" s="285" t="s">
        <v>1006</v>
      </c>
      <c r="C38" s="3241">
        <v>103531.777</v>
      </c>
      <c r="D38" s="3230" t="s">
        <v>205</v>
      </c>
      <c r="E38" s="3230" t="s">
        <v>205</v>
      </c>
      <c r="F38" s="3109" t="s">
        <v>205</v>
      </c>
      <c r="G38" s="3231" t="s">
        <v>221</v>
      </c>
    </row>
    <row r="39" spans="2:7" ht="18" customHeight="1" x14ac:dyDescent="0.2">
      <c r="B39" s="285" t="s">
        <v>1007</v>
      </c>
      <c r="C39" s="2654">
        <f>SUM(C41:C45)</f>
        <v>142.828</v>
      </c>
      <c r="D39" s="3225"/>
      <c r="E39" s="3225"/>
      <c r="F39" s="3109">
        <f t="shared" si="1"/>
        <v>7.7939372757146161</v>
      </c>
      <c r="G39" s="3106">
        <f>SUM(G41:G45)</f>
        <v>1.1131924732157672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9.8109999999999999</v>
      </c>
      <c r="D43" s="2974" t="s">
        <v>205</v>
      </c>
      <c r="E43" s="2974" t="s">
        <v>205</v>
      </c>
      <c r="F43" s="3109">
        <f t="shared" si="2"/>
        <v>4.9999415727966809</v>
      </c>
      <c r="G43" s="3170">
        <v>4.9054426770708238E-2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133.017</v>
      </c>
      <c r="D45" s="3225"/>
      <c r="E45" s="3225"/>
      <c r="F45" s="3109">
        <f>IF(SUM(C45)=0,"NA",G45*1000/C45)</f>
        <v>8.0000153848384716</v>
      </c>
      <c r="G45" s="3106">
        <f>G46</f>
        <v>1.0641380464450589</v>
      </c>
    </row>
    <row r="46" spans="2:7" ht="18" customHeight="1" thickBot="1" x14ac:dyDescent="0.25">
      <c r="B46" s="2655" t="s">
        <v>1013</v>
      </c>
      <c r="C46" s="3243">
        <v>133.017</v>
      </c>
      <c r="D46" s="3115" t="s">
        <v>205</v>
      </c>
      <c r="E46" s="3115" t="s">
        <v>205</v>
      </c>
      <c r="F46" s="3232">
        <f>IF(SUM(C46)=0,"NA",G46*1000/C46)</f>
        <v>8.0000153848384716</v>
      </c>
      <c r="G46" s="3172">
        <v>1.0641380464450589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0" t="s">
        <v>1014</v>
      </c>
      <c r="C67" s="4501"/>
      <c r="D67" s="4501"/>
      <c r="E67" s="4501"/>
      <c r="F67" s="4501"/>
      <c r="G67" s="4502"/>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25785.084999999999</v>
      </c>
      <c r="D10" s="2951"/>
      <c r="E10" s="2951"/>
      <c r="F10" s="2951"/>
      <c r="G10" s="2951"/>
      <c r="H10" s="2951"/>
      <c r="I10" s="3246"/>
      <c r="J10" s="3247">
        <f>IF(SUM(C10)=0,"NA",K10*1000/C10)</f>
        <v>5.5955375449366525</v>
      </c>
      <c r="K10" s="3248">
        <f>K15</f>
        <v>144.2814112168829</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25785.084999999999</v>
      </c>
      <c r="D15" s="3260"/>
      <c r="E15" s="3260"/>
      <c r="F15" s="3260"/>
      <c r="G15" s="3260"/>
      <c r="H15" s="3260"/>
      <c r="I15" s="3255"/>
      <c r="J15" s="3254">
        <f>IF(SUM(C15)=0,"NA",K15*1000/C15)</f>
        <v>5.5955375449366525</v>
      </c>
      <c r="K15" s="3248">
        <f>SUM(K17:K20)</f>
        <v>144.2814112168829</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25785.084999999999</v>
      </c>
      <c r="D20" s="3260"/>
      <c r="E20" s="3260"/>
      <c r="F20" s="3260"/>
      <c r="G20" s="3260"/>
      <c r="H20" s="3260"/>
      <c r="I20" s="3255"/>
      <c r="J20" s="3268">
        <f>IF(SUM(C20)=0,"NA",K20*1000/C20)</f>
        <v>5.5955375449366525</v>
      </c>
      <c r="K20" s="3248">
        <f>SUM(K21:K23)</f>
        <v>144.2814112168829</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2450.9789999999998</v>
      </c>
      <c r="D21" s="3290">
        <v>12.83039049341124</v>
      </c>
      <c r="E21" s="3290">
        <v>87.169609506588756</v>
      </c>
      <c r="F21" s="3290" t="s">
        <v>199</v>
      </c>
      <c r="G21" s="3265">
        <f>Table3.A!K10</f>
        <v>448.83496171526389</v>
      </c>
      <c r="H21" s="3266">
        <v>3.3843056030548153</v>
      </c>
      <c r="I21" s="3267">
        <v>0.24</v>
      </c>
      <c r="J21" s="3268">
        <f>IF(SUM(C21)=0,"NA",K21*1000/C21)</f>
        <v>13.976364644153998</v>
      </c>
      <c r="K21" s="3244">
        <v>34.255776239163922</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22274.777999999998</v>
      </c>
      <c r="D22" s="3290" t="s">
        <v>199</v>
      </c>
      <c r="E22" s="3290">
        <v>83.027750350235891</v>
      </c>
      <c r="F22" s="3290">
        <v>16.972249649764116</v>
      </c>
      <c r="G22" s="3265">
        <f>Table3.A!L10</f>
        <v>361.1571888362584</v>
      </c>
      <c r="H22" s="3266" t="s">
        <v>205</v>
      </c>
      <c r="I22" s="3267" t="s">
        <v>205</v>
      </c>
      <c r="J22" s="3268">
        <f t="shared" ref="J22:J46" si="0">IF(SUM(C22)=0,"NA",K22*1000/C22)</f>
        <v>4.7709596560971272</v>
      </c>
      <c r="K22" s="3244">
        <v>106.27206718651985</v>
      </c>
      <c r="M22" s="1597" t="s">
        <v>1049</v>
      </c>
      <c r="N22" s="4509" t="s">
        <v>994</v>
      </c>
      <c r="O22" s="1693" t="s">
        <v>1051</v>
      </c>
      <c r="P22" s="1694" t="s">
        <v>1039</v>
      </c>
      <c r="Q22" s="4444">
        <v>6.7028182972662709</v>
      </c>
      <c r="R22" s="4445" t="s">
        <v>199</v>
      </c>
      <c r="S22" s="4445">
        <v>2.5487614022304719</v>
      </c>
      <c r="T22" s="4445">
        <v>1.6321907773632829</v>
      </c>
      <c r="U22" s="4445" t="s">
        <v>199</v>
      </c>
      <c r="V22" s="4445" t="s">
        <v>274</v>
      </c>
      <c r="W22" s="4445" t="s">
        <v>199</v>
      </c>
      <c r="X22" s="4445">
        <v>89.204117847354809</v>
      </c>
      <c r="Y22" s="4446" t="s">
        <v>199</v>
      </c>
      <c r="Z22" s="4446" t="s">
        <v>199</v>
      </c>
      <c r="AA22" s="4446" t="s">
        <v>199</v>
      </c>
      <c r="AB22" s="4447" t="s">
        <v>199</v>
      </c>
    </row>
    <row r="23" spans="2:28" s="84" customFormat="1" ht="18" customHeight="1" x14ac:dyDescent="0.2">
      <c r="B23" s="2661" t="s">
        <v>966</v>
      </c>
      <c r="C23" s="3290">
        <f>Table3.A!C23</f>
        <v>1059.328</v>
      </c>
      <c r="D23" s="3290" t="s">
        <v>199</v>
      </c>
      <c r="E23" s="3290">
        <v>100</v>
      </c>
      <c r="F23" s="3290" t="s">
        <v>199</v>
      </c>
      <c r="G23" s="3265">
        <f>Table3.A!M10</f>
        <v>541.78354877710592</v>
      </c>
      <c r="H23" s="3266">
        <v>1.766339347194944</v>
      </c>
      <c r="I23" s="3267">
        <v>0.19</v>
      </c>
      <c r="J23" s="3268">
        <f t="shared" si="0"/>
        <v>3.5433480387558007</v>
      </c>
      <c r="K23" s="3244">
        <v>3.7535677911991048</v>
      </c>
      <c r="M23" s="1667" t="s">
        <v>1061</v>
      </c>
      <c r="N23" s="4510"/>
      <c r="O23" s="1695" t="s">
        <v>1042</v>
      </c>
      <c r="P23" s="1696" t="s">
        <v>1040</v>
      </c>
      <c r="Q23" s="4448">
        <v>8.263378844093344</v>
      </c>
      <c r="R23" s="4165" t="s">
        <v>199</v>
      </c>
      <c r="S23" s="4165">
        <v>1.5088030744236058</v>
      </c>
      <c r="T23" s="4166">
        <v>4.2478189965479194</v>
      </c>
      <c r="U23" s="4166" t="s">
        <v>199</v>
      </c>
      <c r="V23" s="4166" t="s">
        <v>274</v>
      </c>
      <c r="W23" s="4166" t="s">
        <v>199</v>
      </c>
      <c r="X23" s="4166">
        <v>85.910518118852082</v>
      </c>
      <c r="Y23" s="4166" t="s">
        <v>199</v>
      </c>
      <c r="Z23" s="4166" t="s">
        <v>199</v>
      </c>
      <c r="AA23" s="4166" t="s">
        <v>199</v>
      </c>
      <c r="AB23" s="4140" t="s">
        <v>199</v>
      </c>
    </row>
    <row r="24" spans="2:28" s="84" customFormat="1" ht="18" customHeight="1" thickBot="1" x14ac:dyDescent="0.25">
      <c r="B24" s="1646" t="s">
        <v>1062</v>
      </c>
      <c r="C24" s="4172">
        <f>C25</f>
        <v>71444.854000000007</v>
      </c>
      <c r="D24" s="3270"/>
      <c r="E24" s="3270"/>
      <c r="F24" s="3270"/>
      <c r="G24" s="3270"/>
      <c r="H24" s="3270"/>
      <c r="I24" s="3271"/>
      <c r="J24" s="3268">
        <f t="shared" si="0"/>
        <v>0.33887417757762911</v>
      </c>
      <c r="K24" s="3248">
        <f>K25</f>
        <v>24.210816141403786</v>
      </c>
      <c r="M24" s="1659"/>
      <c r="N24" s="4510"/>
      <c r="O24" s="1697"/>
      <c r="P24" s="1696" t="s">
        <v>1041</v>
      </c>
      <c r="Q24" s="4449" t="s">
        <v>199</v>
      </c>
      <c r="R24" s="4450" t="s">
        <v>199</v>
      </c>
      <c r="S24" s="4450" t="s">
        <v>199</v>
      </c>
      <c r="T24" s="4451" t="s">
        <v>199</v>
      </c>
      <c r="U24" s="4451" t="s">
        <v>199</v>
      </c>
      <c r="V24" s="4451" t="s">
        <v>274</v>
      </c>
      <c r="W24" s="4451" t="s">
        <v>199</v>
      </c>
      <c r="X24" s="4451" t="s">
        <v>199</v>
      </c>
      <c r="Y24" s="4451" t="s">
        <v>199</v>
      </c>
      <c r="Z24" s="4451" t="s">
        <v>199</v>
      </c>
      <c r="AA24" s="4451" t="s">
        <v>199</v>
      </c>
      <c r="AB24" s="4452" t="s">
        <v>199</v>
      </c>
    </row>
    <row r="25" spans="2:28" s="84" customFormat="1" ht="18" customHeight="1" x14ac:dyDescent="0.2">
      <c r="B25" s="1647" t="s">
        <v>1063</v>
      </c>
      <c r="C25" s="4172">
        <f>C26</f>
        <v>71444.854000000007</v>
      </c>
      <c r="D25" s="3217"/>
      <c r="E25" s="3217"/>
      <c r="F25" s="3217"/>
      <c r="G25" s="3217"/>
      <c r="H25" s="3217"/>
      <c r="I25" s="3227"/>
      <c r="J25" s="3268">
        <f t="shared" si="0"/>
        <v>0.33887417757762911</v>
      </c>
      <c r="K25" s="3248">
        <f>K26</f>
        <v>24.210816141403786</v>
      </c>
      <c r="M25" s="1659"/>
      <c r="N25" s="4510"/>
      <c r="O25" s="1698" t="s">
        <v>1054</v>
      </c>
      <c r="P25" s="1694" t="s">
        <v>1039</v>
      </c>
      <c r="Q25" s="4453">
        <v>0.7</v>
      </c>
      <c r="R25" s="4454" t="s">
        <v>199</v>
      </c>
      <c r="S25" s="4454">
        <v>3.2137931034482758E-2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71444.854000000007</v>
      </c>
      <c r="D26" s="3290" t="s">
        <v>199</v>
      </c>
      <c r="E26" s="3290">
        <v>100</v>
      </c>
      <c r="F26" s="3290" t="s">
        <v>199</v>
      </c>
      <c r="G26" s="3272">
        <f>Table3.A!N10</f>
        <v>43.39813269144436</v>
      </c>
      <c r="H26" s="3014" t="s">
        <v>205</v>
      </c>
      <c r="I26" s="3104" t="s">
        <v>205</v>
      </c>
      <c r="J26" s="3268">
        <f t="shared" si="0"/>
        <v>0.33887417757762911</v>
      </c>
      <c r="K26" s="3244">
        <v>24.210816141403786</v>
      </c>
      <c r="M26" s="1659"/>
      <c r="N26" s="4510"/>
      <c r="O26" s="1699"/>
      <c r="P26" s="1696" t="s">
        <v>1040</v>
      </c>
      <c r="Q26" s="4448">
        <v>0.73672362790199375</v>
      </c>
      <c r="R26" s="4165" t="s">
        <v>199</v>
      </c>
      <c r="S26" s="4165">
        <v>6.2544951846031621E-2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2606.3910000000001</v>
      </c>
      <c r="D27" s="3217"/>
      <c r="E27" s="3217"/>
      <c r="F27" s="3217"/>
      <c r="G27" s="3217"/>
      <c r="H27" s="3217"/>
      <c r="I27" s="3227"/>
      <c r="J27" s="3268">
        <f t="shared" si="0"/>
        <v>23.309321841350584</v>
      </c>
      <c r="K27" s="3248">
        <f>K28</f>
        <v>60.753206663399595</v>
      </c>
      <c r="M27" s="1659"/>
      <c r="N27" s="4511"/>
      <c r="O27" s="1700"/>
      <c r="P27" s="1696" t="s">
        <v>1041</v>
      </c>
      <c r="Q27" s="4449" t="s">
        <v>199</v>
      </c>
      <c r="R27" s="4450" t="s">
        <v>199</v>
      </c>
      <c r="S27" s="4450" t="s">
        <v>199</v>
      </c>
      <c r="T27" s="4451" t="s">
        <v>199</v>
      </c>
      <c r="U27" s="4451" t="s">
        <v>199</v>
      </c>
      <c r="V27" s="4451" t="s">
        <v>274</v>
      </c>
      <c r="W27" s="4451" t="s">
        <v>199</v>
      </c>
      <c r="X27" s="4451" t="s">
        <v>199</v>
      </c>
      <c r="Y27" s="4451" t="s">
        <v>199</v>
      </c>
      <c r="Z27" s="4451" t="s">
        <v>199</v>
      </c>
      <c r="AA27" s="4451" t="s">
        <v>199</v>
      </c>
      <c r="AB27" s="4452" t="s">
        <v>199</v>
      </c>
    </row>
    <row r="28" spans="2:28" s="84" customFormat="1" ht="18" customHeight="1" x14ac:dyDescent="0.2">
      <c r="B28" s="1647" t="s">
        <v>1065</v>
      </c>
      <c r="C28" s="4172">
        <f>C29</f>
        <v>2606.3910000000001</v>
      </c>
      <c r="D28" s="3217"/>
      <c r="E28" s="3217"/>
      <c r="F28" s="3217"/>
      <c r="G28" s="3217"/>
      <c r="H28" s="3217"/>
      <c r="I28" s="3227"/>
      <c r="J28" s="3268">
        <f t="shared" si="0"/>
        <v>23.309321841350584</v>
      </c>
      <c r="K28" s="3248">
        <f>K29</f>
        <v>60.753206663399595</v>
      </c>
      <c r="M28" s="1598"/>
      <c r="N28" s="4509"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2606.3910000000001</v>
      </c>
      <c r="D29" s="3290">
        <v>0.46827943868238286</v>
      </c>
      <c r="E29" s="3290">
        <v>99.531720561317613</v>
      </c>
      <c r="F29" s="3290" t="s">
        <v>199</v>
      </c>
      <c r="G29" s="3272">
        <f>Table3.A!O10</f>
        <v>56.538878245955139</v>
      </c>
      <c r="H29" s="3014">
        <v>0.39604591331227001</v>
      </c>
      <c r="I29" s="3104">
        <v>0.45</v>
      </c>
      <c r="J29" s="3268">
        <f t="shared" si="0"/>
        <v>23.309321841350584</v>
      </c>
      <c r="K29" s="3244">
        <v>60.753206663399595</v>
      </c>
      <c r="M29" s="1667"/>
      <c r="N29" s="4510"/>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104396.139</v>
      </c>
      <c r="D30" s="3217"/>
      <c r="E30" s="3217"/>
      <c r="F30" s="3217"/>
      <c r="G30" s="3217"/>
      <c r="H30" s="3217"/>
      <c r="I30" s="3227"/>
      <c r="J30" s="3268">
        <f t="shared" si="0"/>
        <v>4.5842382716312184E-2</v>
      </c>
      <c r="K30" s="3248">
        <f>SUM(K32:K39)</f>
        <v>4.7857677581433249</v>
      </c>
      <c r="M30" s="1659"/>
      <c r="N30" s="4510"/>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0"/>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5.1520000000000001</v>
      </c>
      <c r="D32" s="3290" t="s">
        <v>199</v>
      </c>
      <c r="E32" s="3290">
        <v>30.906369136234275</v>
      </c>
      <c r="F32" s="3290">
        <v>69.093630863765725</v>
      </c>
      <c r="G32" s="3274" t="s">
        <v>205</v>
      </c>
      <c r="H32" s="3274" t="s">
        <v>205</v>
      </c>
      <c r="I32" s="3274" t="s">
        <v>205</v>
      </c>
      <c r="J32" s="3268">
        <f t="shared" si="0"/>
        <v>8.9219319239120214</v>
      </c>
      <c r="K32" s="3244">
        <v>4.5965793271994737E-2</v>
      </c>
      <c r="M32" s="1659"/>
      <c r="N32" s="4510"/>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2.7589999999999999</v>
      </c>
      <c r="D33" s="3290" t="s">
        <v>199</v>
      </c>
      <c r="E33" s="3290">
        <v>17.493843315595214</v>
      </c>
      <c r="F33" s="3290">
        <v>82.506156684404786</v>
      </c>
      <c r="G33" s="3274" t="s">
        <v>205</v>
      </c>
      <c r="H33" s="3274" t="s">
        <v>205</v>
      </c>
      <c r="I33" s="3274" t="s">
        <v>205</v>
      </c>
      <c r="J33" s="3254">
        <f t="shared" si="0"/>
        <v>10.069984507856596</v>
      </c>
      <c r="K33" s="3244">
        <v>2.7783087257176344E-2</v>
      </c>
      <c r="M33" s="1659"/>
      <c r="N33" s="4511"/>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30.123000000000001</v>
      </c>
      <c r="D34" s="3290" t="s">
        <v>199</v>
      </c>
      <c r="E34" s="3290">
        <v>98.491322971022257</v>
      </c>
      <c r="F34" s="3290">
        <v>1.5086770289777371</v>
      </c>
      <c r="G34" s="3274" t="s">
        <v>205</v>
      </c>
      <c r="H34" s="3274" t="s">
        <v>205</v>
      </c>
      <c r="I34" s="3274" t="s">
        <v>205</v>
      </c>
      <c r="J34" s="3254">
        <f t="shared" si="0"/>
        <v>1.0429605904073735</v>
      </c>
      <c r="K34" s="3244">
        <v>3.1417101864841313E-2</v>
      </c>
      <c r="M34" s="1598"/>
      <c r="N34" s="4509"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460.32400000000001</v>
      </c>
      <c r="D35" s="3290" t="s">
        <v>199</v>
      </c>
      <c r="E35" s="3290">
        <v>99.831102328981785</v>
      </c>
      <c r="F35" s="3290">
        <v>0.16889767101821687</v>
      </c>
      <c r="G35" s="3274" t="s">
        <v>205</v>
      </c>
      <c r="H35" s="3274" t="s">
        <v>205</v>
      </c>
      <c r="I35" s="3274" t="s">
        <v>205</v>
      </c>
      <c r="J35" s="3254">
        <f t="shared" si="0"/>
        <v>0.35904662420392758</v>
      </c>
      <c r="K35" s="3244">
        <v>0.16527777824004877</v>
      </c>
      <c r="M35" s="1667"/>
      <c r="N35" s="4510"/>
      <c r="O35" s="1695" t="s">
        <v>1042</v>
      </c>
      <c r="P35" s="1696" t="s">
        <v>1040</v>
      </c>
      <c r="Q35" s="4448">
        <v>1.7999999999999998</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222.53</v>
      </c>
      <c r="D36" s="3290" t="s">
        <v>199</v>
      </c>
      <c r="E36" s="3290">
        <v>97.11537488707107</v>
      </c>
      <c r="F36" s="3290">
        <v>2.884625112928926</v>
      </c>
      <c r="G36" s="3274" t="s">
        <v>205</v>
      </c>
      <c r="H36" s="3274" t="s">
        <v>205</v>
      </c>
      <c r="I36" s="3274" t="s">
        <v>205</v>
      </c>
      <c r="J36" s="3254">
        <f t="shared" si="0"/>
        <v>3.2468513850301717</v>
      </c>
      <c r="K36" s="3244">
        <v>0.72252183871076414</v>
      </c>
      <c r="M36" s="1659"/>
      <c r="N36" s="4510"/>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0.64600000000000002</v>
      </c>
      <c r="D37" s="3290" t="s">
        <v>199</v>
      </c>
      <c r="E37" s="3290">
        <v>93.085004642196907</v>
      </c>
      <c r="F37" s="3290">
        <v>6.9149953578030869</v>
      </c>
      <c r="G37" s="3274" t="s">
        <v>205</v>
      </c>
      <c r="H37" s="3274" t="s">
        <v>205</v>
      </c>
      <c r="I37" s="3274" t="s">
        <v>205</v>
      </c>
      <c r="J37" s="3254">
        <f t="shared" si="0"/>
        <v>1.1981759907957066</v>
      </c>
      <c r="K37" s="3244">
        <v>7.7402169005402646E-4</v>
      </c>
      <c r="M37" s="1659"/>
      <c r="N37" s="4510"/>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103531.777</v>
      </c>
      <c r="D38" s="3290">
        <v>0.78553747500777138</v>
      </c>
      <c r="E38" s="3290">
        <v>99.214462524992229</v>
      </c>
      <c r="F38" s="3290" t="s">
        <v>199</v>
      </c>
      <c r="G38" s="3274" t="s">
        <v>205</v>
      </c>
      <c r="H38" s="3274" t="s">
        <v>205</v>
      </c>
      <c r="I38" s="3274" t="s">
        <v>205</v>
      </c>
      <c r="J38" s="3254">
        <f t="shared" si="0"/>
        <v>3.6133760377655498E-2</v>
      </c>
      <c r="K38" s="3244">
        <v>3.7409924215908652</v>
      </c>
      <c r="M38" s="1659"/>
      <c r="N38" s="4510"/>
      <c r="O38" s="1699"/>
      <c r="P38" s="1696" t="s">
        <v>1040</v>
      </c>
      <c r="Q38" s="4448">
        <v>0.76253608621472913</v>
      </c>
      <c r="R38" s="4165" t="s">
        <v>199</v>
      </c>
      <c r="S38" s="4165" t="s">
        <v>199</v>
      </c>
      <c r="T38" s="4166" t="s">
        <v>274</v>
      </c>
      <c r="U38" s="4166" t="s">
        <v>199</v>
      </c>
      <c r="V38" s="4166">
        <v>2.1270377675545845E-2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142.828</v>
      </c>
      <c r="D39" s="3261"/>
      <c r="E39" s="3261"/>
      <c r="F39" s="3261"/>
      <c r="G39" s="3261"/>
      <c r="H39" s="3261"/>
      <c r="I39" s="3262"/>
      <c r="J39" s="3254">
        <f t="shared" si="0"/>
        <v>0.35732290249517074</v>
      </c>
      <c r="K39" s="3248">
        <f>SUM(K41:K45)</f>
        <v>5.1035715517580252E-2</v>
      </c>
      <c r="M39" s="1663"/>
      <c r="N39" s="4511"/>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2" t="s">
        <v>968</v>
      </c>
      <c r="N40" s="4513"/>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4"/>
      <c r="N41" s="4515"/>
      <c r="O41" s="1695" t="s">
        <v>1042</v>
      </c>
      <c r="P41" s="1696" t="s">
        <v>1040</v>
      </c>
      <c r="Q41" s="4448">
        <v>66.643550956068367</v>
      </c>
      <c r="R41" s="4165" t="s">
        <v>199</v>
      </c>
      <c r="S41" s="4165" t="s">
        <v>199</v>
      </c>
      <c r="T41" s="4166" t="s">
        <v>274</v>
      </c>
      <c r="U41" s="4166" t="s">
        <v>274</v>
      </c>
      <c r="V41" s="4166">
        <v>26.514462457362697</v>
      </c>
      <c r="W41" s="4166" t="s">
        <v>274</v>
      </c>
      <c r="X41" s="4166" t="s">
        <v>199</v>
      </c>
      <c r="Y41" s="4166" t="s">
        <v>199</v>
      </c>
      <c r="Z41" s="4166">
        <v>5.4647264428399005</v>
      </c>
      <c r="AA41" s="4166" t="s">
        <v>199</v>
      </c>
      <c r="AB41" s="4140">
        <v>21.8519635186477</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4"/>
      <c r="N42" s="4515"/>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9.8109999999999999</v>
      </c>
      <c r="D43" s="3290" t="s">
        <v>199</v>
      </c>
      <c r="E43" s="3290">
        <v>100</v>
      </c>
      <c r="F43" s="3290" t="s">
        <v>199</v>
      </c>
      <c r="G43" s="3274" t="s">
        <v>205</v>
      </c>
      <c r="H43" s="3274" t="s">
        <v>205</v>
      </c>
      <c r="I43" s="3274" t="s">
        <v>205</v>
      </c>
      <c r="J43" s="3254">
        <f t="shared" si="0"/>
        <v>0.35731837387468801</v>
      </c>
      <c r="K43" s="3244">
        <v>3.5056505660845637E-3</v>
      </c>
      <c r="M43" s="4514"/>
      <c r="N43" s="4515"/>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4"/>
      <c r="N44" s="4515"/>
      <c r="O44" s="1699"/>
      <c r="P44" s="1696" t="s">
        <v>1040</v>
      </c>
      <c r="Q44" s="4448">
        <v>0.7554888999401741</v>
      </c>
      <c r="R44" s="4165" t="s">
        <v>199</v>
      </c>
      <c r="S44" s="4165" t="s">
        <v>199</v>
      </c>
      <c r="T44" s="4166" t="s">
        <v>274</v>
      </c>
      <c r="U44" s="4166" t="s">
        <v>274</v>
      </c>
      <c r="V44" s="4166">
        <v>1.9198890159021299E-2</v>
      </c>
      <c r="W44" s="4166" t="s">
        <v>274</v>
      </c>
      <c r="X44" s="4166" t="s">
        <v>199</v>
      </c>
      <c r="Y44" s="4166" t="s">
        <v>199</v>
      </c>
      <c r="Z44" s="4166">
        <v>0.10000000000000002</v>
      </c>
      <c r="AA44" s="4166" t="s">
        <v>199</v>
      </c>
      <c r="AB44" s="4140">
        <v>3.9436726707935806E-2</v>
      </c>
    </row>
    <row r="45" spans="2:28" s="84" customFormat="1" ht="18" customHeight="1" thickBot="1" x14ac:dyDescent="0.25">
      <c r="B45" s="2663" t="s">
        <v>1079</v>
      </c>
      <c r="C45" s="4172">
        <f>C46</f>
        <v>133.017</v>
      </c>
      <c r="D45" s="3261"/>
      <c r="E45" s="3261"/>
      <c r="F45" s="3261"/>
      <c r="G45" s="3261"/>
      <c r="H45" s="3261"/>
      <c r="I45" s="3262"/>
      <c r="J45" s="3254">
        <f t="shared" si="0"/>
        <v>0.35732323651484915</v>
      </c>
      <c r="K45" s="3248">
        <f>K46</f>
        <v>4.7530064951495692E-2</v>
      </c>
      <c r="M45" s="4516"/>
      <c r="N45" s="4517"/>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133.017</v>
      </c>
      <c r="D46" s="3021" t="s">
        <v>199</v>
      </c>
      <c r="E46" s="3021">
        <v>100</v>
      </c>
      <c r="F46" s="3021" t="s">
        <v>199</v>
      </c>
      <c r="G46" s="3021" t="s">
        <v>205</v>
      </c>
      <c r="H46" s="3021" t="s">
        <v>205</v>
      </c>
      <c r="I46" s="3275" t="s">
        <v>205</v>
      </c>
      <c r="J46" s="3276">
        <f t="shared" si="0"/>
        <v>0.35732323651484915</v>
      </c>
      <c r="K46" s="3245">
        <v>4.7530064951495692E-2</v>
      </c>
      <c r="M46" s="4512" t="s">
        <v>1080</v>
      </c>
      <c r="N46" s="4513"/>
      <c r="O46" s="1693" t="s">
        <v>1051</v>
      </c>
      <c r="P46" s="1694" t="s">
        <v>1039</v>
      </c>
      <c r="Q46" s="4444" t="s">
        <v>199</v>
      </c>
      <c r="R46" s="4445" t="s">
        <v>199</v>
      </c>
      <c r="S46" s="4445" t="s">
        <v>199</v>
      </c>
      <c r="T46" s="4446">
        <v>46.653497780263756</v>
      </c>
      <c r="U46" s="4446" t="s">
        <v>199</v>
      </c>
      <c r="V46" s="4446" t="s">
        <v>199</v>
      </c>
      <c r="W46" s="4446" t="s">
        <v>274</v>
      </c>
      <c r="X46" s="4446">
        <v>1.9256725318727403</v>
      </c>
      <c r="Y46" s="4446">
        <v>18.161141239181287</v>
      </c>
      <c r="Z46" s="4446">
        <v>0.37602043614284486</v>
      </c>
      <c r="AA46" s="4446" t="s">
        <v>199</v>
      </c>
      <c r="AB46" s="4447">
        <v>97.506364332291284</v>
      </c>
    </row>
    <row r="47" spans="2:28" s="84" customFormat="1" ht="17.25" customHeight="1" x14ac:dyDescent="0.2">
      <c r="B47" s="504" t="s">
        <v>560</v>
      </c>
      <c r="C47" s="504" t="s">
        <v>560</v>
      </c>
      <c r="D47" s="504"/>
      <c r="E47" s="504"/>
      <c r="F47" s="504"/>
      <c r="G47" s="504"/>
      <c r="H47" s="504"/>
      <c r="I47" s="504"/>
      <c r="J47" s="504"/>
      <c r="K47" s="504"/>
      <c r="M47" s="4514"/>
      <c r="N47" s="4515"/>
      <c r="O47" s="1695" t="s">
        <v>1042</v>
      </c>
      <c r="P47" s="1696" t="s">
        <v>1040</v>
      </c>
      <c r="Q47" s="4448" t="s">
        <v>199</v>
      </c>
      <c r="R47" s="4165" t="s">
        <v>199</v>
      </c>
      <c r="S47" s="4165" t="s">
        <v>199</v>
      </c>
      <c r="T47" s="4166">
        <v>43.265185799440921</v>
      </c>
      <c r="U47" s="4166" t="s">
        <v>199</v>
      </c>
      <c r="V47" s="4166" t="s">
        <v>199</v>
      </c>
      <c r="W47" s="4166" t="s">
        <v>274</v>
      </c>
      <c r="X47" s="4166">
        <v>2.690246080839664</v>
      </c>
      <c r="Y47" s="4166">
        <v>18.792815614078336</v>
      </c>
      <c r="Z47" s="4166">
        <v>0.23001976314679712</v>
      </c>
      <c r="AA47" s="4166" t="s">
        <v>199</v>
      </c>
      <c r="AB47" s="4140">
        <v>97.309753919160329</v>
      </c>
    </row>
    <row r="48" spans="2:28" s="84" customFormat="1" ht="14.25" thickBot="1" x14ac:dyDescent="0.25">
      <c r="B48" s="311"/>
      <c r="C48" s="1648"/>
      <c r="D48" s="1648"/>
      <c r="E48" s="1648"/>
      <c r="F48" s="1648"/>
      <c r="G48" s="1648"/>
      <c r="H48" s="1648"/>
      <c r="I48" s="1648"/>
      <c r="J48" s="1648"/>
      <c r="K48" s="1648"/>
      <c r="M48" s="4514"/>
      <c r="N48" s="4515"/>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4"/>
      <c r="N49" s="4515"/>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4"/>
      <c r="N50" s="4515"/>
      <c r="O50" s="1699"/>
      <c r="P50" s="1696" t="s">
        <v>1040</v>
      </c>
      <c r="Q50" s="4448" t="s">
        <v>199</v>
      </c>
      <c r="R50" s="4165" t="s">
        <v>199</v>
      </c>
      <c r="S50" s="4165" t="s">
        <v>199</v>
      </c>
      <c r="T50" s="4166">
        <v>2.0000000000000004E-2</v>
      </c>
      <c r="U50" s="4166" t="s">
        <v>199</v>
      </c>
      <c r="V50" s="4166" t="s">
        <v>199</v>
      </c>
      <c r="W50" s="4166" t="s">
        <v>274</v>
      </c>
      <c r="X50" s="4166">
        <v>1.4305564789406398E-2</v>
      </c>
      <c r="Y50" s="4166">
        <v>1.0000000000000002E-2</v>
      </c>
      <c r="Z50" s="4166">
        <v>0.1</v>
      </c>
      <c r="AA50" s="4166" t="s">
        <v>199</v>
      </c>
      <c r="AB50" s="4140">
        <v>1.5000000000000005E-2</v>
      </c>
    </row>
    <row r="51" spans="2:28" s="84" customFormat="1" ht="14.25" thickBot="1" x14ac:dyDescent="0.25">
      <c r="B51" s="72"/>
      <c r="C51" s="311"/>
      <c r="D51" s="311"/>
      <c r="E51" s="311"/>
      <c r="F51" s="311"/>
      <c r="G51" s="311"/>
      <c r="H51" s="311"/>
      <c r="I51" s="311"/>
      <c r="J51" s="311"/>
      <c r="K51" s="311"/>
      <c r="M51" s="4516"/>
      <c r="N51" s="4517"/>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2" t="s">
        <v>1081</v>
      </c>
      <c r="N52" s="4513"/>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4"/>
      <c r="N53" s="4515"/>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4"/>
      <c r="N54" s="4515"/>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4"/>
      <c r="N55" s="4515"/>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4"/>
      <c r="N56" s="4515"/>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6"/>
      <c r="N57" s="4517"/>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2" t="s">
        <v>1082</v>
      </c>
      <c r="N58" s="4513"/>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4"/>
      <c r="N59" s="4515"/>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4"/>
      <c r="N60" s="4515"/>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4"/>
      <c r="N61" s="4515"/>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4"/>
      <c r="N62" s="4515"/>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6"/>
      <c r="N63" s="4517"/>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6" t="s">
        <v>1083</v>
      </c>
      <c r="C65" s="4507"/>
      <c r="D65" s="4507"/>
      <c r="E65" s="4507"/>
      <c r="F65" s="4507"/>
      <c r="G65" s="4507"/>
      <c r="H65" s="4507"/>
      <c r="I65" s="4507"/>
      <c r="J65" s="4507"/>
      <c r="K65" s="4508"/>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25785.084999999999</v>
      </c>
      <c r="D10" s="3453"/>
      <c r="E10" s="3454"/>
      <c r="F10" s="3441">
        <f>F15</f>
        <v>25950349.851019401</v>
      </c>
      <c r="G10" s="3441" t="str">
        <f t="shared" ref="G10:R10" si="0">G15</f>
        <v>NO</v>
      </c>
      <c r="H10" s="3441">
        <f t="shared" si="0"/>
        <v>4930452.0700766053</v>
      </c>
      <c r="I10" s="3441">
        <f t="shared" si="0"/>
        <v>27684087.153567862</v>
      </c>
      <c r="J10" s="3441" t="str">
        <f t="shared" si="0"/>
        <v>NO</v>
      </c>
      <c r="K10" s="3441">
        <f t="shared" si="0"/>
        <v>77667832.048354447</v>
      </c>
      <c r="L10" s="3441" t="str">
        <f t="shared" si="0"/>
        <v>NO</v>
      </c>
      <c r="M10" s="3441">
        <f t="shared" si="0"/>
        <v>1065263512.2768397</v>
      </c>
      <c r="N10" s="3441">
        <f t="shared" si="0"/>
        <v>11114888.108775906</v>
      </c>
      <c r="O10" s="3441" t="str">
        <f t="shared" si="0"/>
        <v>NO</v>
      </c>
      <c r="P10" s="3441" t="str">
        <f t="shared" si="0"/>
        <v>NO</v>
      </c>
      <c r="Q10" s="3441" t="str">
        <f t="shared" si="0"/>
        <v>NO</v>
      </c>
      <c r="R10" s="3441">
        <f t="shared" si="0"/>
        <v>1212611121.5086339</v>
      </c>
      <c r="S10" s="2670"/>
      <c r="T10" s="2671"/>
      <c r="U10" s="3419">
        <f>IF(SUM(X10)=0,"NA",X10*1000/C10)</f>
        <v>4.0769591684959583E-2</v>
      </c>
      <c r="V10" s="3411"/>
      <c r="W10" s="3412"/>
      <c r="X10" s="3278">
        <f t="shared" ref="X10" si="1">X15</f>
        <v>1.0512473870119761</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25785.084999999999</v>
      </c>
      <c r="D15" s="3456"/>
      <c r="E15" s="3456"/>
      <c r="F15" s="2668">
        <f>F20</f>
        <v>25950349.851019401</v>
      </c>
      <c r="G15" s="2668" t="str">
        <f t="shared" ref="G15:R15" si="2">G20</f>
        <v>NO</v>
      </c>
      <c r="H15" s="2668">
        <f t="shared" si="2"/>
        <v>4930452.0700766053</v>
      </c>
      <c r="I15" s="2668">
        <f t="shared" si="2"/>
        <v>27684087.153567862</v>
      </c>
      <c r="J15" s="2668" t="str">
        <f t="shared" si="2"/>
        <v>NO</v>
      </c>
      <c r="K15" s="2668">
        <f t="shared" si="2"/>
        <v>77667832.048354447</v>
      </c>
      <c r="L15" s="2668" t="str">
        <f t="shared" si="2"/>
        <v>NO</v>
      </c>
      <c r="M15" s="2668">
        <f t="shared" si="2"/>
        <v>1065263512.2768397</v>
      </c>
      <c r="N15" s="2668">
        <f t="shared" si="2"/>
        <v>11114888.108775906</v>
      </c>
      <c r="O15" s="2668" t="str">
        <f t="shared" si="2"/>
        <v>NO</v>
      </c>
      <c r="P15" s="2668" t="str">
        <f t="shared" si="2"/>
        <v>NO</v>
      </c>
      <c r="Q15" s="2668" t="str">
        <f t="shared" si="2"/>
        <v>NO</v>
      </c>
      <c r="R15" s="2668">
        <f t="shared" si="2"/>
        <v>1212611121.5086339</v>
      </c>
      <c r="S15" s="2676"/>
      <c r="T15" s="2677"/>
      <c r="U15" s="3419">
        <f>IF(SUM(X15)=0,"NA",X15*1000/C15)</f>
        <v>4.0769591684959583E-2</v>
      </c>
      <c r="V15" s="3417"/>
      <c r="W15" s="3418"/>
      <c r="X15" s="3281">
        <f t="shared" ref="X15" si="3">X20</f>
        <v>1.0512473870119761</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25785.084999999999</v>
      </c>
      <c r="D20" s="3455"/>
      <c r="E20" s="3455"/>
      <c r="F20" s="2668">
        <f>IF(SUM(F21:F23)=0,"NO",SUM(F21:F23))</f>
        <v>25950349.851019401</v>
      </c>
      <c r="G20" s="2668" t="str">
        <f t="shared" ref="G20:Q20" si="6">IF(SUM(G21:G23)=0,"NO",SUM(G21:G23))</f>
        <v>NO</v>
      </c>
      <c r="H20" s="2668">
        <f t="shared" si="6"/>
        <v>4930452.0700766053</v>
      </c>
      <c r="I20" s="2668">
        <f t="shared" si="6"/>
        <v>27684087.153567862</v>
      </c>
      <c r="J20" s="2668" t="str">
        <f t="shared" si="6"/>
        <v>NO</v>
      </c>
      <c r="K20" s="2668">
        <f t="shared" si="6"/>
        <v>77667832.048354447</v>
      </c>
      <c r="L20" s="2668" t="str">
        <f t="shared" si="6"/>
        <v>NO</v>
      </c>
      <c r="M20" s="2668">
        <f t="shared" si="6"/>
        <v>1065263512.2768397</v>
      </c>
      <c r="N20" s="2668">
        <f t="shared" si="6"/>
        <v>11114888.108775906</v>
      </c>
      <c r="O20" s="2668" t="str">
        <f t="shared" si="6"/>
        <v>NO</v>
      </c>
      <c r="P20" s="2668" t="str">
        <f t="shared" si="6"/>
        <v>NO</v>
      </c>
      <c r="Q20" s="2668" t="str">
        <f t="shared" si="6"/>
        <v>NO</v>
      </c>
      <c r="R20" s="3445">
        <f>IF(SUM(F20:Q20)=0,"NO",SUM(F20:Q20))</f>
        <v>1212611121.5086339</v>
      </c>
      <c r="S20" s="2676"/>
      <c r="T20" s="2677"/>
      <c r="U20" s="3419">
        <f t="shared" si="4"/>
        <v>4.0769591684959583E-2</v>
      </c>
      <c r="V20" s="3417"/>
      <c r="W20" s="3418"/>
      <c r="X20" s="3281">
        <f t="shared" ref="X20" si="7">IF(SUM(X21:X23)=0,"NO",SUM(X21:X23))</f>
        <v>1.0512473870119761</v>
      </c>
      <c r="Y20" s="3142"/>
      <c r="Z20" s="3420"/>
    </row>
    <row r="21" spans="2:26" ht="18" customHeight="1" x14ac:dyDescent="0.2">
      <c r="B21" s="2666" t="s">
        <v>994</v>
      </c>
      <c r="C21" s="3458">
        <f>Table3.A!C21</f>
        <v>2450.9789999999998</v>
      </c>
      <c r="D21" s="3274">
        <v>126.74708378222179</v>
      </c>
      <c r="E21" s="3457">
        <f>'Table3.B(a)'!G21</f>
        <v>448.83496171526389</v>
      </c>
      <c r="F21" s="3442">
        <v>24552328.874149021</v>
      </c>
      <c r="G21" s="3442" t="s">
        <v>199</v>
      </c>
      <c r="H21" s="3442">
        <v>4930452.0700766053</v>
      </c>
      <c r="I21" s="3442">
        <v>11889246.156886308</v>
      </c>
      <c r="J21" s="3442" t="s">
        <v>199</v>
      </c>
      <c r="K21" s="3442" t="s">
        <v>274</v>
      </c>
      <c r="L21" s="3442" t="s">
        <v>199</v>
      </c>
      <c r="M21" s="3442">
        <v>269127736.71035641</v>
      </c>
      <c r="N21" s="3442" t="s">
        <v>199</v>
      </c>
      <c r="O21" s="3442" t="s">
        <v>199</v>
      </c>
      <c r="P21" s="3442" t="s">
        <v>199</v>
      </c>
      <c r="Q21" s="3442" t="s">
        <v>199</v>
      </c>
      <c r="R21" s="3445">
        <f t="shared" ref="R21:R46" si="8">IF(SUM(F21:Q21)=0,"NO",SUM(F21:Q21))</f>
        <v>310499763.81146836</v>
      </c>
      <c r="S21" s="2676"/>
      <c r="T21" s="2677"/>
      <c r="U21" s="3419">
        <f t="shared" si="4"/>
        <v>3.8113547899999323E-2</v>
      </c>
      <c r="V21" s="3417"/>
      <c r="W21" s="3418"/>
      <c r="X21" s="3282">
        <v>9.3415505518392436E-2</v>
      </c>
      <c r="Y21" s="3142"/>
      <c r="Z21" s="3420"/>
    </row>
    <row r="22" spans="2:26" ht="18" customHeight="1" x14ac:dyDescent="0.2">
      <c r="B22" s="2666" t="s">
        <v>965</v>
      </c>
      <c r="C22" s="3458">
        <f>Table3.A!C22</f>
        <v>22274.777999999998</v>
      </c>
      <c r="D22" s="3274">
        <v>35.741580068441721</v>
      </c>
      <c r="E22" s="3457">
        <f>'Table3.B(a)'!G22</f>
        <v>361.1571888362584</v>
      </c>
      <c r="F22" s="3446" t="s">
        <v>199</v>
      </c>
      <c r="G22" s="3442" t="s">
        <v>199</v>
      </c>
      <c r="H22" s="3446" t="s">
        <v>199</v>
      </c>
      <c r="I22" s="3446" t="s">
        <v>199</v>
      </c>
      <c r="J22" s="3446" t="s">
        <v>199</v>
      </c>
      <c r="K22" s="3446" t="s">
        <v>199</v>
      </c>
      <c r="L22" s="3446" t="s">
        <v>199</v>
      </c>
      <c r="M22" s="3446">
        <v>796135775.56648326</v>
      </c>
      <c r="N22" s="3446" t="s">
        <v>199</v>
      </c>
      <c r="O22" s="3446" t="s">
        <v>199</v>
      </c>
      <c r="P22" s="3446" t="s">
        <v>199</v>
      </c>
      <c r="Q22" s="3446" t="s">
        <v>199</v>
      </c>
      <c r="R22" s="3445">
        <f t="shared" si="8"/>
        <v>796135775.56648326</v>
      </c>
      <c r="S22" s="2676"/>
      <c r="T22" s="2677"/>
      <c r="U22" s="3419" t="str">
        <f>IF(SUM(X22)=0,"NA",X22*1000/C22)</f>
        <v>NA</v>
      </c>
      <c r="V22" s="3417"/>
      <c r="W22" s="3418"/>
      <c r="X22" s="3282" t="s">
        <v>205</v>
      </c>
      <c r="Y22" s="3142"/>
      <c r="Z22" s="3420"/>
    </row>
    <row r="23" spans="2:26" ht="18" customHeight="1" x14ac:dyDescent="0.2">
      <c r="B23" s="2666" t="s">
        <v>966</v>
      </c>
      <c r="C23" s="3458">
        <f>Table3.A!C23</f>
        <v>1059.328</v>
      </c>
      <c r="D23" s="3274">
        <v>73.318011084800546</v>
      </c>
      <c r="E23" s="3457">
        <f>'Table3.B(a)'!G23</f>
        <v>541.78354877710592</v>
      </c>
      <c r="F23" s="3446">
        <v>1398020.9768703794</v>
      </c>
      <c r="G23" s="3442" t="s">
        <v>199</v>
      </c>
      <c r="H23" s="3446" t="s">
        <v>199</v>
      </c>
      <c r="I23" s="3446">
        <v>15794840.996681554</v>
      </c>
      <c r="J23" s="3446" t="s">
        <v>274</v>
      </c>
      <c r="K23" s="3446">
        <v>77667832.048354447</v>
      </c>
      <c r="L23" s="3446" t="s">
        <v>199</v>
      </c>
      <c r="M23" s="3446" t="s">
        <v>199</v>
      </c>
      <c r="N23" s="3446">
        <v>11114888.108775906</v>
      </c>
      <c r="O23" s="3446" t="s">
        <v>199</v>
      </c>
      <c r="P23" s="3446" t="s">
        <v>199</v>
      </c>
      <c r="Q23" s="3446" t="s">
        <v>199</v>
      </c>
      <c r="R23" s="3445">
        <f t="shared" si="8"/>
        <v>105975582.13068229</v>
      </c>
      <c r="S23" s="2676"/>
      <c r="T23" s="2677"/>
      <c r="U23" s="3419">
        <f t="shared" ref="U23:U30" si="9">IF(SUM(X23)=0,"NA",X23*1000/C23)</f>
        <v>0.9041882037419795</v>
      </c>
      <c r="V23" s="3417"/>
      <c r="W23" s="3418"/>
      <c r="X23" s="3282">
        <v>0.95783188149358367</v>
      </c>
      <c r="Y23" s="3142"/>
      <c r="Z23" s="3420"/>
    </row>
    <row r="24" spans="2:26" ht="18" customHeight="1" x14ac:dyDescent="0.2">
      <c r="B24" s="349" t="s">
        <v>1062</v>
      </c>
      <c r="C24" s="3281">
        <f>C25</f>
        <v>71444.854000000007</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482884037.35504889</v>
      </c>
      <c r="N24" s="2668" t="str">
        <f t="shared" si="10"/>
        <v>NO</v>
      </c>
      <c r="O24" s="2668" t="str">
        <f t="shared" si="10"/>
        <v>NO</v>
      </c>
      <c r="P24" s="2668" t="str">
        <f t="shared" si="10"/>
        <v>NO</v>
      </c>
      <c r="Q24" s="2668" t="str">
        <f t="shared" si="10"/>
        <v>NO</v>
      </c>
      <c r="R24" s="3445">
        <f t="shared" si="8"/>
        <v>482884037.35504889</v>
      </c>
      <c r="S24" s="2676"/>
      <c r="T24" s="2677"/>
      <c r="U24" s="3419" t="str">
        <f t="shared" si="9"/>
        <v>NA</v>
      </c>
      <c r="V24" s="3417"/>
      <c r="W24" s="3418"/>
      <c r="X24" s="3281" t="str">
        <f t="shared" ref="X24:X25" si="11">X25</f>
        <v>NA</v>
      </c>
      <c r="Y24" s="3142"/>
      <c r="Z24" s="3420"/>
    </row>
    <row r="25" spans="2:26" ht="18" customHeight="1" x14ac:dyDescent="0.2">
      <c r="B25" s="348" t="s">
        <v>1063</v>
      </c>
      <c r="C25" s="3281">
        <f>C26</f>
        <v>71444.854000000007</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482884037.35504889</v>
      </c>
      <c r="N25" s="2668" t="str">
        <f t="shared" si="10"/>
        <v>NO</v>
      </c>
      <c r="O25" s="2668" t="str">
        <f t="shared" si="10"/>
        <v>NO</v>
      </c>
      <c r="P25" s="2668" t="str">
        <f t="shared" si="10"/>
        <v>NO</v>
      </c>
      <c r="Q25" s="2668" t="str">
        <f t="shared" si="10"/>
        <v>NO</v>
      </c>
      <c r="R25" s="3445">
        <f t="shared" si="8"/>
        <v>482884037.35504889</v>
      </c>
      <c r="S25" s="2676"/>
      <c r="T25" s="2677"/>
      <c r="U25" s="3419" t="str">
        <f t="shared" si="9"/>
        <v>NA</v>
      </c>
      <c r="V25" s="3417"/>
      <c r="W25" s="3418"/>
      <c r="X25" s="3281" t="str">
        <f t="shared" si="11"/>
        <v>NA</v>
      </c>
      <c r="Y25" s="3142"/>
      <c r="Z25" s="3420"/>
    </row>
    <row r="26" spans="2:26" ht="18" customHeight="1" x14ac:dyDescent="0.2">
      <c r="B26" s="2661" t="s">
        <v>967</v>
      </c>
      <c r="C26" s="3458">
        <f>Table3.A!C26</f>
        <v>71444.854000000007</v>
      </c>
      <c r="D26" s="3274">
        <v>6.7588358141149554</v>
      </c>
      <c r="E26" s="3457">
        <f>'Table3.B(a)'!G26</f>
        <v>43.39813269144436</v>
      </c>
      <c r="F26" s="3446" t="s">
        <v>199</v>
      </c>
      <c r="G26" s="3442" t="s">
        <v>199</v>
      </c>
      <c r="H26" s="3446" t="s">
        <v>199</v>
      </c>
      <c r="I26" s="3446" t="s">
        <v>199</v>
      </c>
      <c r="J26" s="3446" t="s">
        <v>199</v>
      </c>
      <c r="K26" s="3446" t="s">
        <v>199</v>
      </c>
      <c r="L26" s="3446" t="s">
        <v>199</v>
      </c>
      <c r="M26" s="3442">
        <v>482884037.35504889</v>
      </c>
      <c r="N26" s="3446" t="s">
        <v>199</v>
      </c>
      <c r="O26" s="3446" t="s">
        <v>199</v>
      </c>
      <c r="P26" s="3446" t="s">
        <v>199</v>
      </c>
      <c r="Q26" s="3446" t="s">
        <v>199</v>
      </c>
      <c r="R26" s="3445">
        <f t="shared" si="8"/>
        <v>482884037.35504889</v>
      </c>
      <c r="S26" s="2676"/>
      <c r="T26" s="2677"/>
      <c r="U26" s="3419" t="str">
        <f t="shared" si="9"/>
        <v>NA</v>
      </c>
      <c r="V26" s="3417"/>
      <c r="W26" s="3418"/>
      <c r="X26" s="3282" t="s">
        <v>205</v>
      </c>
      <c r="Y26" s="3142"/>
      <c r="Z26" s="3420"/>
    </row>
    <row r="27" spans="2:26" ht="18" customHeight="1" x14ac:dyDescent="0.2">
      <c r="B27" s="349" t="s">
        <v>1064</v>
      </c>
      <c r="C27" s="3281">
        <f>C28</f>
        <v>2606.3910000000001</v>
      </c>
      <c r="D27" s="3455"/>
      <c r="E27" s="3455"/>
      <c r="F27" s="2668">
        <f>F28</f>
        <v>22572476.966522474</v>
      </c>
      <c r="G27" s="2668" t="str">
        <f t="shared" ref="G27:G28" si="12">G28</f>
        <v>NO</v>
      </c>
      <c r="H27" s="2668" t="str">
        <f t="shared" ref="H27:H28" si="13">H28</f>
        <v>NO</v>
      </c>
      <c r="I27" s="2668" t="str">
        <f t="shared" ref="I27:I28" si="14">I28</f>
        <v>IE</v>
      </c>
      <c r="J27" s="2668" t="str">
        <f t="shared" ref="J27:J28" si="15">J28</f>
        <v>IE</v>
      </c>
      <c r="K27" s="2668">
        <f t="shared" ref="K27:K28" si="16">K28</f>
        <v>7893487.5264159609</v>
      </c>
      <c r="L27" s="2668" t="str">
        <f t="shared" ref="L27:L28" si="17">L28</f>
        <v>IE</v>
      </c>
      <c r="M27" s="2668" t="str">
        <f t="shared" ref="M27:M28" si="18">M28</f>
        <v>NO</v>
      </c>
      <c r="N27" s="2668" t="str">
        <f t="shared" ref="N27:N28" si="19">N28</f>
        <v>NO</v>
      </c>
      <c r="O27" s="2668">
        <f t="shared" ref="O27:O28" si="20">O28</f>
        <v>1729656.5539628793</v>
      </c>
      <c r="P27" s="2668" t="str">
        <f t="shared" ref="P27:P28" si="21">P28</f>
        <v>NO</v>
      </c>
      <c r="Q27" s="2668">
        <f t="shared" ref="Q27:Q28" si="22">Q28</f>
        <v>6968943.1605216535</v>
      </c>
      <c r="R27" s="3445">
        <f t="shared" si="8"/>
        <v>39164564.207422972</v>
      </c>
      <c r="S27" s="2676"/>
      <c r="T27" s="2677"/>
      <c r="U27" s="3419">
        <f t="shared" si="9"/>
        <v>7.852359353156807E-2</v>
      </c>
      <c r="V27" s="3417"/>
      <c r="W27" s="3418"/>
      <c r="X27" s="3281">
        <f t="shared" ref="X27:X28" si="23">X28</f>
        <v>0.20466318746833725</v>
      </c>
      <c r="Y27" s="3142"/>
      <c r="Z27" s="3420"/>
    </row>
    <row r="28" spans="2:26" ht="18" customHeight="1" x14ac:dyDescent="0.2">
      <c r="B28" s="348" t="s">
        <v>1065</v>
      </c>
      <c r="C28" s="3281">
        <f>C29</f>
        <v>2606.3910000000001</v>
      </c>
      <c r="D28" s="3455"/>
      <c r="E28" s="3455"/>
      <c r="F28" s="2668">
        <f>F29</f>
        <v>22572476.966522474</v>
      </c>
      <c r="G28" s="2668" t="str">
        <f t="shared" si="12"/>
        <v>NO</v>
      </c>
      <c r="H28" s="2668" t="str">
        <f t="shared" si="13"/>
        <v>NO</v>
      </c>
      <c r="I28" s="2668" t="str">
        <f t="shared" si="14"/>
        <v>IE</v>
      </c>
      <c r="J28" s="2668" t="str">
        <f t="shared" si="15"/>
        <v>IE</v>
      </c>
      <c r="K28" s="2668">
        <f t="shared" si="16"/>
        <v>7893487.5264159609</v>
      </c>
      <c r="L28" s="2668" t="str">
        <f t="shared" si="17"/>
        <v>IE</v>
      </c>
      <c r="M28" s="2668" t="str">
        <f t="shared" si="18"/>
        <v>NO</v>
      </c>
      <c r="N28" s="2668" t="str">
        <f t="shared" si="19"/>
        <v>NO</v>
      </c>
      <c r="O28" s="2668">
        <f t="shared" si="20"/>
        <v>1729656.5539628793</v>
      </c>
      <c r="P28" s="2668" t="str">
        <f t="shared" si="21"/>
        <v>NO</v>
      </c>
      <c r="Q28" s="2668">
        <f t="shared" si="22"/>
        <v>6968943.1605216535</v>
      </c>
      <c r="R28" s="3445">
        <f t="shared" si="8"/>
        <v>39164564.207422972</v>
      </c>
      <c r="S28" s="2676"/>
      <c r="T28" s="2677"/>
      <c r="U28" s="3419">
        <f t="shared" si="9"/>
        <v>7.852359353156807E-2</v>
      </c>
      <c r="V28" s="3417"/>
      <c r="W28" s="3418"/>
      <c r="X28" s="3281">
        <f t="shared" si="23"/>
        <v>0.20466318746833725</v>
      </c>
      <c r="Y28" s="3142"/>
      <c r="Z28" s="3420"/>
    </row>
    <row r="29" spans="2:26" ht="18" customHeight="1" x14ac:dyDescent="0.2">
      <c r="B29" s="2661" t="s">
        <v>968</v>
      </c>
      <c r="C29" s="3458">
        <f>Table3.A!C29</f>
        <v>2606.3910000000001</v>
      </c>
      <c r="D29" s="3274">
        <v>12.182239764586294</v>
      </c>
      <c r="E29" s="3457">
        <f>'Table3.B(a)'!G29</f>
        <v>56.538878245955139</v>
      </c>
      <c r="F29" s="3442">
        <v>22572476.966522474</v>
      </c>
      <c r="G29" s="3442" t="s">
        <v>199</v>
      </c>
      <c r="H29" s="3442" t="s">
        <v>199</v>
      </c>
      <c r="I29" s="3442" t="s">
        <v>274</v>
      </c>
      <c r="J29" s="3442" t="s">
        <v>274</v>
      </c>
      <c r="K29" s="3442">
        <v>7893487.5264159609</v>
      </c>
      <c r="L29" s="3442" t="s">
        <v>274</v>
      </c>
      <c r="M29" s="3442" t="s">
        <v>199</v>
      </c>
      <c r="N29" s="3442" t="s">
        <v>199</v>
      </c>
      <c r="O29" s="3442">
        <v>1729656.5539628793</v>
      </c>
      <c r="P29" s="3442" t="s">
        <v>199</v>
      </c>
      <c r="Q29" s="3442">
        <v>6968943.1605216535</v>
      </c>
      <c r="R29" s="3445">
        <f t="shared" si="8"/>
        <v>39164564.207422972</v>
      </c>
      <c r="S29" s="2676"/>
      <c r="T29" s="2677"/>
      <c r="U29" s="3419">
        <f t="shared" si="9"/>
        <v>7.852359353156807E-2</v>
      </c>
      <c r="V29" s="3417"/>
      <c r="W29" s="3418"/>
      <c r="X29" s="3282">
        <v>0.20466318746833725</v>
      </c>
      <c r="Y29" s="3142"/>
      <c r="Z29" s="3420"/>
    </row>
    <row r="30" spans="2:26" ht="18" customHeight="1" x14ac:dyDescent="0.2">
      <c r="B30" s="349" t="s">
        <v>1116</v>
      </c>
      <c r="C30" s="3281">
        <f>IF(SUM(C32:C39)=0,"NO",SUM(C32:C39))</f>
        <v>104396.139</v>
      </c>
      <c r="D30" s="3455"/>
      <c r="E30" s="3455"/>
      <c r="F30" s="2668" t="str">
        <f>IF(SUM(F32:F39)=0,"NO",SUM(F32:F39))</f>
        <v>NO</v>
      </c>
      <c r="G30" s="2668" t="str">
        <f t="shared" ref="G30:Q30" si="24">IF(SUM(G32:G39)=0,"NO",SUM(G32:G39))</f>
        <v>NO</v>
      </c>
      <c r="H30" s="2668" t="str">
        <f t="shared" si="24"/>
        <v>NO</v>
      </c>
      <c r="I30" s="2668">
        <f t="shared" si="24"/>
        <v>24684908.157147989</v>
      </c>
      <c r="J30" s="2668" t="str">
        <f t="shared" si="24"/>
        <v>NO</v>
      </c>
      <c r="K30" s="2668" t="str">
        <f t="shared" si="24"/>
        <v>NO</v>
      </c>
      <c r="L30" s="2668" t="str">
        <f t="shared" si="24"/>
        <v>NO</v>
      </c>
      <c r="M30" s="2668">
        <f t="shared" si="24"/>
        <v>15584892.06095132</v>
      </c>
      <c r="N30" s="2668">
        <f t="shared" si="24"/>
        <v>10713989.503014304</v>
      </c>
      <c r="O30" s="2668">
        <f t="shared" si="24"/>
        <v>131738.46380012378</v>
      </c>
      <c r="P30" s="2668" t="str">
        <f t="shared" si="24"/>
        <v>NO</v>
      </c>
      <c r="Q30" s="2668">
        <f t="shared" si="24"/>
        <v>78989106.023239985</v>
      </c>
      <c r="R30" s="3445">
        <f t="shared" si="8"/>
        <v>130104634.20815372</v>
      </c>
      <c r="S30" s="2676"/>
      <c r="T30" s="2677"/>
      <c r="U30" s="3419">
        <f t="shared" si="9"/>
        <v>4.472852922308904E-3</v>
      </c>
      <c r="V30" s="3417"/>
      <c r="W30" s="3418"/>
      <c r="X30" s="3281">
        <f t="shared" ref="X30" si="25">IF(SUM(X32:X39)=0,"NO",SUM(X32:X39))</f>
        <v>0.46694857540391649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5.1520000000000001</v>
      </c>
      <c r="D32" s="3274">
        <v>39.5</v>
      </c>
      <c r="E32" s="3457" t="str">
        <f>'Table3.B(a)'!G32</f>
        <v>NA</v>
      </c>
      <c r="F32" s="3442" t="s">
        <v>199</v>
      </c>
      <c r="G32" s="3442" t="s">
        <v>199</v>
      </c>
      <c r="H32" s="3442" t="s">
        <v>199</v>
      </c>
      <c r="I32" s="3442" t="s">
        <v>199</v>
      </c>
      <c r="J32" s="3442" t="s">
        <v>199</v>
      </c>
      <c r="K32" s="3442" t="s">
        <v>199</v>
      </c>
      <c r="L32" s="3442" t="s">
        <v>199</v>
      </c>
      <c r="M32" s="3442">
        <v>203520.53326113807</v>
      </c>
      <c r="N32" s="3442" t="s">
        <v>199</v>
      </c>
      <c r="O32" s="3442" t="s">
        <v>199</v>
      </c>
      <c r="P32" s="3442" t="s">
        <v>199</v>
      </c>
      <c r="Q32" s="3442" t="s">
        <v>199</v>
      </c>
      <c r="R32" s="3445">
        <f t="shared" si="8"/>
        <v>203520.53326113807</v>
      </c>
      <c r="S32" s="2676"/>
      <c r="T32" s="2677"/>
      <c r="U32" s="3419" t="str">
        <f>IF(SUM(X32)=0,"NA",X32*1000/C32)</f>
        <v>NA</v>
      </c>
      <c r="V32" s="3417"/>
      <c r="W32" s="3418"/>
      <c r="X32" s="3282" t="s">
        <v>205</v>
      </c>
      <c r="Y32" s="3142"/>
      <c r="Z32" s="3420"/>
    </row>
    <row r="33" spans="2:26" ht="18" customHeight="1" x14ac:dyDescent="0.2">
      <c r="B33" s="348" t="s">
        <v>1068</v>
      </c>
      <c r="C33" s="3458">
        <f>Table3.A!C33</f>
        <v>2.7589999999999999</v>
      </c>
      <c r="D33" s="3274">
        <v>39.5</v>
      </c>
      <c r="E33" s="3457" t="str">
        <f>'Table3.B(a)'!G33</f>
        <v>NA</v>
      </c>
      <c r="F33" s="3442" t="s">
        <v>199</v>
      </c>
      <c r="G33" s="3442" t="s">
        <v>199</v>
      </c>
      <c r="H33" s="3442" t="s">
        <v>199</v>
      </c>
      <c r="I33" s="3442" t="s">
        <v>199</v>
      </c>
      <c r="J33" s="3442" t="s">
        <v>199</v>
      </c>
      <c r="K33" s="3442" t="s">
        <v>199</v>
      </c>
      <c r="L33" s="3442" t="s">
        <v>199</v>
      </c>
      <c r="M33" s="3442">
        <v>108972.64962538239</v>
      </c>
      <c r="N33" s="3442" t="s">
        <v>199</v>
      </c>
      <c r="O33" s="3442" t="s">
        <v>199</v>
      </c>
      <c r="P33" s="3442" t="s">
        <v>199</v>
      </c>
      <c r="Q33" s="3442" t="s">
        <v>199</v>
      </c>
      <c r="R33" s="3445">
        <f t="shared" si="8"/>
        <v>108972.64962538239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30.123000000000001</v>
      </c>
      <c r="D34" s="3274">
        <v>13.2</v>
      </c>
      <c r="E34" s="3457" t="str">
        <f>'Table3.B(a)'!G34</f>
        <v>NA</v>
      </c>
      <c r="F34" s="3442" t="s">
        <v>199</v>
      </c>
      <c r="G34" s="3442" t="s">
        <v>199</v>
      </c>
      <c r="H34" s="3442" t="s">
        <v>199</v>
      </c>
      <c r="I34" s="3442" t="s">
        <v>199</v>
      </c>
      <c r="J34" s="3442" t="s">
        <v>199</v>
      </c>
      <c r="K34" s="3442" t="s">
        <v>199</v>
      </c>
      <c r="L34" s="3442" t="s">
        <v>199</v>
      </c>
      <c r="M34" s="3442">
        <v>397617.73268791614</v>
      </c>
      <c r="N34" s="3442" t="s">
        <v>199</v>
      </c>
      <c r="O34" s="3442" t="s">
        <v>199</v>
      </c>
      <c r="P34" s="3442" t="s">
        <v>199</v>
      </c>
      <c r="Q34" s="3442" t="s">
        <v>199</v>
      </c>
      <c r="R34" s="3445">
        <f t="shared" si="8"/>
        <v>397617.73268791614</v>
      </c>
      <c r="S34" s="2676"/>
      <c r="T34" s="2677"/>
      <c r="U34" s="3419" t="str">
        <f t="shared" si="26"/>
        <v>NA</v>
      </c>
      <c r="V34" s="3417"/>
      <c r="W34" s="3418"/>
      <c r="X34" s="3282" t="s">
        <v>205</v>
      </c>
      <c r="Y34" s="3142"/>
      <c r="Z34" s="3420"/>
    </row>
    <row r="35" spans="2:26" ht="18" customHeight="1" x14ac:dyDescent="0.2">
      <c r="B35" s="348" t="s">
        <v>1070</v>
      </c>
      <c r="C35" s="3458">
        <f>Table3.A!C35</f>
        <v>460.32400000000001</v>
      </c>
      <c r="D35" s="3274">
        <v>7</v>
      </c>
      <c r="E35" s="3457" t="str">
        <f>'Table3.B(a)'!G35</f>
        <v>NA</v>
      </c>
      <c r="F35" s="3442" t="s">
        <v>199</v>
      </c>
      <c r="G35" s="3442" t="s">
        <v>199</v>
      </c>
      <c r="H35" s="3442" t="s">
        <v>199</v>
      </c>
      <c r="I35" s="3442" t="s">
        <v>199</v>
      </c>
      <c r="J35" s="3442" t="s">
        <v>199</v>
      </c>
      <c r="K35" s="3442" t="s">
        <v>199</v>
      </c>
      <c r="L35" s="3442" t="s">
        <v>199</v>
      </c>
      <c r="M35" s="3442">
        <v>3222265.8649999998</v>
      </c>
      <c r="N35" s="3442" t="s">
        <v>199</v>
      </c>
      <c r="O35" s="3442" t="s">
        <v>199</v>
      </c>
      <c r="P35" s="3442" t="s">
        <v>199</v>
      </c>
      <c r="Q35" s="3442" t="s">
        <v>199</v>
      </c>
      <c r="R35" s="3445">
        <f t="shared" si="8"/>
        <v>3222265.8649999998</v>
      </c>
      <c r="S35" s="2676"/>
      <c r="T35" s="2677"/>
      <c r="U35" s="3419" t="str">
        <f t="shared" si="26"/>
        <v>NA</v>
      </c>
      <c r="V35" s="3417"/>
      <c r="W35" s="3418"/>
      <c r="X35" s="3282" t="s">
        <v>205</v>
      </c>
      <c r="Y35" s="3142"/>
      <c r="Z35" s="3420"/>
    </row>
    <row r="36" spans="2:26" ht="18" customHeight="1" x14ac:dyDescent="0.2">
      <c r="B36" s="348" t="s">
        <v>1071</v>
      </c>
      <c r="C36" s="3458">
        <f>Table3.A!C36</f>
        <v>222.53</v>
      </c>
      <c r="D36" s="3274">
        <v>39.5</v>
      </c>
      <c r="E36" s="3457" t="str">
        <f>'Table3.B(a)'!G36</f>
        <v>NA</v>
      </c>
      <c r="F36" s="3442" t="s">
        <v>199</v>
      </c>
      <c r="G36" s="3442" t="s">
        <v>199</v>
      </c>
      <c r="H36" s="3442" t="s">
        <v>199</v>
      </c>
      <c r="I36" s="3442" t="s">
        <v>199</v>
      </c>
      <c r="J36" s="3442" t="s">
        <v>199</v>
      </c>
      <c r="K36" s="3442" t="s">
        <v>199</v>
      </c>
      <c r="L36" s="3442" t="s">
        <v>199</v>
      </c>
      <c r="M36" s="3442">
        <v>8789933.999503253</v>
      </c>
      <c r="N36" s="3442" t="s">
        <v>199</v>
      </c>
      <c r="O36" s="3442" t="s">
        <v>199</v>
      </c>
      <c r="P36" s="3442" t="s">
        <v>199</v>
      </c>
      <c r="Q36" s="3442" t="s">
        <v>199</v>
      </c>
      <c r="R36" s="3445">
        <f t="shared" si="8"/>
        <v>8789933.999503253</v>
      </c>
      <c r="S36" s="2676"/>
      <c r="T36" s="2677"/>
      <c r="U36" s="3419" t="str">
        <f t="shared" si="26"/>
        <v>NA</v>
      </c>
      <c r="V36" s="3417"/>
      <c r="W36" s="3418"/>
      <c r="X36" s="3282" t="s">
        <v>205</v>
      </c>
      <c r="Y36" s="3142"/>
      <c r="Z36" s="3420"/>
    </row>
    <row r="37" spans="2:26" ht="18" customHeight="1" x14ac:dyDescent="0.2">
      <c r="B37" s="348" t="s">
        <v>1117</v>
      </c>
      <c r="C37" s="3458">
        <f>Table3.A!C37</f>
        <v>0.64600000000000002</v>
      </c>
      <c r="D37" s="3274">
        <v>13.2</v>
      </c>
      <c r="E37" s="3457" t="str">
        <f>'Table3.B(a)'!G37</f>
        <v>NA</v>
      </c>
      <c r="F37" s="3442" t="s">
        <v>199</v>
      </c>
      <c r="G37" s="3442" t="s">
        <v>199</v>
      </c>
      <c r="H37" s="3442" t="s">
        <v>199</v>
      </c>
      <c r="I37" s="3442" t="s">
        <v>199</v>
      </c>
      <c r="J37" s="3442" t="s">
        <v>199</v>
      </c>
      <c r="K37" s="3442" t="s">
        <v>199</v>
      </c>
      <c r="L37" s="3442" t="s">
        <v>199</v>
      </c>
      <c r="M37" s="3442">
        <v>8532.5615250041683</v>
      </c>
      <c r="N37" s="3442" t="s">
        <v>199</v>
      </c>
      <c r="O37" s="3442" t="s">
        <v>199</v>
      </c>
      <c r="P37" s="3442" t="s">
        <v>199</v>
      </c>
      <c r="Q37" s="3442" t="s">
        <v>199</v>
      </c>
      <c r="R37" s="3445">
        <f t="shared" si="8"/>
        <v>8532.5615250041683</v>
      </c>
      <c r="S37" s="2676"/>
      <c r="T37" s="2677"/>
      <c r="U37" s="3419" t="str">
        <f t="shared" si="26"/>
        <v>NA</v>
      </c>
      <c r="V37" s="3417"/>
      <c r="W37" s="3418"/>
      <c r="X37" s="3282" t="s">
        <v>205</v>
      </c>
      <c r="Y37" s="3142"/>
      <c r="Z37" s="3420"/>
    </row>
    <row r="38" spans="2:26" ht="18" customHeight="1" x14ac:dyDescent="0.2">
      <c r="B38" s="348" t="s">
        <v>1073</v>
      </c>
      <c r="C38" s="3458">
        <f>Table3.A!C38</f>
        <v>103531.777</v>
      </c>
      <c r="D38" s="3274">
        <v>0.66098329909844999</v>
      </c>
      <c r="E38" s="3457" t="str">
        <f>'Table3.B(a)'!G38</f>
        <v>NA</v>
      </c>
      <c r="F38" s="3442" t="s">
        <v>199</v>
      </c>
      <c r="G38" s="3442" t="s">
        <v>199</v>
      </c>
      <c r="H38" s="3442" t="s">
        <v>199</v>
      </c>
      <c r="I38" s="3442">
        <v>24684908.157147989</v>
      </c>
      <c r="J38" s="3442" t="s">
        <v>274</v>
      </c>
      <c r="K38" s="3442" t="s">
        <v>274</v>
      </c>
      <c r="L38" s="3442" t="s">
        <v>274</v>
      </c>
      <c r="M38" s="3442">
        <v>1854251.7312302103</v>
      </c>
      <c r="N38" s="3442">
        <v>10713989.503014304</v>
      </c>
      <c r="O38" s="3442">
        <v>131738.46380012378</v>
      </c>
      <c r="P38" s="3442" t="s">
        <v>199</v>
      </c>
      <c r="Q38" s="3442">
        <v>78989106.023239985</v>
      </c>
      <c r="R38" s="3445">
        <f t="shared" si="8"/>
        <v>116373993.8784326</v>
      </c>
      <c r="S38" s="2676"/>
      <c r="T38" s="2677"/>
      <c r="U38" s="3419">
        <f t="shared" si="26"/>
        <v>4.5101956996634615E-3</v>
      </c>
      <c r="V38" s="3417"/>
      <c r="W38" s="3418"/>
      <c r="X38" s="3282">
        <v>0.46694857540391649</v>
      </c>
      <c r="Y38" s="3142"/>
      <c r="Z38" s="3420"/>
    </row>
    <row r="39" spans="2:26" ht="18" customHeight="1" x14ac:dyDescent="0.2">
      <c r="B39" s="348" t="s">
        <v>1074</v>
      </c>
      <c r="C39" s="3281">
        <f>IF(SUM(C41:C45)=0,"NO",SUM(C41:C45))</f>
        <v>142.828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999796.98811841803</v>
      </c>
      <c r="N39" s="2668" t="str">
        <f t="shared" si="27"/>
        <v>NO</v>
      </c>
      <c r="O39" s="2668" t="str">
        <f t="shared" si="27"/>
        <v>NO</v>
      </c>
      <c r="P39" s="2668" t="str">
        <f t="shared" si="27"/>
        <v>NO</v>
      </c>
      <c r="Q39" s="2668" t="str">
        <f t="shared" si="27"/>
        <v>NO</v>
      </c>
      <c r="R39" s="3445">
        <f t="shared" si="8"/>
        <v>999796.98811841803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9.8109999999999999</v>
      </c>
      <c r="D43" s="3274">
        <v>7</v>
      </c>
      <c r="E43" s="3457" t="str">
        <f>'Table3.B(a)'!G43</f>
        <v>NA</v>
      </c>
      <c r="F43" s="3442" t="s">
        <v>199</v>
      </c>
      <c r="G43" s="3442" t="s">
        <v>199</v>
      </c>
      <c r="H43" s="3442" t="s">
        <v>199</v>
      </c>
      <c r="I43" s="3442" t="s">
        <v>199</v>
      </c>
      <c r="J43" s="3442" t="s">
        <v>199</v>
      </c>
      <c r="K43" s="3442" t="s">
        <v>199</v>
      </c>
      <c r="L43" s="3442" t="s">
        <v>199</v>
      </c>
      <c r="M43" s="3442">
        <v>68676.197478991555</v>
      </c>
      <c r="N43" s="3442" t="s">
        <v>199</v>
      </c>
      <c r="O43" s="3442" t="s">
        <v>199</v>
      </c>
      <c r="P43" s="3442" t="s">
        <v>199</v>
      </c>
      <c r="Q43" s="3442" t="s">
        <v>199</v>
      </c>
      <c r="R43" s="3445">
        <f t="shared" si="8"/>
        <v>68676.197478991555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133.017</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931120.79063942644</v>
      </c>
      <c r="N45" s="2668" t="str">
        <f t="shared" si="28"/>
        <v>NO</v>
      </c>
      <c r="O45" s="2668" t="str">
        <f t="shared" si="28"/>
        <v>NO</v>
      </c>
      <c r="P45" s="2668" t="str">
        <f t="shared" si="28"/>
        <v>NO</v>
      </c>
      <c r="Q45" s="2668" t="str">
        <f t="shared" si="28"/>
        <v>NO</v>
      </c>
      <c r="R45" s="3445">
        <f t="shared" si="8"/>
        <v>931120.79063942644</v>
      </c>
      <c r="S45" s="2676"/>
      <c r="T45" s="2677"/>
      <c r="U45" s="3419" t="str">
        <f t="shared" si="26"/>
        <v>NA</v>
      </c>
      <c r="V45" s="3417"/>
      <c r="W45" s="3418"/>
      <c r="X45" s="3281" t="str">
        <f>X46</f>
        <v>NA</v>
      </c>
      <c r="Y45" s="3142"/>
      <c r="Z45" s="3420"/>
    </row>
    <row r="46" spans="2:26" ht="18" customHeight="1" x14ac:dyDescent="0.2">
      <c r="B46" s="2665" t="s">
        <v>1013</v>
      </c>
      <c r="C46" s="3458">
        <f>Table3.A!C46</f>
        <v>133.017</v>
      </c>
      <c r="D46" s="3274">
        <v>7</v>
      </c>
      <c r="E46" s="3457" t="str">
        <f>'Table3.B(a)'!G46</f>
        <v>NA</v>
      </c>
      <c r="F46" s="3442" t="s">
        <v>199</v>
      </c>
      <c r="G46" s="3442" t="s">
        <v>199</v>
      </c>
      <c r="H46" s="3442" t="s">
        <v>199</v>
      </c>
      <c r="I46" s="3442" t="s">
        <v>199</v>
      </c>
      <c r="J46" s="3442" t="s">
        <v>199</v>
      </c>
      <c r="K46" s="3442" t="s">
        <v>199</v>
      </c>
      <c r="L46" s="3442" t="s">
        <v>199</v>
      </c>
      <c r="M46" s="3442">
        <v>931120.79063942644</v>
      </c>
      <c r="N46" s="3442" t="s">
        <v>199</v>
      </c>
      <c r="O46" s="3442" t="s">
        <v>199</v>
      </c>
      <c r="P46" s="3442" t="s">
        <v>199</v>
      </c>
      <c r="Q46" s="3442" t="s">
        <v>199</v>
      </c>
      <c r="R46" s="3445">
        <f t="shared" si="8"/>
        <v>931120.79063942644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108934637.09840238</v>
      </c>
      <c r="T47" s="3410">
        <v>435157.68354613753</v>
      </c>
      <c r="U47" s="3429"/>
      <c r="V47" s="3430">
        <f>IF(SUM(S47)=0,"NA",Y47*1000000/S47)</f>
        <v>6.0334601978816096E-3</v>
      </c>
      <c r="W47" s="3431">
        <f>IF(SUM(T47)=0,"NA",Z47*1000000/T47)</f>
        <v>1.7285714285714286E-2</v>
      </c>
      <c r="X47" s="3283"/>
      <c r="Y47" s="3287">
        <v>0.65725279710388806</v>
      </c>
      <c r="Z47" s="3288">
        <v>7.5220113870118066E-3</v>
      </c>
    </row>
    <row r="48" spans="2:26" ht="18" customHeight="1" x14ac:dyDescent="0.2">
      <c r="B48" s="356" t="s">
        <v>1119</v>
      </c>
      <c r="C48" s="357"/>
      <c r="D48" s="357"/>
      <c r="E48" s="357"/>
      <c r="F48" s="3448">
        <f>IF(SUM(F30,F27,F24,F10)=0,"NO",SUM(F30,F27,F24,F10))</f>
        <v>48522826.817541875</v>
      </c>
      <c r="G48" s="3448" t="str">
        <f t="shared" ref="G48:Q48" si="29">IF(SUM(G30,G27,G24,G10)=0,"NO",SUM(G30,G27,G24,G10))</f>
        <v>NO</v>
      </c>
      <c r="H48" s="3448">
        <f t="shared" si="29"/>
        <v>4930452.0700766053</v>
      </c>
      <c r="I48" s="3448">
        <f t="shared" si="29"/>
        <v>52368995.310715854</v>
      </c>
      <c r="J48" s="3448" t="str">
        <f t="shared" si="29"/>
        <v>NO</v>
      </c>
      <c r="K48" s="3448">
        <f t="shared" si="29"/>
        <v>85561319.574770406</v>
      </c>
      <c r="L48" s="3448" t="str">
        <f t="shared" si="29"/>
        <v>NO</v>
      </c>
      <c r="M48" s="3374"/>
      <c r="N48" s="3448">
        <f t="shared" si="29"/>
        <v>21828877.61179021</v>
      </c>
      <c r="O48" s="3448">
        <f t="shared" si="29"/>
        <v>1861395.0177630032</v>
      </c>
      <c r="P48" s="3374"/>
      <c r="Q48" s="3448">
        <f t="shared" si="29"/>
        <v>85958049.183761641</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2.235803971445954E-2</v>
      </c>
      <c r="J49" s="3449" t="str">
        <f t="shared" si="30"/>
        <v>NA</v>
      </c>
      <c r="K49" s="3449" t="str">
        <f t="shared" si="30"/>
        <v>NA</v>
      </c>
      <c r="L49" s="3449" t="str">
        <f t="shared" si="30"/>
        <v>NA</v>
      </c>
      <c r="M49" s="87"/>
      <c r="N49" s="3449">
        <f t="shared" si="30"/>
        <v>1.5714285714285708E-2</v>
      </c>
      <c r="O49" s="3449" t="str">
        <f t="shared" si="30"/>
        <v>NA</v>
      </c>
      <c r="P49" s="87"/>
      <c r="Q49" s="3449">
        <f t="shared" si="30"/>
        <v>2.4310213562469853E-3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1.1708680769633304</v>
      </c>
      <c r="J50" s="3450" t="s">
        <v>274</v>
      </c>
      <c r="K50" s="3450" t="s">
        <v>274</v>
      </c>
      <c r="L50" s="3450" t="s">
        <v>274</v>
      </c>
      <c r="M50" s="3437"/>
      <c r="N50" s="3451">
        <v>0.34302521961384602</v>
      </c>
      <c r="O50" s="3451" t="s">
        <v>205</v>
      </c>
      <c r="P50" s="3437"/>
      <c r="Q50" s="3451">
        <v>0.20896585330705328</v>
      </c>
      <c r="R50" s="1311"/>
      <c r="S50" s="1312"/>
      <c r="T50" s="1313"/>
      <c r="U50" s="3436">
        <f>X50*1000/SUM(C10,C24,C27,C30)</f>
        <v>8.4357749691809768E-3</v>
      </c>
      <c r="V50" s="3437"/>
      <c r="W50" s="3438"/>
      <c r="X50" s="3286">
        <f>SUM(X10,X24,X27,X30)</f>
        <v>1.7228591498842298</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18" t="s">
        <v>1122</v>
      </c>
      <c r="C68" s="4519"/>
      <c r="D68" s="4519"/>
      <c r="E68" s="4519"/>
      <c r="F68" s="4519"/>
      <c r="G68" s="4519"/>
      <c r="H68" s="4519"/>
      <c r="I68" s="4519"/>
      <c r="J68" s="4519"/>
      <c r="K68" s="4519"/>
      <c r="L68" s="4519"/>
      <c r="M68" s="4519"/>
      <c r="N68" s="4519"/>
      <c r="O68" s="4519"/>
      <c r="P68" s="4519"/>
      <c r="Q68" s="4519"/>
      <c r="R68" s="4519"/>
      <c r="S68" s="4519"/>
      <c r="T68" s="4519"/>
      <c r="U68" s="4519"/>
      <c r="V68" s="4519"/>
      <c r="W68" s="4519"/>
      <c r="X68" s="4519"/>
      <c r="Y68" s="4519"/>
      <c r="Z68" s="4520"/>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7.4910678817133576</v>
      </c>
    </row>
    <row r="11" spans="1:9" ht="18" customHeight="1" x14ac:dyDescent="0.2">
      <c r="B11" s="432" t="s">
        <v>1133</v>
      </c>
      <c r="C11" s="4462">
        <v>0.47143284340549757</v>
      </c>
      <c r="D11" s="243" t="s">
        <v>199</v>
      </c>
      <c r="E11" s="283" t="s">
        <v>199</v>
      </c>
      <c r="F11" s="2330">
        <f>IF(SUM(C11)=0,"NA",G11/C11)</f>
        <v>15.890000000000002</v>
      </c>
      <c r="G11" s="3072">
        <v>7.4910678817133576</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0.47143284340549757</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20" sqref="I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31.430417673910423</v>
      </c>
      <c r="H10" s="395" t="s">
        <v>1157</v>
      </c>
      <c r="I10" s="396" t="s">
        <v>1158</v>
      </c>
      <c r="J10" s="397">
        <v>0.21</v>
      </c>
    </row>
    <row r="11" spans="2:10" ht="24" customHeight="1" x14ac:dyDescent="0.2">
      <c r="B11" s="2453" t="s">
        <v>1159</v>
      </c>
      <c r="C11" s="2454" t="s">
        <v>1160</v>
      </c>
      <c r="D11" s="3639">
        <v>1737411.3766021647</v>
      </c>
      <c r="E11" s="3634">
        <f>IF(SUM(D11)=0,"NA",F11*1000/D11/(44/28))</f>
        <v>4.24305318360391E-3</v>
      </c>
      <c r="F11" s="3390">
        <v>11.584459657133733</v>
      </c>
      <c r="H11" s="395" t="s">
        <v>1161</v>
      </c>
      <c r="I11" s="396" t="s">
        <v>1162</v>
      </c>
      <c r="J11" s="397">
        <v>0.24</v>
      </c>
    </row>
    <row r="12" spans="2:10" ht="24" customHeight="1" x14ac:dyDescent="0.2">
      <c r="B12" s="2453" t="s">
        <v>1163</v>
      </c>
      <c r="C12" s="2455" t="s">
        <v>1164</v>
      </c>
      <c r="D12" s="3640">
        <f>IF(SUM(D13:D15)=0,"NO",SUM(D13:D15))</f>
        <v>114290.97778408793</v>
      </c>
      <c r="E12" s="3635">
        <f t="shared" ref="E12:E23" si="0">IF(SUM(D12)=0,"NA",F12*1000/D12/(44/28))</f>
        <v>8.3811557848406746E-3</v>
      </c>
      <c r="F12" s="3391">
        <f>IF(SUM(F13:F15)=0,"NO",SUM(F13:F15))</f>
        <v>1.5052564836731799</v>
      </c>
      <c r="H12" s="4233" t="s">
        <v>1165</v>
      </c>
      <c r="I12" s="4234"/>
      <c r="J12" s="4235"/>
    </row>
    <row r="13" spans="2:10" ht="24" customHeight="1" thickBot="1" x14ac:dyDescent="0.25">
      <c r="B13" s="2453" t="s">
        <v>1166</v>
      </c>
      <c r="C13" s="2454" t="s">
        <v>1167</v>
      </c>
      <c r="D13" s="3641">
        <v>104305.85516511314</v>
      </c>
      <c r="E13" s="3634">
        <f t="shared" si="0"/>
        <v>8.3219142843455433E-3</v>
      </c>
      <c r="F13" s="3390">
        <v>1.364038320919108</v>
      </c>
      <c r="H13" s="4236"/>
      <c r="I13" s="4237"/>
      <c r="J13" s="4238"/>
    </row>
    <row r="14" spans="2:10" ht="24" customHeight="1" x14ac:dyDescent="0.2">
      <c r="B14" s="2453" t="s">
        <v>1168</v>
      </c>
      <c r="C14" s="2454" t="s">
        <v>1169</v>
      </c>
      <c r="D14" s="3641">
        <v>9985.1226189747795</v>
      </c>
      <c r="E14" s="3634">
        <f t="shared" si="0"/>
        <v>9.0000000000000011E-3</v>
      </c>
      <c r="F14" s="3390">
        <v>0.1412181627540719</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1563732.4416928401</v>
      </c>
      <c r="E16" s="3634">
        <f t="shared" si="0"/>
        <v>4.0000000000000001E-3</v>
      </c>
      <c r="F16" s="3390">
        <v>9.8291753477835648</v>
      </c>
    </row>
    <row r="17" spans="2:11" ht="24" customHeight="1" x14ac:dyDescent="0.2">
      <c r="B17" s="2453" t="s">
        <v>1176</v>
      </c>
      <c r="C17" s="2454" t="s">
        <v>1177</v>
      </c>
      <c r="D17" s="3641">
        <v>1052048.7030690766</v>
      </c>
      <c r="E17" s="3634">
        <f t="shared" si="0"/>
        <v>5.029999999999998E-3</v>
      </c>
      <c r="F17" s="3390">
        <v>8.3156935344017135</v>
      </c>
    </row>
    <row r="18" spans="2:11" ht="24" customHeight="1" x14ac:dyDescent="0.2">
      <c r="B18" s="2453" t="s">
        <v>1178</v>
      </c>
      <c r="C18" s="2454" t="s">
        <v>1179</v>
      </c>
      <c r="D18" s="3641">
        <v>16736.775087086509</v>
      </c>
      <c r="E18" s="3636">
        <f t="shared" si="0"/>
        <v>4.1000000000000003E-3</v>
      </c>
      <c r="F18" s="3392">
        <v>0.10783265091822881</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11.540416472373707</v>
      </c>
    </row>
    <row r="22" spans="2:11" ht="24" customHeight="1" x14ac:dyDescent="0.2">
      <c r="B22" s="2457" t="s">
        <v>1184</v>
      </c>
      <c r="C22" s="2454" t="s">
        <v>1185</v>
      </c>
      <c r="D22" s="3641">
        <v>543500.16951639287</v>
      </c>
      <c r="E22" s="3634">
        <f t="shared" si="0"/>
        <v>3.1926029880938399E-3</v>
      </c>
      <c r="F22" s="3390">
        <v>2.7267118453575701</v>
      </c>
    </row>
    <row r="23" spans="2:11" ht="24" customHeight="1" thickBot="1" x14ac:dyDescent="0.25">
      <c r="B23" s="406" t="s">
        <v>1186</v>
      </c>
      <c r="C23" s="407" t="s">
        <v>1187</v>
      </c>
      <c r="D23" s="3643">
        <v>509883.73875299952</v>
      </c>
      <c r="E23" s="3638">
        <f t="shared" si="0"/>
        <v>1.1000000000000003E-2</v>
      </c>
      <c r="F23" s="3394">
        <v>8.8137046270161363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1" t="s">
        <v>1188</v>
      </c>
      <c r="C44" s="4522"/>
      <c r="D44" s="4522"/>
      <c r="E44" s="4522"/>
      <c r="F44" s="4523"/>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1" t="s">
        <v>1203</v>
      </c>
      <c r="C27" s="4492"/>
      <c r="D27" s="4492"/>
      <c r="E27" s="4492"/>
      <c r="F27" s="4492"/>
      <c r="G27" s="4492"/>
      <c r="H27" s="4492"/>
      <c r="I27" s="4492"/>
      <c r="J27" s="4492"/>
      <c r="K27" s="4493"/>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32560202.19690742</v>
      </c>
      <c r="N9" s="4167">
        <v>14975108.763743235</v>
      </c>
      <c r="O9" s="4167">
        <v>313037.03376499767</v>
      </c>
      <c r="P9" s="4168">
        <v>1683803.4140024877</v>
      </c>
      <c r="Q9" s="4168">
        <v>1972996.6876290687</v>
      </c>
      <c r="R9" s="4168">
        <v>0.74716298758406652</v>
      </c>
      <c r="S9" s="4168">
        <v>443809.38974319748</v>
      </c>
      <c r="T9" s="4168">
        <v>175956.94179227462</v>
      </c>
      <c r="U9" s="4168">
        <v>3298608.4249603846</v>
      </c>
      <c r="V9" s="4168">
        <v>31927164.526574843</v>
      </c>
      <c r="W9" s="4168">
        <v>4081.980961940636</v>
      </c>
      <c r="X9" s="4169">
        <v>172418</v>
      </c>
    </row>
    <row r="10" spans="2:24" ht="18" customHeight="1" thickTop="1" x14ac:dyDescent="0.2">
      <c r="B10" s="430" t="s">
        <v>1226</v>
      </c>
      <c r="C10" s="374"/>
      <c r="D10" s="431"/>
      <c r="E10" s="431"/>
      <c r="F10" s="4137">
        <f>IF(SUM(F11:F14)=0,"NO",SUM(F11:F14))</f>
        <v>4965.0338123422725</v>
      </c>
      <c r="G10" s="4138">
        <f>IF(SUM($F10)=0,"NA",I10/$F10*1000)</f>
        <v>1.8741682948068503</v>
      </c>
      <c r="H10" s="4139">
        <f>IF(SUM($F10)=0,"NA",J10/$F10*1000)</f>
        <v>7.5693199809678646E-2</v>
      </c>
      <c r="I10" s="3161">
        <f>IF(SUM(I11:I14)=0,"NO",SUM(I11:I14))</f>
        <v>9.3053089537358726</v>
      </c>
      <c r="J10" s="416">
        <f>IF(SUM(J11:J14)=0,"NO",SUM(J11:J14))</f>
        <v>0.37581929641943412</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3132.5495762985433</v>
      </c>
      <c r="G11" s="4141">
        <f>IF(SUM($F11)=0,"NA",I11/$F11*1000)</f>
        <v>1.8666666666666669</v>
      </c>
      <c r="H11" s="4142">
        <f>IF(SUM($F11)=0,"NA",J11/$F11*1000)</f>
        <v>7.1657142857142878E-2</v>
      </c>
      <c r="I11" s="3291">
        <v>5.8474258757572812</v>
      </c>
      <c r="J11" s="3292">
        <v>0.22446955249590711</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1135.4007634241721</v>
      </c>
      <c r="G12" s="4143">
        <f t="shared" ref="G12:G28" si="0">IF(SUM($F12)=0,"NA",I12/$F12*1000)</f>
        <v>1.8666666666666665</v>
      </c>
      <c r="H12" s="4142">
        <f t="shared" ref="H12:H28" si="1">IF(SUM($F12)=0,"NA",J12/$F12*1000)</f>
        <v>8.3599999999999994E-2</v>
      </c>
      <c r="I12" s="3149">
        <v>2.1194147583917875</v>
      </c>
      <c r="J12" s="3292">
        <v>9.4919503822260776E-2</v>
      </c>
      <c r="L12" s="1323" t="s">
        <v>1231</v>
      </c>
      <c r="M12" s="4165">
        <v>0.1518433201095486</v>
      </c>
      <c r="N12" s="4165">
        <v>0.11095052461466784</v>
      </c>
      <c r="O12" s="4165">
        <v>0.15658787819238226</v>
      </c>
      <c r="P12" s="4166">
        <v>8.6535741444978886E-2</v>
      </c>
      <c r="Q12" s="4166">
        <v>0.1131575424174824</v>
      </c>
      <c r="R12" s="4166">
        <v>0.16645577927585936</v>
      </c>
      <c r="S12" s="4166">
        <v>0.81499999999999995</v>
      </c>
      <c r="T12" s="4166">
        <v>0.17660013681847628</v>
      </c>
      <c r="U12" s="4166">
        <v>0.15675927352774338</v>
      </c>
      <c r="V12" s="4166">
        <v>0.31836502296943375</v>
      </c>
      <c r="W12" s="4166">
        <v>6.4293680365657913E-2</v>
      </c>
      <c r="X12" s="4140">
        <v>0.1511896390750144</v>
      </c>
    </row>
    <row r="13" spans="2:24" ht="18" customHeight="1" thickBot="1" x14ac:dyDescent="0.25">
      <c r="B13" s="432" t="s">
        <v>1232</v>
      </c>
      <c r="C13" s="433" t="s">
        <v>205</v>
      </c>
      <c r="D13" s="433" t="s">
        <v>205</v>
      </c>
      <c r="E13" s="433" t="s">
        <v>205</v>
      </c>
      <c r="F13" s="4140">
        <v>35.158726253001156</v>
      </c>
      <c r="G13" s="4143">
        <f t="shared" si="0"/>
        <v>1.9599999999999995</v>
      </c>
      <c r="H13" s="4142">
        <f t="shared" si="1"/>
        <v>5.971428571428572E-2</v>
      </c>
      <c r="I13" s="3149">
        <v>6.891110345588225E-2</v>
      </c>
      <c r="J13" s="3292">
        <v>2.0994782248220691E-3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661.92474636655584</v>
      </c>
      <c r="G14" s="4145">
        <f t="shared" si="0"/>
        <v>1.9179781736515946</v>
      </c>
      <c r="H14" s="4146">
        <f t="shared" si="1"/>
        <v>8.2079967813074139E-2</v>
      </c>
      <c r="I14" s="3168">
        <f>IF(SUM(I15:I19)=0,"NO",SUM(I15:I19))</f>
        <v>1.2695572161309219</v>
      </c>
      <c r="J14" s="3064">
        <f>IF(SUM(J15:J19)=0,"NO",SUM(J15:J19))</f>
        <v>5.4330761876444159E-2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106.88708888995352</v>
      </c>
      <c r="G15" s="4147">
        <f t="shared" si="0"/>
        <v>1.8666666666666669</v>
      </c>
      <c r="H15" s="4148">
        <f t="shared" si="1"/>
        <v>9.5542857142857165E-2</v>
      </c>
      <c r="I15" s="3293">
        <v>0.19952256592791326</v>
      </c>
      <c r="J15" s="3292">
        <v>1.0212297864228705E-2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172.58643472892044</v>
      </c>
      <c r="G16" s="4149">
        <f t="shared" si="0"/>
        <v>1.8666666666666665</v>
      </c>
      <c r="H16" s="4150">
        <f t="shared" si="1"/>
        <v>7.1657142857142864E-2</v>
      </c>
      <c r="I16" s="3294">
        <v>0.32216134482731812</v>
      </c>
      <c r="J16" s="3292">
        <v>1.2367050808575213E-2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4.1818482716627851E-5</v>
      </c>
      <c r="G17" s="4149">
        <f t="shared" si="0"/>
        <v>1.8666666666666669</v>
      </c>
      <c r="H17" s="4150">
        <f t="shared" si="1"/>
        <v>7.165714285714285E-2</v>
      </c>
      <c r="I17" s="3294">
        <v>7.806116773770533E-8</v>
      </c>
      <c r="J17" s="3292">
        <v>2.9965929900943612E-9</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363.90381692876144</v>
      </c>
      <c r="G18" s="4149">
        <f t="shared" si="0"/>
        <v>1.9599999999999995</v>
      </c>
      <c r="H18" s="4150">
        <f t="shared" si="1"/>
        <v>8.3599999999999994E-2</v>
      </c>
      <c r="I18" s="3294">
        <v>0.71325148118037229</v>
      </c>
      <c r="J18" s="3292">
        <v>3.0422359095244458E-2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18.547364000437732</v>
      </c>
      <c r="G19" s="4149">
        <f t="shared" si="0"/>
        <v>1.8666666666666669</v>
      </c>
      <c r="H19" s="4150">
        <f t="shared" si="1"/>
        <v>7.165714285714285E-2</v>
      </c>
      <c r="I19" s="3294">
        <v>3.4621746134150436E-2</v>
      </c>
      <c r="J19" s="3292">
        <v>1.329051111802795E-3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295.83194111534937</v>
      </c>
      <c r="G20" s="4153">
        <f t="shared" si="0"/>
        <v>1.8666666666666667</v>
      </c>
      <c r="H20" s="4154">
        <f t="shared" si="1"/>
        <v>0.10748571428571427</v>
      </c>
      <c r="I20" s="3187">
        <f>I21</f>
        <v>0.55221962341531883</v>
      </c>
      <c r="J20" s="442">
        <f>J21</f>
        <v>3.179770749931269E-2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295.83194111534937</v>
      </c>
      <c r="G21" s="4156">
        <f t="shared" si="0"/>
        <v>1.8666666666666667</v>
      </c>
      <c r="H21" s="4146">
        <f t="shared" si="1"/>
        <v>0.10748571428571427</v>
      </c>
      <c r="I21" s="3168">
        <f>I22</f>
        <v>0.55221962341531883</v>
      </c>
      <c r="J21" s="3064">
        <f>J22</f>
        <v>3.179770749931269E-2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295.83194111534937</v>
      </c>
      <c r="G22" s="4158">
        <f t="shared" si="0"/>
        <v>1.8666666666666667</v>
      </c>
      <c r="H22" s="4159">
        <f t="shared" si="1"/>
        <v>0.10748571428571427</v>
      </c>
      <c r="I22" s="3295">
        <v>0.55221962341531883</v>
      </c>
      <c r="J22" s="3296">
        <v>3.179770749931269E-2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487.89563845689065</v>
      </c>
      <c r="G26" s="4163">
        <f t="shared" si="0"/>
        <v>1.8666666666666665</v>
      </c>
      <c r="H26" s="4164">
        <f t="shared" si="1"/>
        <v>5.971428571428572E-2</v>
      </c>
      <c r="I26" s="3297">
        <v>0.91073852511952913</v>
      </c>
      <c r="J26" s="3298">
        <v>2.9134339553568613E-2</v>
      </c>
      <c r="L26" s="159"/>
    </row>
    <row r="27" spans="2:24" ht="18" customHeight="1" x14ac:dyDescent="0.2">
      <c r="B27" s="439" t="s">
        <v>1242</v>
      </c>
      <c r="C27" s="440"/>
      <c r="D27" s="441"/>
      <c r="E27" s="441"/>
      <c r="F27" s="4152">
        <f>IF(SUM(F28:F29)=0,"NO",SUM(F28:F29))</f>
        <v>705.57404643595839</v>
      </c>
      <c r="G27" s="4153">
        <f t="shared" si="0"/>
        <v>1.8666809309002781</v>
      </c>
      <c r="H27" s="4154">
        <f t="shared" si="1"/>
        <v>0.10749849096353489</v>
      </c>
      <c r="I27" s="3187">
        <f>IF(SUM(I28:I29)=0,"NO",SUM(I28:I29))</f>
        <v>1.3170816178201508</v>
      </c>
      <c r="J27" s="442">
        <f>IF(SUM(J28:J29)=0,"NO",SUM(J28:J29))</f>
        <v>7.584814525490062E-2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0.1078336395922606</v>
      </c>
      <c r="G28" s="4149">
        <f t="shared" si="0"/>
        <v>1.96</v>
      </c>
      <c r="H28" s="4150">
        <f t="shared" si="1"/>
        <v>0.19108571428571425</v>
      </c>
      <c r="I28" s="3294">
        <v>2.1135393360083077E-4</v>
      </c>
      <c r="J28" s="3292">
        <v>2.0605468045515394E-5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705.46621279636611</v>
      </c>
      <c r="G29" s="4149">
        <f t="shared" ref="G29" si="2">IF(SUM($F29)=0,"NA",I29/$F29*1000)</f>
        <v>1.8666666666666665</v>
      </c>
      <c r="H29" s="4150">
        <f t="shared" ref="H29" si="3">IF(SUM($F29)=0,"NA",J29/$F29*1000)</f>
        <v>0.10748571428571427</v>
      </c>
      <c r="I29" s="3294">
        <v>1.3168702638865499</v>
      </c>
      <c r="J29" s="3292">
        <v>7.5827539786855108E-2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18" t="s">
        <v>1243</v>
      </c>
      <c r="C41" s="4519"/>
      <c r="D41" s="4519"/>
      <c r="E41" s="4519"/>
      <c r="F41" s="4519"/>
      <c r="G41" s="4519"/>
      <c r="H41" s="4519"/>
      <c r="I41" s="4519"/>
      <c r="J41" s="4520"/>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1318.3866247265748</v>
      </c>
    </row>
    <row r="11" spans="2:5" s="83" customFormat="1" ht="18" customHeight="1" x14ac:dyDescent="0.2">
      <c r="B11" s="1858" t="s">
        <v>1361</v>
      </c>
      <c r="C11" s="4175">
        <v>3194748.5675054425</v>
      </c>
      <c r="D11" s="3534">
        <f>IF(SUM(C11)=0,"NA",E11*1000/(44/12)/C11)</f>
        <v>0.108</v>
      </c>
      <c r="E11" s="3395">
        <v>1265.1204327321552</v>
      </c>
    </row>
    <row r="12" spans="2:5" s="83" customFormat="1" ht="18" customHeight="1" x14ac:dyDescent="0.2">
      <c r="B12" s="1858" t="s">
        <v>1362</v>
      </c>
      <c r="C12" s="4175">
        <v>117628.69045510422</v>
      </c>
      <c r="D12" s="3534">
        <f t="shared" ref="D12:D16" si="0">IF(SUM(C12)=0,"NA",E12*1000/(44/12)/C12)</f>
        <v>0.12350000000000005</v>
      </c>
      <c r="E12" s="3395">
        <v>53.266191994419714</v>
      </c>
    </row>
    <row r="13" spans="2:5" s="83" customFormat="1" ht="18" customHeight="1" x14ac:dyDescent="0.2">
      <c r="B13" s="853" t="s">
        <v>1363</v>
      </c>
      <c r="C13" s="4176">
        <v>2406823.0969930002</v>
      </c>
      <c r="D13" s="4177">
        <f t="shared" si="0"/>
        <v>0.2</v>
      </c>
      <c r="E13" s="3396">
        <v>1765.0036044615335</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-105645.33679957413</v>
      </c>
      <c r="D10" s="4269">
        <f t="shared" ref="D10:H10" si="0">IF(SUM(D11,D14,D17,D20,D23,D26,D29:D30)=0,"NO",SUM(D11,D14,D17,D20,D23,D26,D29:D30))</f>
        <v>497.86854157819948</v>
      </c>
      <c r="E10" s="4269">
        <f t="shared" si="0"/>
        <v>11.977137436929262</v>
      </c>
      <c r="F10" s="4269">
        <f t="shared" si="0"/>
        <v>650.50395953656459</v>
      </c>
      <c r="G10" s="4269">
        <f t="shared" si="0"/>
        <v>16919.667766634739</v>
      </c>
      <c r="H10" s="4270">
        <f t="shared" si="0"/>
        <v>410.69185393059024</v>
      </c>
      <c r="I10" s="4271">
        <f>IF(SUM(C10:E10)=0,"NO",SUM(C10)+28*SUM(D10)+265*SUM(E10))</f>
        <v>-88531.076214598288</v>
      </c>
      <c r="J10" s="4259"/>
    </row>
    <row r="11" spans="2:10" ht="18" customHeight="1" x14ac:dyDescent="0.2">
      <c r="B11" s="464" t="s">
        <v>1252</v>
      </c>
      <c r="C11" s="4272">
        <f>IF(SUM(C12:C13)=0,"NO",SUM(C12:C13))</f>
        <v>-83849.429630125625</v>
      </c>
      <c r="D11" s="4272">
        <f t="shared" ref="D11:H11" si="1">IF(SUM(D12:D13)=0,"NO",SUM(D12:D13))</f>
        <v>211.70759384390018</v>
      </c>
      <c r="E11" s="4272">
        <f t="shared" si="1"/>
        <v>4.925934776137983</v>
      </c>
      <c r="F11" s="4272">
        <f t="shared" si="1"/>
        <v>228.97815109666536</v>
      </c>
      <c r="G11" s="4272">
        <f t="shared" si="1"/>
        <v>6102.7781713096165</v>
      </c>
      <c r="H11" s="4273">
        <f t="shared" si="1"/>
        <v>193.72877449558064</v>
      </c>
      <c r="I11" s="4274">
        <f t="shared" ref="I11:I32" si="2">IF(SUM(C11:E11)=0,"NO",SUM(C11)+28*SUM(D11)+265*SUM(E11))</f>
        <v>-76616.244286819856</v>
      </c>
    </row>
    <row r="12" spans="2:10" ht="18" customHeight="1" x14ac:dyDescent="0.2">
      <c r="B12" s="465" t="s">
        <v>1253</v>
      </c>
      <c r="C12" s="4275">
        <f>IF(SUM(Table4.A!U11,'Table4(IV)'!J12)=0,"NO",SUM(Table4.A!U11,'Table4(IV)'!J12))</f>
        <v>-35485.669191408924</v>
      </c>
      <c r="D12" s="4275">
        <f>'Table4(IV)'!K12</f>
        <v>202.69349067027412</v>
      </c>
      <c r="E12" s="4275">
        <f>IF(SUM('Table4(III)'!I12,'Table4(IV)'!L12)=0,"NO",SUM('Table4(III)'!I12,'Table4(IV)'!L12))</f>
        <v>3.9237932644760352</v>
      </c>
      <c r="F12" s="4276">
        <v>224.15678434696855</v>
      </c>
      <c r="G12" s="4276">
        <v>5915.8606369574372</v>
      </c>
      <c r="H12" s="4277">
        <v>171.49772443116672</v>
      </c>
      <c r="I12" s="4278">
        <f t="shared" si="2"/>
        <v>-28770.446237555101</v>
      </c>
    </row>
    <row r="13" spans="2:10" ht="18" customHeight="1" thickBot="1" x14ac:dyDescent="0.25">
      <c r="B13" s="466" t="s">
        <v>1254</v>
      </c>
      <c r="C13" s="4279">
        <f>IF(SUM(Table4.A!U16,'Table4(IV)'!J19)=0,"NO",SUM(Table4.A!U16,'Table4(IV)'!J19))</f>
        <v>-48363.760438716701</v>
      </c>
      <c r="D13" s="4279">
        <f>'Table4(IV)'!K19</f>
        <v>9.0141031736260686</v>
      </c>
      <c r="E13" s="4279">
        <f>IF(SUM('Table4(III)'!I13,'Table4(IV)'!L19)=0,"NO",SUM('Table4(III)'!I13,'Table4(IV)'!L19))</f>
        <v>1.0021415116619479</v>
      </c>
      <c r="F13" s="4280">
        <v>4.8213667496968204</v>
      </c>
      <c r="G13" s="4280">
        <v>186.9175343521791</v>
      </c>
      <c r="H13" s="4281">
        <v>22.231050064413907</v>
      </c>
      <c r="I13" s="4282">
        <f t="shared" si="2"/>
        <v>-47845.798049264755</v>
      </c>
    </row>
    <row r="14" spans="2:10" ht="18" customHeight="1" x14ac:dyDescent="0.2">
      <c r="B14" s="464" t="s">
        <v>1255</v>
      </c>
      <c r="C14" s="4272">
        <f>IF(SUM(C15:C16)=0,"NO",SUM(C15:C16))</f>
        <v>-9931.8201906091617</v>
      </c>
      <c r="D14" s="4272">
        <f t="shared" ref="D14" si="3">IF(SUM(D15:D16)=0,"NO",SUM(D15:D16))</f>
        <v>0.5925108283923356</v>
      </c>
      <c r="E14" s="4272">
        <f t="shared" ref="E14" si="4">IF(SUM(E15:E16)=0,"NO",SUM(E15:E16))</f>
        <v>0.1076188664559501</v>
      </c>
      <c r="F14" s="4272">
        <f t="shared" ref="F14" si="5">IF(SUM(F15:F16)=0,"NO",SUM(F15:F16))</f>
        <v>0.44614654637875273</v>
      </c>
      <c r="G14" s="4272">
        <f t="shared" ref="G14" si="6">IF(SUM(G15:G16)=0,"NO",SUM(G15:G16))</f>
        <v>17.473583226199899</v>
      </c>
      <c r="H14" s="4273">
        <f t="shared" ref="H14" si="7">IF(SUM(H15:H16)=0,"NO",SUM(H15:H16))</f>
        <v>2.1121913789911964</v>
      </c>
      <c r="I14" s="4283">
        <f t="shared" si="2"/>
        <v>-9886.7108878033487</v>
      </c>
    </row>
    <row r="15" spans="2:10" ht="18" customHeight="1" x14ac:dyDescent="0.2">
      <c r="B15" s="465" t="s">
        <v>1256</v>
      </c>
      <c r="C15" s="4275">
        <f>IF(SUM(Table4.B!S11,'Table4(IV)'!J26)=0,"NO",SUM(Table4.B!S11,'Table4(IV)'!J26))</f>
        <v>-11873.125812348446</v>
      </c>
      <c r="D15" s="4275" t="str">
        <f>'Table4(IV)'!K26</f>
        <v>IE</v>
      </c>
      <c r="E15" s="4275" t="str">
        <f>'Table4(IV)'!L26</f>
        <v>IE</v>
      </c>
      <c r="F15" s="4276" t="s">
        <v>274</v>
      </c>
      <c r="G15" s="4276" t="s">
        <v>274</v>
      </c>
      <c r="H15" s="4277" t="s">
        <v>274</v>
      </c>
      <c r="I15" s="4278">
        <f t="shared" si="2"/>
        <v>-11873.125812348446</v>
      </c>
    </row>
    <row r="16" spans="2:10" ht="18" customHeight="1" thickBot="1" x14ac:dyDescent="0.25">
      <c r="B16" s="466" t="s">
        <v>1257</v>
      </c>
      <c r="C16" s="4279">
        <f>IF(SUM(Table4.B!S13,'Table4(IV)'!J31)=0,"IE",SUM(Table4.B!S13,'Table4(IV)'!J31))</f>
        <v>1941.3056217392843</v>
      </c>
      <c r="D16" s="4279">
        <f>'Table4(IV)'!K31</f>
        <v>0.5925108283923356</v>
      </c>
      <c r="E16" s="4279">
        <f>IF(SUM('Table4(III)'!I21,'Table4(IV)'!L31)=0,"IE",SUM('Table4(III)'!I21,'Table4(IV)'!L31))</f>
        <v>0.1076188664559501</v>
      </c>
      <c r="F16" s="4280">
        <v>0.44614654637875273</v>
      </c>
      <c r="G16" s="4280">
        <v>17.473583226199899</v>
      </c>
      <c r="H16" s="4281">
        <v>2.1121913789911964</v>
      </c>
      <c r="I16" s="4282">
        <f t="shared" si="2"/>
        <v>1986.4149245450965</v>
      </c>
    </row>
    <row r="17" spans="2:9" ht="18" customHeight="1" x14ac:dyDescent="0.2">
      <c r="B17" s="464" t="s">
        <v>1258</v>
      </c>
      <c r="C17" s="4272">
        <f>IF(SUM(C18:C19)=0,"NO",SUM(C18:C19))</f>
        <v>-8524.2810160450099</v>
      </c>
      <c r="D17" s="4272">
        <f t="shared" ref="D17" si="8">IF(SUM(D18:D19)=0,"NO",SUM(D18:D19))</f>
        <v>213.15424666693133</v>
      </c>
      <c r="E17" s="4272">
        <f t="shared" ref="E17" si="9">IF(SUM(E18:E19)=0,"NO",SUM(E18:E19))</f>
        <v>6.3209860170774705</v>
      </c>
      <c r="F17" s="4272">
        <f t="shared" ref="F17" si="10">IF(SUM(F18:F19)=0,"NO",SUM(F18:F19))</f>
        <v>398.88376017167309</v>
      </c>
      <c r="G17" s="4272">
        <f t="shared" ref="G17" si="11">IF(SUM(G18:G19)=0,"NO",SUM(G18:G19))</f>
        <v>10260.182258159964</v>
      </c>
      <c r="H17" s="4273">
        <f t="shared" ref="H17" si="12">IF(SUM(H18:H19)=0,"NO",SUM(H18:H19))</f>
        <v>212.33427403934047</v>
      </c>
      <c r="I17" s="4283">
        <f t="shared" si="2"/>
        <v>-880.90081484540315</v>
      </c>
    </row>
    <row r="18" spans="2:9" ht="18" customHeight="1" x14ac:dyDescent="0.2">
      <c r="B18" s="465" t="s">
        <v>1259</v>
      </c>
      <c r="C18" s="4275">
        <f>IF(SUM(Table4.C!S11,'Table4(IV)'!J37)=0,"IE",SUM(Table4.C!S11,'Table4(IV)'!J37))</f>
        <v>-25709.625441061165</v>
      </c>
      <c r="D18" s="4275">
        <f>'Table4(IV)'!K37</f>
        <v>181.07680148203781</v>
      </c>
      <c r="E18" s="4275">
        <f>IF(SUM('Table4(III)'!I29,'Table4(IV)'!L37)=0,"NO",SUM('Table4(III)'!I29,'Table4(IV)'!L37))</f>
        <v>5.5563208090842879</v>
      </c>
      <c r="F18" s="4276">
        <v>373.95443023069049</v>
      </c>
      <c r="G18" s="4276">
        <v>9305.5752755662561</v>
      </c>
      <c r="H18" s="4277">
        <v>101.07416282533083</v>
      </c>
      <c r="I18" s="4278">
        <f t="shared" si="2"/>
        <v>-19167.049985156769</v>
      </c>
    </row>
    <row r="19" spans="2:9" ht="18" customHeight="1" thickBot="1" x14ac:dyDescent="0.25">
      <c r="B19" s="466" t="s">
        <v>1260</v>
      </c>
      <c r="C19" s="4279">
        <f>IF(SUM(Table4.C!S15,'Table4(IV)'!J42)=0,"IE",SUM(Table4.C!S15,'Table4(IV)'!J42))</f>
        <v>17185.344425016156</v>
      </c>
      <c r="D19" s="4279">
        <f>'Table4(IV)'!K42</f>
        <v>32.077445184893534</v>
      </c>
      <c r="E19" s="4279">
        <f>IF(SUM('Table4(III)'!I30,'Table4(IV)'!L42)=0,"NO",SUM('Table4(III)'!I30,'Table4(IV)'!L42))</f>
        <v>0.76466520799318261</v>
      </c>
      <c r="F19" s="4280">
        <v>24.929329940982605</v>
      </c>
      <c r="G19" s="4280">
        <v>954.60698259370804</v>
      </c>
      <c r="H19" s="4281">
        <v>111.26011121400963</v>
      </c>
      <c r="I19" s="4282">
        <f t="shared" si="2"/>
        <v>18286.149170311368</v>
      </c>
    </row>
    <row r="20" spans="2:9" ht="18" customHeight="1" x14ac:dyDescent="0.2">
      <c r="B20" s="464" t="s">
        <v>1261</v>
      </c>
      <c r="C20" s="4272">
        <f>IF(SUM(C21:C22)=0,"NO",SUM(C21:C22))</f>
        <v>-709.86503669737328</v>
      </c>
      <c r="D20" s="4272">
        <f t="shared" ref="D20" si="13">IF(SUM(D21:D22)=0,"NO",SUM(D21:D22))</f>
        <v>71.802043579540893</v>
      </c>
      <c r="E20" s="4272">
        <f t="shared" ref="E20" si="14">IF(SUM(E21:E22)=0,"NO",SUM(E21:E22))</f>
        <v>0.3029873388942112</v>
      </c>
      <c r="F20" s="4272">
        <f t="shared" ref="F20" si="15">IF(SUM(F21:F22)=0,"NO",SUM(F21:F22))</f>
        <v>21.734969862213529</v>
      </c>
      <c r="G20" s="4272">
        <f t="shared" ref="G20" si="16">IF(SUM(G21:G22)=0,"NO",SUM(G21:G22))</f>
        <v>521.18109551025861</v>
      </c>
      <c r="H20" s="4273">
        <f t="shared" ref="H20" si="17">IF(SUM(H21:H22)=0,"NO",SUM(H21:H22))</f>
        <v>0.3344245362857492</v>
      </c>
      <c r="I20" s="4283">
        <f t="shared" si="2"/>
        <v>1380.8838283367377</v>
      </c>
    </row>
    <row r="21" spans="2:9" ht="18" customHeight="1" x14ac:dyDescent="0.2">
      <c r="B21" s="465" t="s">
        <v>1262</v>
      </c>
      <c r="C21" s="4275">
        <f>IF(SUM(Table4.D!S11,'Table4(IV)'!J49)=0,"IE",SUM(Table4.D!S11,'Table4(IV)'!J49))</f>
        <v>-713.95965697883435</v>
      </c>
      <c r="D21" s="4275">
        <f>IF(SUM('Table4(IV)'!K49,'Table4(II)'!J270)=0,"NO",SUM('Table4(IV)'!K49,'Table4(II)'!J270))</f>
        <v>71.387931718288172</v>
      </c>
      <c r="E21" s="4275">
        <f>IF(SUM('Table4(II)'!I270,'Table4(III)'!I38,'Table4(IV)'!L49)=0,"NO",SUM('Table4(II)'!I270,'Table4(III)'!I38,'Table4(IV)'!L49))</f>
        <v>0.3029873388942112</v>
      </c>
      <c r="F21" s="4276">
        <v>21.734969862213529</v>
      </c>
      <c r="G21" s="4276">
        <v>521.18109551025861</v>
      </c>
      <c r="H21" s="4277">
        <v>0.3344245362857492</v>
      </c>
      <c r="I21" s="4278">
        <f t="shared" si="2"/>
        <v>1365.1940759402003</v>
      </c>
    </row>
    <row r="22" spans="2:9" ht="18" customHeight="1" thickBot="1" x14ac:dyDescent="0.25">
      <c r="B22" s="466" t="s">
        <v>1263</v>
      </c>
      <c r="C22" s="4279">
        <f>IF(SUM(Table4.D!S23,'Table4(II)'!H320,'Table4(IV)'!J54)=0,"NO",SUM(Table4.D!S23,'Table4(II)'!H320,'Table4(IV)'!J54))</f>
        <v>4.0946202814610206</v>
      </c>
      <c r="D22" s="4279">
        <f>IF(SUM('Table4(IV)'!K54,'Table4(II)'!J320)=0,"NO",SUM('Table4(IV)'!K54,'Table4(II)'!J320))</f>
        <v>0.4141118612527151</v>
      </c>
      <c r="E22" s="4279" t="str">
        <f>IF(SUM('Table4(II)'!I320,'Table4(III)'!I39,'Table4(IV)'!L54)=0,"NO",SUM('Table4(II)'!I320,'Table4(III)'!I39,'Table4(IV)'!L54))</f>
        <v>NO</v>
      </c>
      <c r="F22" s="4280" t="s">
        <v>274</v>
      </c>
      <c r="G22" s="4280" t="s">
        <v>274</v>
      </c>
      <c r="H22" s="4281" t="s">
        <v>274</v>
      </c>
      <c r="I22" s="4282">
        <f t="shared" si="2"/>
        <v>15.689752396537044</v>
      </c>
    </row>
    <row r="23" spans="2:9" ht="18" customHeight="1" x14ac:dyDescent="0.2">
      <c r="B23" s="464" t="s">
        <v>1264</v>
      </c>
      <c r="C23" s="4272">
        <f>IF(SUM(C24:C25)=0,"NO",SUM(C24:C25))</f>
        <v>2301.3620338815936</v>
      </c>
      <c r="D23" s="4272">
        <f t="shared" ref="D23" si="18">IF(SUM(D24:D25)=0,"NO",SUM(D24:D25))</f>
        <v>0.61214665943471303</v>
      </c>
      <c r="E23" s="4272">
        <f t="shared" ref="E23" si="19">IF(SUM(E24:E25)=0,"NO",SUM(E24:E25))</f>
        <v>3.1535356947076112E-2</v>
      </c>
      <c r="F23" s="4272">
        <f>IF(SUM(F24:F25)=0,"NO",SUM(F24:F25))</f>
        <v>0.46093185963387623</v>
      </c>
      <c r="G23" s="4272">
        <f t="shared" ref="G23" si="20">IF(SUM(G24:G25)=0,"NO",SUM(G24:G25))</f>
        <v>18.05265842869964</v>
      </c>
      <c r="H23" s="4273">
        <f t="shared" ref="H23" si="21">IF(SUM(H24:H25)=0,"NO",SUM(H24:H25))</f>
        <v>2.1821894803922643</v>
      </c>
      <c r="I23" s="4283">
        <f t="shared" si="2"/>
        <v>2326.8590099367407</v>
      </c>
    </row>
    <row r="24" spans="2:9" ht="18" customHeight="1" thickBot="1" x14ac:dyDescent="0.25">
      <c r="B24" s="465" t="s">
        <v>1265</v>
      </c>
      <c r="C24" s="4275">
        <f>IF(SUM(Table4.E!S11,'Table4(IV)'!J60)=0,"IE",SUM(Table4.E!S11,'Table4(IV)'!J60))</f>
        <v>-76.651412530074182</v>
      </c>
      <c r="D24" s="4275" t="str">
        <f>'Table4(IV)'!K60</f>
        <v>IE</v>
      </c>
      <c r="E24" s="4275">
        <f>IF(SUM('Table4(III)'!I47,'Table4(IV)'!L60)=0,"IE",SUM('Table4(III)'!I47,'Table4(IV)'!L60))</f>
        <v>1.9271131193727346E-4</v>
      </c>
      <c r="F24" s="4280" t="s">
        <v>274</v>
      </c>
      <c r="G24" s="4280" t="s">
        <v>274</v>
      </c>
      <c r="H24" s="4281" t="s">
        <v>274</v>
      </c>
      <c r="I24" s="4278">
        <f t="shared" si="2"/>
        <v>-76.600344032410803</v>
      </c>
    </row>
    <row r="25" spans="2:9" ht="18" customHeight="1" thickBot="1" x14ac:dyDescent="0.25">
      <c r="B25" s="466" t="s">
        <v>1266</v>
      </c>
      <c r="C25" s="4279">
        <f>IF(SUM(Table4.E!S13,'Table4(IV)'!J65)=0,"IE",SUM(Table4.E!S13,'Table4(IV)'!J65))</f>
        <v>2378.0134464116677</v>
      </c>
      <c r="D25" s="4279">
        <f>'Table4(IV)'!K65</f>
        <v>0.61214665943471303</v>
      </c>
      <c r="E25" s="4279">
        <f>IF(SUM('Table4(III)'!I48,'Table4(IV)'!L65)=0,"NO",SUM('Table4(III)'!I48,'Table4(IV)'!L65))</f>
        <v>3.134264563513884E-2</v>
      </c>
      <c r="F25" s="4280">
        <v>0.46093185963387623</v>
      </c>
      <c r="G25" s="4280">
        <v>18.05265842869964</v>
      </c>
      <c r="H25" s="4281">
        <v>2.1821894803922643</v>
      </c>
      <c r="I25" s="4282">
        <f t="shared" si="2"/>
        <v>2403.4593539691514</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-4931.3029599785514</v>
      </c>
      <c r="D29" s="4288"/>
      <c r="E29" s="4288"/>
      <c r="F29" s="4288"/>
      <c r="G29" s="4288"/>
      <c r="H29" s="4289"/>
      <c r="I29" s="4290">
        <f t="shared" si="2"/>
        <v>-4931.3029599785514</v>
      </c>
    </row>
    <row r="30" spans="2:9" ht="18" customHeight="1" x14ac:dyDescent="0.2">
      <c r="B30" s="1167" t="s">
        <v>1271</v>
      </c>
      <c r="C30" s="4291" t="str">
        <f>IF(SUM(C31:C32)=0,"NO",SUM(C31:C32))</f>
        <v>NO</v>
      </c>
      <c r="D30" s="4291" t="str">
        <f t="shared" ref="D30" si="27">IF(SUM(D31:D32)=0,"NO",SUM(D31:D32))</f>
        <v>NO</v>
      </c>
      <c r="E30" s="4291">
        <f t="shared" ref="E30" si="28">IF(SUM(E31:E32)=0,"NO",SUM(E31:E32))</f>
        <v>0.28807508141657151</v>
      </c>
      <c r="F30" s="4291" t="str">
        <f t="shared" ref="F30" si="29">IF(SUM(F31:F32)=0,"NO",SUM(F31:F32))</f>
        <v>NO</v>
      </c>
      <c r="G30" s="4291" t="str">
        <f t="shared" ref="G30" si="30">IF(SUM(G31:G32)=0,"NO",SUM(G31:G32))</f>
        <v>NO</v>
      </c>
      <c r="H30" s="4292" t="str">
        <f t="shared" ref="H30" si="31">IF(SUM(H31:H32)=0,"NO",SUM(H31:H32))</f>
        <v>NO</v>
      </c>
      <c r="I30" s="4293">
        <f t="shared" si="2"/>
        <v>76.33989657539145</v>
      </c>
    </row>
    <row r="31" spans="2:9" ht="18" customHeight="1" x14ac:dyDescent="0.2">
      <c r="B31" s="2693" t="s">
        <v>1272</v>
      </c>
      <c r="C31" s="4294" t="s">
        <v>199</v>
      </c>
      <c r="D31" s="4294" t="s">
        <v>199</v>
      </c>
      <c r="E31" s="4294">
        <v>0.28807508141657151</v>
      </c>
      <c r="F31" s="4294" t="s">
        <v>199</v>
      </c>
      <c r="G31" s="4294" t="s">
        <v>199</v>
      </c>
      <c r="H31" s="4295" t="s">
        <v>199</v>
      </c>
      <c r="I31" s="4296">
        <f t="shared" si="2"/>
        <v>76.33989657539145</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-133732.05196385403</v>
      </c>
      <c r="D35" s="4297" t="s">
        <v>199</v>
      </c>
      <c r="E35" s="4297" t="s">
        <v>199</v>
      </c>
      <c r="F35" s="4297" t="s">
        <v>199</v>
      </c>
      <c r="G35" s="4297" t="s">
        <v>199</v>
      </c>
      <c r="H35" s="4297" t="s">
        <v>199</v>
      </c>
      <c r="I35" s="4302">
        <f t="shared" ref="I35" si="32">IF(SUM(C35:E35)=0,"NO",SUM(C35)+28*SUM(D35)+265*SUM(E35))</f>
        <v>-133732.05196385403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1" t="s">
        <v>1276</v>
      </c>
      <c r="C60" s="4492"/>
      <c r="D60" s="4492"/>
      <c r="E60" s="4492"/>
      <c r="F60" s="4492"/>
      <c r="G60" s="4492"/>
      <c r="H60" s="4492"/>
      <c r="I60" s="4493"/>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366499.16482696496</v>
      </c>
      <c r="D10" s="4489">
        <f t="shared" ref="D10:I10" si="0">IF(SUM(D11,D37,D47)=0,"NO",SUM(D11,D37,D47))</f>
        <v>1260.8156287804902</v>
      </c>
      <c r="E10" s="4489">
        <f t="shared" si="0"/>
        <v>9.542442567239048</v>
      </c>
      <c r="F10" s="4489">
        <f t="shared" si="0"/>
        <v>2755.6309541475657</v>
      </c>
      <c r="G10" s="4489">
        <f t="shared" si="0"/>
        <v>2081.7391086284415</v>
      </c>
      <c r="H10" s="4489">
        <f t="shared" si="0"/>
        <v>713.95083413119642</v>
      </c>
      <c r="I10" s="4490">
        <f t="shared" si="0"/>
        <v>591.73274884536977</v>
      </c>
      <c r="J10" s="4427">
        <f t="shared" ref="J10:J40" si="1">IF(SUM(C10:E10)=0,"NO",SUM(C10,IFERROR(28*D10,0),IFERROR(265*E10,0)))</f>
        <v>404330.74971313705</v>
      </c>
    </row>
    <row r="11" spans="2:10" s="83" customFormat="1" ht="18" customHeight="1" thickBot="1" x14ac:dyDescent="0.25">
      <c r="B11" s="18" t="s">
        <v>174</v>
      </c>
      <c r="C11" s="3010">
        <f>IF(SUM(C12,C16,C24,C30,C34)=0,"NO",SUM(C12,C16,C24,C30,C34))</f>
        <v>351082.75792210409</v>
      </c>
      <c r="D11" s="3010">
        <f t="shared" ref="D11:I11" si="2">IF(SUM(D12,D16,D24,D30,D34)=0,"NO",SUM(D12,D16,D24,D30,D34))</f>
        <v>76.113121959423395</v>
      </c>
      <c r="E11" s="3010">
        <f t="shared" si="2"/>
        <v>9.3648894676856997</v>
      </c>
      <c r="F11" s="3010">
        <f t="shared" si="2"/>
        <v>2752.8370398136353</v>
      </c>
      <c r="G11" s="3010">
        <f t="shared" si="2"/>
        <v>2065.7035765166447</v>
      </c>
      <c r="H11" s="3010">
        <f t="shared" si="2"/>
        <v>511.94797838660691</v>
      </c>
      <c r="I11" s="3011">
        <f t="shared" si="2"/>
        <v>591.73274884536977</v>
      </c>
      <c r="J11" s="3012">
        <f t="shared" si="1"/>
        <v>355695.62104590464</v>
      </c>
    </row>
    <row r="12" spans="2:10" s="83" customFormat="1" ht="18" customHeight="1" x14ac:dyDescent="0.2">
      <c r="B12" s="26" t="s">
        <v>175</v>
      </c>
      <c r="C12" s="3010">
        <f>IF(SUM(C13:C15)=0,"NO",SUM(C13:C15))</f>
        <v>196331.17641434306</v>
      </c>
      <c r="D12" s="3010">
        <f t="shared" ref="D12:I12" si="3">IF(SUM(D13:D15)=0,"NO",SUM(D13:D15))</f>
        <v>26.567916881834325</v>
      </c>
      <c r="E12" s="3010">
        <f t="shared" si="3"/>
        <v>2.9391729861273053</v>
      </c>
      <c r="F12" s="3010">
        <f t="shared" si="3"/>
        <v>1163.9951096888442</v>
      </c>
      <c r="G12" s="3010">
        <f t="shared" si="3"/>
        <v>289.86497394576293</v>
      </c>
      <c r="H12" s="3010">
        <f>IF(SUM(H13:H15)=0,"NO",SUM(H13:H15))</f>
        <v>80.366413640649995</v>
      </c>
      <c r="I12" s="3011">
        <f t="shared" si="3"/>
        <v>491.8880711755433</v>
      </c>
      <c r="J12" s="3012">
        <f t="shared" si="1"/>
        <v>197853.95892835816</v>
      </c>
    </row>
    <row r="13" spans="2:10" s="83" customFormat="1" ht="18" customHeight="1" x14ac:dyDescent="0.2">
      <c r="B13" s="20" t="s">
        <v>176</v>
      </c>
      <c r="C13" s="3013">
        <f>'Table1.A(a)s1'!H24</f>
        <v>162417.49514058023</v>
      </c>
      <c r="D13" s="3013">
        <f>'Table1.A(a)s1'!I24</f>
        <v>11.675343262676478</v>
      </c>
      <c r="E13" s="3013">
        <f>'Table1.A(a)s1'!J24</f>
        <v>2.0770089413525361</v>
      </c>
      <c r="F13" s="3014">
        <v>609.36450085400293</v>
      </c>
      <c r="G13" s="3014">
        <v>127.65208243412604</v>
      </c>
      <c r="H13" s="3014">
        <v>12.339747776051437</v>
      </c>
      <c r="I13" s="3015">
        <v>476.29529801484671</v>
      </c>
      <c r="J13" s="3016">
        <f t="shared" si="1"/>
        <v>163294.81212139357</v>
      </c>
    </row>
    <row r="14" spans="2:10" s="83" customFormat="1" ht="18" customHeight="1" x14ac:dyDescent="0.2">
      <c r="B14" s="20" t="s">
        <v>177</v>
      </c>
      <c r="C14" s="3013">
        <f>'Table1.A(a)s1'!H53</f>
        <v>2404.3563657659402</v>
      </c>
      <c r="D14" s="3013">
        <f>'Table1.A(a)s1'!I53</f>
        <v>3.9276232716592974E-2</v>
      </c>
      <c r="E14" s="3013">
        <f>'Table1.A(a)s1'!J53</f>
        <v>6.2997059936155233E-3</v>
      </c>
      <c r="F14" s="3014">
        <v>15.972405085892326</v>
      </c>
      <c r="G14" s="3014">
        <v>1.9916115841056163</v>
      </c>
      <c r="H14" s="3014">
        <v>3.7519417626245291E-2</v>
      </c>
      <c r="I14" s="3015">
        <v>3.8309235773621726</v>
      </c>
      <c r="J14" s="3016">
        <f t="shared" si="1"/>
        <v>2407.1255223703129</v>
      </c>
    </row>
    <row r="15" spans="2:10" s="83" customFormat="1" ht="18" customHeight="1" thickBot="1" x14ac:dyDescent="0.25">
      <c r="B15" s="21" t="s">
        <v>178</v>
      </c>
      <c r="C15" s="3017">
        <f>'Table1.A(a)s1'!H60</f>
        <v>31509.324907996895</v>
      </c>
      <c r="D15" s="3017">
        <f>'Table1.A(a)s1'!I60</f>
        <v>14.853297386441254</v>
      </c>
      <c r="E15" s="3017">
        <f>'Table1.A(a)s1'!J60</f>
        <v>0.85586433878115364</v>
      </c>
      <c r="F15" s="3018">
        <v>538.65820374894895</v>
      </c>
      <c r="G15" s="3018">
        <v>160.22127992753124</v>
      </c>
      <c r="H15" s="3018">
        <v>67.989146446972313</v>
      </c>
      <c r="I15" s="3019">
        <v>11.761849583334428</v>
      </c>
      <c r="J15" s="3020">
        <f t="shared" si="1"/>
        <v>32152.021284594255</v>
      </c>
    </row>
    <row r="16" spans="2:10" s="83" customFormat="1" ht="18" customHeight="1" x14ac:dyDescent="0.2">
      <c r="B16" s="25" t="s">
        <v>179</v>
      </c>
      <c r="C16" s="3010">
        <f>IF(SUM(C17:C23)=0,"NO",SUM(C17:C23))</f>
        <v>42689.716069213391</v>
      </c>
      <c r="D16" s="3010">
        <f t="shared" ref="D16:I16" si="4">IF(SUM(D17:D23)=0,"NO",SUM(D17:D23))</f>
        <v>2.4658721679156788</v>
      </c>
      <c r="E16" s="3010">
        <f t="shared" si="4"/>
        <v>1.5876443226408976</v>
      </c>
      <c r="F16" s="3010">
        <f t="shared" si="4"/>
        <v>857.13172275511045</v>
      </c>
      <c r="G16" s="3010">
        <f t="shared" si="4"/>
        <v>271.31539272968001</v>
      </c>
      <c r="H16" s="3010">
        <f t="shared" si="4"/>
        <v>111.43280045153993</v>
      </c>
      <c r="I16" s="3011">
        <f t="shared" si="4"/>
        <v>61.759941517785762</v>
      </c>
      <c r="J16" s="3012">
        <f t="shared" si="1"/>
        <v>43179.486235414872</v>
      </c>
    </row>
    <row r="17" spans="2:10" s="83" customFormat="1" ht="18" customHeight="1" x14ac:dyDescent="0.2">
      <c r="B17" s="20" t="s">
        <v>180</v>
      </c>
      <c r="C17" s="3013">
        <f>'Table1.A(a)s2'!H17</f>
        <v>1665.5569580738409</v>
      </c>
      <c r="D17" s="3013">
        <f>'Table1.A(a)s2'!I17</f>
        <v>3.5488953289949103E-2</v>
      </c>
      <c r="E17" s="3013">
        <f>'Table1.A(a)s2'!J17</f>
        <v>2.0488480832374756E-2</v>
      </c>
      <c r="F17" s="3014">
        <v>17.989135921154439</v>
      </c>
      <c r="G17" s="3014">
        <v>2.8838435791032015</v>
      </c>
      <c r="H17" s="3014">
        <v>0.28664360262216787</v>
      </c>
      <c r="I17" s="3015">
        <v>7.543345861039799</v>
      </c>
      <c r="J17" s="3016">
        <f t="shared" si="1"/>
        <v>1671.9800961865387</v>
      </c>
    </row>
    <row r="18" spans="2:10" s="83" customFormat="1" ht="18" customHeight="1" x14ac:dyDescent="0.2">
      <c r="B18" s="20" t="s">
        <v>181</v>
      </c>
      <c r="C18" s="3013">
        <f>'Table1.A(a)s2'!H24</f>
        <v>12615.203409563797</v>
      </c>
      <c r="D18" s="3013">
        <f>'Table1.A(a)s2'!I24</f>
        <v>0.19936134686832874</v>
      </c>
      <c r="E18" s="3013">
        <f>'Table1.A(a)s2'!J24</f>
        <v>0.12967140860944515</v>
      </c>
      <c r="F18" s="3014">
        <v>78.845757863713644</v>
      </c>
      <c r="G18" s="3014">
        <v>12.227568826499988</v>
      </c>
      <c r="H18" s="3014">
        <v>1.017472903571051</v>
      </c>
      <c r="I18" s="3015">
        <v>22.513733777871252</v>
      </c>
      <c r="J18" s="3016">
        <f t="shared" si="1"/>
        <v>12655.148450557614</v>
      </c>
    </row>
    <row r="19" spans="2:10" s="83" customFormat="1" ht="18" customHeight="1" x14ac:dyDescent="0.2">
      <c r="B19" s="20" t="s">
        <v>182</v>
      </c>
      <c r="C19" s="3013">
        <f>'Table1.A(a)s2'!H31</f>
        <v>7442.1264133406712</v>
      </c>
      <c r="D19" s="3013">
        <f>'Table1.A(a)s2'!I31</f>
        <v>0.19927289145229587</v>
      </c>
      <c r="E19" s="3013">
        <f>'Table1.A(a)s2'!J31</f>
        <v>7.8127973360650235E-2</v>
      </c>
      <c r="F19" s="3014">
        <v>51.11525208803581</v>
      </c>
      <c r="G19" s="3014">
        <v>13.964685641971656</v>
      </c>
      <c r="H19" s="3014">
        <v>7.5921763482735773</v>
      </c>
      <c r="I19" s="3015">
        <v>7.91932467611253</v>
      </c>
      <c r="J19" s="3016">
        <f t="shared" si="1"/>
        <v>7468.4099672419079</v>
      </c>
    </row>
    <row r="20" spans="2:10" s="83" customFormat="1" ht="18" customHeight="1" x14ac:dyDescent="0.2">
      <c r="B20" s="20" t="s">
        <v>183</v>
      </c>
      <c r="C20" s="3013">
        <f>'Table1.A(a)s2'!H38</f>
        <v>988.63751283761576</v>
      </c>
      <c r="D20" s="3013">
        <f>'Table1.A(a)s2'!I38</f>
        <v>0.32580991081091087</v>
      </c>
      <c r="E20" s="3013">
        <f>'Table1.A(a)s2'!J38</f>
        <v>0.2119694200945485</v>
      </c>
      <c r="F20" s="3014">
        <v>10.239495282923695</v>
      </c>
      <c r="G20" s="3014">
        <v>8.4800130466415169</v>
      </c>
      <c r="H20" s="3014">
        <v>0.58440603152166182</v>
      </c>
      <c r="I20" s="3015">
        <v>1.3675169852391071</v>
      </c>
      <c r="J20" s="3016">
        <f t="shared" si="1"/>
        <v>1053.9320866653766</v>
      </c>
    </row>
    <row r="21" spans="2:10" s="83" customFormat="1" ht="18" customHeight="1" x14ac:dyDescent="0.2">
      <c r="B21" s="20" t="s">
        <v>184</v>
      </c>
      <c r="C21" s="3013">
        <f>'Table1.A(a)s2'!H45</f>
        <v>2468.7624407679687</v>
      </c>
      <c r="D21" s="3013">
        <f>'Table1.A(a)s2'!I45</f>
        <v>0.76549770750515456</v>
      </c>
      <c r="E21" s="3013">
        <f>'Table1.A(a)s2'!J45</f>
        <v>0.49008298034067754</v>
      </c>
      <c r="F21" s="3014">
        <v>21.874714442383642</v>
      </c>
      <c r="G21" s="3014">
        <v>21.755430783684922</v>
      </c>
      <c r="H21" s="3014">
        <v>1.6600032037132979</v>
      </c>
      <c r="I21" s="3015">
        <v>2.7834562019078395</v>
      </c>
      <c r="J21" s="3016">
        <f t="shared" si="1"/>
        <v>2620.0683663683926</v>
      </c>
    </row>
    <row r="22" spans="2:10" s="83" customFormat="1" ht="18" customHeight="1" x14ac:dyDescent="0.2">
      <c r="B22" s="20" t="s">
        <v>185</v>
      </c>
      <c r="C22" s="3013">
        <f>'Table1.A(a)s2'!H52</f>
        <v>4576.2950519621154</v>
      </c>
      <c r="D22" s="3013">
        <f>'Table1.A(a)s2'!I52</f>
        <v>0.26876699007355448</v>
      </c>
      <c r="E22" s="3013">
        <f>'Table1.A(a)s2'!J52</f>
        <v>4.6774834407400157E-2</v>
      </c>
      <c r="F22" s="3014">
        <v>70.188220765683823</v>
      </c>
      <c r="G22" s="3014">
        <v>21.39237748960382</v>
      </c>
      <c r="H22" s="3014">
        <v>13.88550121767341</v>
      </c>
      <c r="I22" s="3015">
        <v>7.2649588468068886</v>
      </c>
      <c r="J22" s="3016">
        <f t="shared" si="1"/>
        <v>4596.2158588021357</v>
      </c>
    </row>
    <row r="23" spans="2:10" s="83" customFormat="1" ht="18" customHeight="1" thickBot="1" x14ac:dyDescent="0.25">
      <c r="B23" s="3039" t="s">
        <v>186</v>
      </c>
      <c r="C23" s="3013">
        <f>'Table1.A(a)s2'!H59</f>
        <v>12933.134282667383</v>
      </c>
      <c r="D23" s="3013">
        <f>'Table1.A(a)s2'!I59</f>
        <v>0.67167436791548507</v>
      </c>
      <c r="E23" s="3013">
        <f>'Table1.A(a)s2'!J59</f>
        <v>0.6105292249958012</v>
      </c>
      <c r="F23" s="3014">
        <v>606.87914639121539</v>
      </c>
      <c r="G23" s="3014">
        <v>190.61147336217491</v>
      </c>
      <c r="H23" s="3014">
        <v>86.406597144164763</v>
      </c>
      <c r="I23" s="3015">
        <v>12.367605168808348</v>
      </c>
      <c r="J23" s="3016">
        <f t="shared" si="1"/>
        <v>13113.731409592903</v>
      </c>
    </row>
    <row r="24" spans="2:10" s="83" customFormat="1" ht="18" customHeight="1" x14ac:dyDescent="0.2">
      <c r="B24" s="25" t="s">
        <v>187</v>
      </c>
      <c r="C24" s="3010">
        <f>IF(SUM(C25:C29)=0,"NO",SUM(C25:C29))</f>
        <v>88692.181352404077</v>
      </c>
      <c r="D24" s="3010">
        <f t="shared" ref="D24:I24" si="5">IF(SUM(D25:D29)=0,"NO",SUM(D25:D29))</f>
        <v>11.627075175791759</v>
      </c>
      <c r="E24" s="3010">
        <f t="shared" si="5"/>
        <v>4.0735815519180418</v>
      </c>
      <c r="F24" s="3010">
        <f t="shared" si="5"/>
        <v>280.18520135248019</v>
      </c>
      <c r="G24" s="3010">
        <f t="shared" si="5"/>
        <v>850.1902912156205</v>
      </c>
      <c r="H24" s="3010">
        <f t="shared" si="5"/>
        <v>198.88141968498951</v>
      </c>
      <c r="I24" s="3011">
        <f t="shared" si="5"/>
        <v>29.123787710747305</v>
      </c>
      <c r="J24" s="3012">
        <f t="shared" si="1"/>
        <v>90097.238568584522</v>
      </c>
    </row>
    <row r="25" spans="2:10" s="83" customFormat="1" ht="18" customHeight="1" x14ac:dyDescent="0.2">
      <c r="B25" s="20" t="s">
        <v>188</v>
      </c>
      <c r="C25" s="1884">
        <f>'Table1.A(a)s3'!H16</f>
        <v>4378.9753717280655</v>
      </c>
      <c r="D25" s="1884">
        <f>'Table1.A(a)s3'!I16</f>
        <v>1.914254637692336E-2</v>
      </c>
      <c r="E25" s="1884">
        <f>'Table1.A(a)s3'!J16</f>
        <v>3.4517822494398574E-2</v>
      </c>
      <c r="F25" s="3014">
        <v>14.855172549774299</v>
      </c>
      <c r="G25" s="3014">
        <v>9.487564577499052</v>
      </c>
      <c r="H25" s="3014">
        <v>0.94757526632722511</v>
      </c>
      <c r="I25" s="3015">
        <v>0.5165466944424224</v>
      </c>
      <c r="J25" s="3016">
        <f t="shared" si="1"/>
        <v>4388.658585987635</v>
      </c>
    </row>
    <row r="26" spans="2:10" s="83" customFormat="1" ht="18" customHeight="1" x14ac:dyDescent="0.2">
      <c r="B26" s="20" t="s">
        <v>189</v>
      </c>
      <c r="C26" s="1884">
        <f>'Table1.A(a)s3'!H20</f>
        <v>77811.111072260232</v>
      </c>
      <c r="D26" s="1884">
        <f>'Table1.A(a)s3'!I20</f>
        <v>6.6449304164709657</v>
      </c>
      <c r="E26" s="1884">
        <f>'Table1.A(a)s3'!J20</f>
        <v>2.428596897436798</v>
      </c>
      <c r="F26" s="3014">
        <v>155.9121391872645</v>
      </c>
      <c r="G26" s="3014">
        <v>571.59512614133075</v>
      </c>
      <c r="H26" s="3014">
        <v>152.3626582173485</v>
      </c>
      <c r="I26" s="3015">
        <v>17.266351909135434</v>
      </c>
      <c r="J26" s="3016">
        <f t="shared" si="1"/>
        <v>78640.747301742158</v>
      </c>
    </row>
    <row r="27" spans="2:10" s="83" customFormat="1" ht="18" customHeight="1" x14ac:dyDescent="0.2">
      <c r="B27" s="20" t="s">
        <v>190</v>
      </c>
      <c r="C27" s="1884">
        <f>'Table1.A(a)s3'!H81</f>
        <v>3648.4372890000004</v>
      </c>
      <c r="D27" s="1884">
        <f>'Table1.A(a)s3'!I81</f>
        <v>0.20877202400000003</v>
      </c>
      <c r="E27" s="1884">
        <f>'Table1.A(a)s3'!J81</f>
        <v>1.56579018</v>
      </c>
      <c r="F27" s="3014">
        <v>79.855299180000003</v>
      </c>
      <c r="G27" s="3014">
        <v>10.542987212000002</v>
      </c>
      <c r="H27" s="3014">
        <v>3.7057034259999995</v>
      </c>
      <c r="I27" s="3015">
        <v>2.9784631626180835</v>
      </c>
      <c r="J27" s="3016">
        <f t="shared" si="1"/>
        <v>4069.2173033720001</v>
      </c>
    </row>
    <row r="28" spans="2:10" s="83" customFormat="1" ht="18" customHeight="1" x14ac:dyDescent="0.2">
      <c r="B28" s="20" t="s">
        <v>191</v>
      </c>
      <c r="C28" s="1884">
        <f>'Table1.A(a)s3'!H88</f>
        <v>1945.6700979196662</v>
      </c>
      <c r="D28" s="1884">
        <f>'Table1.A(a)s3'!I88</f>
        <v>4.5915374994990845</v>
      </c>
      <c r="E28" s="1884">
        <f>'Table1.A(a)s3'!J88</f>
        <v>4.2862922906692955E-2</v>
      </c>
      <c r="F28" s="3014">
        <v>26.159877910373183</v>
      </c>
      <c r="G28" s="3014">
        <v>253.92136481646421</v>
      </c>
      <c r="H28" s="3014">
        <v>41.226484087506265</v>
      </c>
      <c r="I28" s="3015">
        <v>8.3580665333954069</v>
      </c>
      <c r="J28" s="3016">
        <f t="shared" si="1"/>
        <v>2085.5918224759143</v>
      </c>
    </row>
    <row r="29" spans="2:10" s="83" customFormat="1" ht="18" customHeight="1" thickBot="1" x14ac:dyDescent="0.25">
      <c r="B29" s="22" t="s">
        <v>192</v>
      </c>
      <c r="C29" s="1888">
        <f>'Table1.A(a)s3'!H99</f>
        <v>907.98752149612778</v>
      </c>
      <c r="D29" s="1888">
        <f>'Table1.A(a)s3'!I99</f>
        <v>0.16269268944478582</v>
      </c>
      <c r="E29" s="1888">
        <f>'Table1.A(a)s3'!J99</f>
        <v>1.8137290801519511E-3</v>
      </c>
      <c r="F29" s="3021">
        <v>3.4027125250682309</v>
      </c>
      <c r="G29" s="3021">
        <v>4.6432484683265285</v>
      </c>
      <c r="H29" s="3021">
        <v>0.63899868780753355</v>
      </c>
      <c r="I29" s="3022">
        <v>4.3594111559550697E-3</v>
      </c>
      <c r="J29" s="3023">
        <f t="shared" si="1"/>
        <v>913.02355500682211</v>
      </c>
    </row>
    <row r="30" spans="2:10" ht="18" customHeight="1" x14ac:dyDescent="0.2">
      <c r="B30" s="26" t="s">
        <v>193</v>
      </c>
      <c r="C30" s="3010">
        <f>IF(SUM(C31:C33)=0,"NO",SUM(C31:C33))</f>
        <v>22560.268192552965</v>
      </c>
      <c r="D30" s="3010">
        <f t="shared" ref="D30" si="6">IF(SUM(D31:D33)=0,"NO",SUM(D31:D33))</f>
        <v>35.427280177340101</v>
      </c>
      <c r="E30" s="3010">
        <f t="shared" ref="E30" si="7">IF(SUM(E31:E33)=0,"NO",SUM(E31:E33))</f>
        <v>0.74166403458600705</v>
      </c>
      <c r="F30" s="3010">
        <f t="shared" ref="F30" si="8">IF(SUM(F31:F33)=0,"NO",SUM(F31:F33))</f>
        <v>444.98310275308808</v>
      </c>
      <c r="G30" s="3010">
        <f t="shared" ref="G30" si="9">IF(SUM(G31:G33)=0,"NO",SUM(G31:G33))</f>
        <v>651.81706391857915</v>
      </c>
      <c r="H30" s="3010">
        <f t="shared" ref="H30" si="10">IF(SUM(H31:H33)=0,"NO",SUM(H31:H33))</f>
        <v>120.87884718106548</v>
      </c>
      <c r="I30" s="3011">
        <f t="shared" ref="I30" si="11">IF(SUM(I31:I33)=0,"NO",SUM(I31:I33))</f>
        <v>8.7081623130802548</v>
      </c>
      <c r="J30" s="3024">
        <f t="shared" si="1"/>
        <v>23748.773006683779</v>
      </c>
    </row>
    <row r="31" spans="2:10" ht="18" customHeight="1" x14ac:dyDescent="0.2">
      <c r="B31" s="20" t="s">
        <v>194</v>
      </c>
      <c r="C31" s="3013">
        <f>'Table1.A(a)s4'!H17</f>
        <v>5157.0676096824118</v>
      </c>
      <c r="D31" s="3013">
        <f>'Table1.A(a)s4'!I17</f>
        <v>0.10877428766985497</v>
      </c>
      <c r="E31" s="3013">
        <f>'Table1.A(a)s4'!J17</f>
        <v>9.484643574604544E-2</v>
      </c>
      <c r="F31" s="3014">
        <v>43.286432599072498</v>
      </c>
      <c r="G31" s="3014">
        <v>13.894054499446296</v>
      </c>
      <c r="H31" s="3014">
        <v>5.5786156753357528</v>
      </c>
      <c r="I31" s="3015">
        <v>2.4538557721886818</v>
      </c>
      <c r="J31" s="3016">
        <f t="shared" si="1"/>
        <v>5185.2475952098703</v>
      </c>
    </row>
    <row r="32" spans="2:10" ht="18" customHeight="1" x14ac:dyDescent="0.2">
      <c r="B32" s="20" t="s">
        <v>195</v>
      </c>
      <c r="C32" s="3013">
        <f>'Table1.A(a)s4'!H38</f>
        <v>9695.3519887328421</v>
      </c>
      <c r="D32" s="3013">
        <f>'Table1.A(a)s4'!I38</f>
        <v>34.589155444057887</v>
      </c>
      <c r="E32" s="3013">
        <f>'Table1.A(a)s4'!J38</f>
        <v>0.25030249456693138</v>
      </c>
      <c r="F32" s="3014">
        <v>13.126827363085178</v>
      </c>
      <c r="G32" s="3014">
        <v>468.13053767505875</v>
      </c>
      <c r="H32" s="3014">
        <v>54.673564085394673</v>
      </c>
      <c r="I32" s="3015">
        <v>0.4943282123137725</v>
      </c>
      <c r="J32" s="3016">
        <f t="shared" si="1"/>
        <v>10730.178502226701</v>
      </c>
    </row>
    <row r="33" spans="2:10" ht="18" customHeight="1" thickBot="1" x14ac:dyDescent="0.25">
      <c r="B33" s="20" t="s">
        <v>196</v>
      </c>
      <c r="C33" s="3013">
        <f>'Table1.A(a)s4'!H59</f>
        <v>7707.8485941377103</v>
      </c>
      <c r="D33" s="3013">
        <f>'Table1.A(a)s4'!I59</f>
        <v>0.72935044561236362</v>
      </c>
      <c r="E33" s="3013">
        <f>'Table1.A(a)s4'!J59</f>
        <v>0.39651510427303022</v>
      </c>
      <c r="F33" s="3014">
        <v>388.56984279093041</v>
      </c>
      <c r="G33" s="3014">
        <v>169.79247174407411</v>
      </c>
      <c r="H33" s="3014">
        <v>60.62666742033506</v>
      </c>
      <c r="I33" s="3015">
        <v>5.7599783285778008</v>
      </c>
      <c r="J33" s="3016">
        <f t="shared" si="1"/>
        <v>7833.3469092472096</v>
      </c>
    </row>
    <row r="34" spans="2:10" ht="18" customHeight="1" x14ac:dyDescent="0.2">
      <c r="B34" s="25" t="s">
        <v>197</v>
      </c>
      <c r="C34" s="3010">
        <f>IF(SUM(C35:C36)=0,"NO",SUM(C35:C36))</f>
        <v>809.41589359057934</v>
      </c>
      <c r="D34" s="3010">
        <f t="shared" ref="D34:E34" si="12">IF(SUM(D35:D36)=0,"NO",SUM(D35:D36))</f>
        <v>2.4977556541527311E-2</v>
      </c>
      <c r="E34" s="3010">
        <f t="shared" si="12"/>
        <v>2.2826572413449233E-2</v>
      </c>
      <c r="F34" s="3010">
        <f t="shared" ref="F34:I34" si="13">IF(SUM(F35:F36)=0,"NO",SUM(F35:F36))</f>
        <v>6.5419032641121424</v>
      </c>
      <c r="G34" s="3010">
        <f t="shared" si="13"/>
        <v>2.5158547070023403</v>
      </c>
      <c r="H34" s="3010">
        <f t="shared" si="13"/>
        <v>0.38849742836202938</v>
      </c>
      <c r="I34" s="3011">
        <f t="shared" si="13"/>
        <v>0.2527861282131339</v>
      </c>
      <c r="J34" s="3012">
        <f t="shared" si="1"/>
        <v>816.16430686330625</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809.41589359057934</v>
      </c>
      <c r="D36" s="3025">
        <f>'Table1.A(a)s4'!I108</f>
        <v>2.4977556541527311E-2</v>
      </c>
      <c r="E36" s="3025">
        <f>'Table1.A(a)s4'!J108</f>
        <v>2.2826572413449233E-2</v>
      </c>
      <c r="F36" s="3021">
        <v>6.5419032641121424</v>
      </c>
      <c r="G36" s="3021">
        <v>2.5158547070023403</v>
      </c>
      <c r="H36" s="3021">
        <v>0.38849742836202938</v>
      </c>
      <c r="I36" s="3022">
        <v>0.2527861282131339</v>
      </c>
      <c r="J36" s="3023">
        <f t="shared" si="1"/>
        <v>816.16430686330625</v>
      </c>
    </row>
    <row r="37" spans="2:10" ht="18" customHeight="1" thickBot="1" x14ac:dyDescent="0.25">
      <c r="B37" s="18" t="s">
        <v>201</v>
      </c>
      <c r="C37" s="3010">
        <f>IF(SUM(C38,C42)=0,"NO",SUM(C38,C42))</f>
        <v>15414.161904860886</v>
      </c>
      <c r="D37" s="3010">
        <f t="shared" ref="D37:I37" si="14">IF(SUM(D38,D42)=0,"NO",SUM(D38,D42))</f>
        <v>1184.7025068210669</v>
      </c>
      <c r="E37" s="3010">
        <f t="shared" si="14"/>
        <v>0.17755309955334869</v>
      </c>
      <c r="F37" s="3010">
        <f t="shared" si="14"/>
        <v>2.7939143339305019</v>
      </c>
      <c r="G37" s="3010">
        <f t="shared" si="14"/>
        <v>16.035532111796911</v>
      </c>
      <c r="H37" s="3010">
        <f t="shared" si="14"/>
        <v>202.00285574458951</v>
      </c>
      <c r="I37" s="3011" t="str">
        <f t="shared" si="14"/>
        <v>NO</v>
      </c>
      <c r="J37" s="3012">
        <f t="shared" si="1"/>
        <v>48632.883667232389</v>
      </c>
    </row>
    <row r="38" spans="2:10" ht="18" customHeight="1" x14ac:dyDescent="0.2">
      <c r="B38" s="26" t="s">
        <v>202</v>
      </c>
      <c r="C38" s="3010">
        <f>IF(SUM(C39:C41)=0,"NO",SUM(C39:C41))</f>
        <v>2087.8740202040094</v>
      </c>
      <c r="D38" s="3010">
        <f t="shared" ref="D38" si="15">IF(SUM(D39:D41)=0,"NO",SUM(D39:D41))</f>
        <v>915.12773141730565</v>
      </c>
      <c r="E38" s="3010">
        <f t="shared" ref="E38" si="16">IF(SUM(E39:E41)=0,"NO",SUM(E39:E41))</f>
        <v>1.9761010269859756E-3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27711.974166660719</v>
      </c>
    </row>
    <row r="39" spans="2:10" ht="18" customHeight="1" x14ac:dyDescent="0.2">
      <c r="B39" s="20" t="s">
        <v>203</v>
      </c>
      <c r="C39" s="3013">
        <f>'Table1.B.1'!G10</f>
        <v>2087.8740202040094</v>
      </c>
      <c r="D39" s="3013">
        <f>'Table1.B.1'!F10</f>
        <v>915.12773141730565</v>
      </c>
      <c r="E39" s="3014">
        <v>1.9761010269859756E-3</v>
      </c>
      <c r="F39" s="3014" t="s">
        <v>199</v>
      </c>
      <c r="G39" s="3014" t="s">
        <v>199</v>
      </c>
      <c r="H39" s="3014" t="s">
        <v>199</v>
      </c>
      <c r="I39" s="2940"/>
      <c r="J39" s="3016">
        <f t="shared" si="1"/>
        <v>27711.974166660719</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13326.287884656876</v>
      </c>
      <c r="D42" s="3010">
        <f t="shared" ref="D42:I42" si="21">IF(SUM(D43:D46)=0,"NO",SUM(D43:D46))</f>
        <v>269.57477540376118</v>
      </c>
      <c r="E42" s="3010">
        <f t="shared" si="21"/>
        <v>0.17557699852636272</v>
      </c>
      <c r="F42" s="3010">
        <f t="shared" si="21"/>
        <v>2.7939143339305019</v>
      </c>
      <c r="G42" s="3010">
        <f t="shared" si="21"/>
        <v>16.035532111796911</v>
      </c>
      <c r="H42" s="3010">
        <f t="shared" si="21"/>
        <v>202.00285574458951</v>
      </c>
      <c r="I42" s="3011" t="str">
        <f t="shared" si="21"/>
        <v>NO</v>
      </c>
      <c r="J42" s="3012">
        <f t="shared" ref="J42:J59" si="22">IF(SUM(C42:E42)=0,"NO",SUM(C42,IFERROR(28*D42,0),IFERROR(265*E42,0)))</f>
        <v>20920.909500571677</v>
      </c>
    </row>
    <row r="43" spans="2:10" ht="18" customHeight="1" x14ac:dyDescent="0.2">
      <c r="B43" s="20" t="s">
        <v>208</v>
      </c>
      <c r="C43" s="3013">
        <f>'Table1.B.2'!I10</f>
        <v>87.873820094265426</v>
      </c>
      <c r="D43" s="3013">
        <f>'Table1.B.2'!J10</f>
        <v>2.0060524171905585</v>
      </c>
      <c r="E43" s="3013">
        <f>'Table1.B.2'!K10</f>
        <v>2.726929588176438E-3</v>
      </c>
      <c r="F43" s="3014">
        <v>5.0239415984748848E-2</v>
      </c>
      <c r="G43" s="3014">
        <v>0.28899040021154332</v>
      </c>
      <c r="H43" s="3014">
        <v>80.722895037556142</v>
      </c>
      <c r="I43" s="3015" t="s">
        <v>199</v>
      </c>
      <c r="J43" s="3016">
        <f t="shared" si="22"/>
        <v>144.76592411646783</v>
      </c>
    </row>
    <row r="44" spans="2:10" ht="18" customHeight="1" x14ac:dyDescent="0.2">
      <c r="B44" s="20" t="s">
        <v>209</v>
      </c>
      <c r="C44" s="3013">
        <f>SUM('Table1.B.2'!I21)</f>
        <v>54.579857406745226</v>
      </c>
      <c r="D44" s="3013">
        <f>'Table1.B.2'!J21</f>
        <v>200.75681932828999</v>
      </c>
      <c r="E44" s="3013">
        <f>'Table1.B.2'!K21</f>
        <v>9.2004428571428585E-4</v>
      </c>
      <c r="F44" s="3014">
        <v>1.7037857142857143E-2</v>
      </c>
      <c r="G44" s="3014">
        <v>9.8819571428571423E-2</v>
      </c>
      <c r="H44" s="3014">
        <v>94.314427567754407</v>
      </c>
      <c r="I44" s="3015" t="s">
        <v>199</v>
      </c>
      <c r="J44" s="3016">
        <f t="shared" si="22"/>
        <v>5676.0146103345787</v>
      </c>
    </row>
    <row r="45" spans="2:10" ht="18" customHeight="1" x14ac:dyDescent="0.2">
      <c r="B45" s="20" t="s">
        <v>210</v>
      </c>
      <c r="C45" s="3013">
        <f>'Table1.B.2'!I31</f>
        <v>13183.834207155865</v>
      </c>
      <c r="D45" s="3013">
        <f>'Table1.B.2'!J31</f>
        <v>66.811903658280642</v>
      </c>
      <c r="E45" s="3013">
        <f>'Table1.B.2'!K31</f>
        <v>0.17193002465247198</v>
      </c>
      <c r="F45" s="3014">
        <v>2.7266370608028958</v>
      </c>
      <c r="G45" s="3014">
        <v>15.647722140156796</v>
      </c>
      <c r="H45" s="3014">
        <v>26.965533139278961</v>
      </c>
      <c r="I45" s="3015" t="s">
        <v>199</v>
      </c>
      <c r="J45" s="3016">
        <f t="shared" si="22"/>
        <v>15100.128966120628</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f>IF(SUM(C48:C50)=0,"NO",SUM(C48:C50))</f>
        <v>2.2450000000000001</v>
      </c>
      <c r="D47" s="3028"/>
      <c r="E47" s="3028"/>
      <c r="F47" s="3028"/>
      <c r="G47" s="3028"/>
      <c r="H47" s="3028"/>
      <c r="I47" s="3029"/>
      <c r="J47" s="3012">
        <f t="shared" si="22"/>
        <v>2.2450000000000001</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f>Table1.C!E15</f>
        <v>2.2450000000000001</v>
      </c>
      <c r="D49" s="3031"/>
      <c r="E49" s="3031"/>
      <c r="F49" s="3031"/>
      <c r="G49" s="3031"/>
      <c r="H49" s="3031"/>
      <c r="I49" s="3032"/>
      <c r="J49" s="3024">
        <f t="shared" si="22"/>
        <v>2.2450000000000001</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5098.2721709400003</v>
      </c>
      <c r="D52" s="3013">
        <f t="shared" ref="D52:I52" si="23">IF(SUM(D53:D54)=0,"NO",SUM(D53:D54))</f>
        <v>0.12857781991428571</v>
      </c>
      <c r="E52" s="3013">
        <f t="shared" si="23"/>
        <v>5.2466657696916712E-2</v>
      </c>
      <c r="F52" s="3013">
        <f t="shared" si="23"/>
        <v>53.743449854472694</v>
      </c>
      <c r="G52" s="3013">
        <f t="shared" si="23"/>
        <v>7.0094408124869272</v>
      </c>
      <c r="H52" s="3013">
        <f t="shared" si="23"/>
        <v>4.0512865448913224</v>
      </c>
      <c r="I52" s="3034">
        <f t="shared" si="23"/>
        <v>20.139141412465428</v>
      </c>
      <c r="J52" s="3016">
        <f t="shared" si="22"/>
        <v>5115.7760141872832</v>
      </c>
    </row>
    <row r="53" spans="2:10" ht="18" customHeight="1" x14ac:dyDescent="0.2">
      <c r="B53" s="164" t="s">
        <v>218</v>
      </c>
      <c r="C53" s="3013">
        <f>Table1.D!G10</f>
        <v>3840.5573990400003</v>
      </c>
      <c r="D53" s="3013">
        <f>Table1.D!H10</f>
        <v>8.2845657142857146E-3</v>
      </c>
      <c r="E53" s="3013">
        <f>Table1.D!I10</f>
        <v>1.8097156496916712E-2</v>
      </c>
      <c r="F53" s="3014">
        <v>20.177950370472693</v>
      </c>
      <c r="G53" s="3014">
        <v>6.0255112998869276</v>
      </c>
      <c r="H53" s="3014">
        <v>3.001190183691322</v>
      </c>
      <c r="I53" s="3015">
        <v>0.45247946368000008</v>
      </c>
      <c r="J53" s="3016">
        <f t="shared" si="22"/>
        <v>3845.585113351683</v>
      </c>
    </row>
    <row r="54" spans="2:10" ht="18" customHeight="1" x14ac:dyDescent="0.2">
      <c r="B54" s="164" t="s">
        <v>219</v>
      </c>
      <c r="C54" s="3013">
        <f>Table1.D!G14</f>
        <v>1257.7147719</v>
      </c>
      <c r="D54" s="3013">
        <f>Table1.D!H14</f>
        <v>0.1202932542</v>
      </c>
      <c r="E54" s="3013">
        <f>Table1.D!I14</f>
        <v>3.4369501199999999E-2</v>
      </c>
      <c r="F54" s="3014">
        <v>33.565499484</v>
      </c>
      <c r="G54" s="3014">
        <v>0.98392951260000006</v>
      </c>
      <c r="H54" s="3014">
        <v>1.0500963612000001</v>
      </c>
      <c r="I54" s="3015">
        <v>19.686661948785428</v>
      </c>
      <c r="J54" s="3016">
        <f t="shared" si="22"/>
        <v>1270.1909008355999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17038.838972092974</v>
      </c>
      <c r="D56" s="3035"/>
      <c r="E56" s="3035"/>
      <c r="F56" s="3035"/>
      <c r="G56" s="3035"/>
      <c r="H56" s="3035"/>
      <c r="I56" s="2976"/>
      <c r="J56" s="3020">
        <f t="shared" si="22"/>
        <v>17038.838972092974</v>
      </c>
    </row>
    <row r="57" spans="2:10" ht="18" customHeight="1" x14ac:dyDescent="0.2">
      <c r="B57" s="97" t="s">
        <v>223</v>
      </c>
      <c r="C57" s="3013">
        <f>IF(SUM(C58:C59)=0,"NO",SUM(C58:C59))</f>
        <v>2720.328</v>
      </c>
      <c r="D57" s="3036"/>
      <c r="E57" s="3036"/>
      <c r="F57" s="3036"/>
      <c r="G57" s="3036"/>
      <c r="H57" s="3036"/>
      <c r="I57" s="2940"/>
      <c r="J57" s="3016">
        <f t="shared" si="22"/>
        <v>2720.328</v>
      </c>
    </row>
    <row r="58" spans="2:10" ht="18" customHeight="1" x14ac:dyDescent="0.2">
      <c r="B58" s="2487" t="s">
        <v>224</v>
      </c>
      <c r="C58" s="3026">
        <f>Table1.C!E21</f>
        <v>2720.328</v>
      </c>
      <c r="D58" s="3036"/>
      <c r="E58" s="3036"/>
      <c r="F58" s="3036"/>
      <c r="G58" s="3036"/>
      <c r="H58" s="3036"/>
      <c r="I58" s="2940"/>
      <c r="J58" s="3016">
        <f t="shared" si="22"/>
        <v>2720.328</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1" t="s">
        <v>227</v>
      </c>
      <c r="C77" s="4492"/>
      <c r="D77" s="4492"/>
      <c r="E77" s="4492"/>
      <c r="F77" s="4492"/>
      <c r="G77" s="4492"/>
      <c r="H77" s="4492"/>
      <c r="I77" s="4492"/>
      <c r="J77" s="4493"/>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136896.015392731</v>
      </c>
      <c r="D10" s="3491" t="s">
        <v>199</v>
      </c>
      <c r="E10" s="3491">
        <v>10.090321115</v>
      </c>
      <c r="F10" s="3491">
        <v>338.67577373400002</v>
      </c>
      <c r="G10" s="3491" t="s">
        <v>199</v>
      </c>
      <c r="H10" s="3491" t="s">
        <v>199</v>
      </c>
      <c r="I10" s="3491" t="s">
        <v>199</v>
      </c>
      <c r="J10" s="3491">
        <v>10.032968232</v>
      </c>
      <c r="K10" s="3491" t="s">
        <v>199</v>
      </c>
      <c r="L10" s="3491" t="s">
        <v>199</v>
      </c>
      <c r="M10" s="3492">
        <f>IF(SUM(C10:L10)=0,"NO",SUM(C10:L10))</f>
        <v>137254.81445581201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9.1802628439999996</v>
      </c>
      <c r="D12" s="3491" t="s">
        <v>199</v>
      </c>
      <c r="E12" s="3491">
        <v>39977.464035404999</v>
      </c>
      <c r="F12" s="3491" t="s">
        <v>274</v>
      </c>
      <c r="G12" s="3491" t="s">
        <v>199</v>
      </c>
      <c r="H12" s="3491" t="s">
        <v>274</v>
      </c>
      <c r="I12" s="3491" t="s">
        <v>199</v>
      </c>
      <c r="J12" s="3491" t="s">
        <v>274</v>
      </c>
      <c r="K12" s="3491" t="s">
        <v>199</v>
      </c>
      <c r="L12" s="3491" t="s">
        <v>199</v>
      </c>
      <c r="M12" s="3492">
        <f t="shared" si="0"/>
        <v>39986.644298248997</v>
      </c>
    </row>
    <row r="13" spans="2:13" ht="18" customHeight="1" x14ac:dyDescent="0.2">
      <c r="B13" s="2303" t="s">
        <v>1296</v>
      </c>
      <c r="C13" s="3491">
        <v>515.54765991099998</v>
      </c>
      <c r="D13" s="3491" t="s">
        <v>199</v>
      </c>
      <c r="E13" s="3491" t="s">
        <v>274</v>
      </c>
      <c r="F13" s="3491">
        <v>515639.55617510597</v>
      </c>
      <c r="G13" s="3491" t="s">
        <v>199</v>
      </c>
      <c r="H13" s="3491" t="s">
        <v>274</v>
      </c>
      <c r="I13" s="3491" t="s">
        <v>199</v>
      </c>
      <c r="J13" s="3491" t="s">
        <v>274</v>
      </c>
      <c r="K13" s="3491" t="s">
        <v>199</v>
      </c>
      <c r="L13" s="3491" t="s">
        <v>199</v>
      </c>
      <c r="M13" s="3492">
        <f t="shared" si="0"/>
        <v>516155.10383501695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3.711358508</v>
      </c>
      <c r="D15" s="3491" t="s">
        <v>199</v>
      </c>
      <c r="E15" s="3491">
        <v>0.63304705100000003</v>
      </c>
      <c r="F15" s="3491">
        <v>2.443871627</v>
      </c>
      <c r="G15" s="3491" t="s">
        <v>199</v>
      </c>
      <c r="H15" s="3491">
        <v>13178.382270856</v>
      </c>
      <c r="I15" s="3491" t="s">
        <v>199</v>
      </c>
      <c r="J15" s="3491" t="s">
        <v>199</v>
      </c>
      <c r="K15" s="3491" t="s">
        <v>199</v>
      </c>
      <c r="L15" s="3491" t="s">
        <v>199</v>
      </c>
      <c r="M15" s="3492">
        <f t="shared" si="0"/>
        <v>13185.170548042001</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6.8445714969999996</v>
      </c>
      <c r="D17" s="3491" t="s">
        <v>199</v>
      </c>
      <c r="E17" s="3491" t="s">
        <v>199</v>
      </c>
      <c r="F17" s="3491" t="s">
        <v>199</v>
      </c>
      <c r="G17" s="3491" t="s">
        <v>199</v>
      </c>
      <c r="H17" s="3491" t="s">
        <v>199</v>
      </c>
      <c r="I17" s="3491" t="s">
        <v>199</v>
      </c>
      <c r="J17" s="3491">
        <v>1547.793445563</v>
      </c>
      <c r="K17" s="3491" t="s">
        <v>199</v>
      </c>
      <c r="L17" s="3491" t="s">
        <v>199</v>
      </c>
      <c r="M17" s="3492">
        <f t="shared" si="0"/>
        <v>1554.63801706</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137431.29924549101</v>
      </c>
      <c r="D20" s="3493" t="str">
        <f t="shared" ref="D20:L20" si="1">IF(SUM(D10:D19)=0,"NO",SUM(D10:D19))</f>
        <v>NO</v>
      </c>
      <c r="E20" s="3493">
        <f t="shared" si="1"/>
        <v>39988.187403570999</v>
      </c>
      <c r="F20" s="3493">
        <f t="shared" si="1"/>
        <v>515980.67582046695</v>
      </c>
      <c r="G20" s="3493" t="str">
        <f t="shared" si="1"/>
        <v>NO</v>
      </c>
      <c r="H20" s="3493">
        <f t="shared" si="1"/>
        <v>13178.382270856</v>
      </c>
      <c r="I20" s="3493" t="str">
        <f t="shared" si="1"/>
        <v>NO</v>
      </c>
      <c r="J20" s="3493">
        <f t="shared" si="1"/>
        <v>1557.826413795</v>
      </c>
      <c r="K20" s="3493">
        <f t="shared" si="1"/>
        <v>60692.328845821001</v>
      </c>
      <c r="L20" s="3493" t="str">
        <f t="shared" si="1"/>
        <v>NO</v>
      </c>
      <c r="M20" s="3492">
        <f t="shared" si="0"/>
        <v>768828.70000000088</v>
      </c>
    </row>
    <row r="21" spans="2:13" ht="18" customHeight="1" thickBot="1" x14ac:dyDescent="0.25">
      <c r="B21" s="2305" t="s">
        <v>1304</v>
      </c>
      <c r="C21" s="3494">
        <f>IF(SUM(C20)=0,"NO",C20-M10)</f>
        <v>176.48478967900155</v>
      </c>
      <c r="D21" s="3494" t="str">
        <f>IF(SUM(D20)=0,"NO",D20-M11)</f>
        <v>NO</v>
      </c>
      <c r="E21" s="3494">
        <f>IF(SUM(E20)=0,"NO",E20-M12)</f>
        <v>1.543105322001793</v>
      </c>
      <c r="F21" s="3494">
        <f>IF(SUM(F20)=0,"NO",F20-M13)</f>
        <v>-174.42801455000881</v>
      </c>
      <c r="G21" s="3494" t="str">
        <f>IF(SUM(G20)=0,"NO",G20-M14)</f>
        <v>NO</v>
      </c>
      <c r="H21" s="3494">
        <f>IF(SUM(H20)=0,"NO",H20-M15)</f>
        <v>-6.7882771860004141</v>
      </c>
      <c r="I21" s="3494" t="str">
        <f>IF(SUM(I20)=0,"NO",I20-M16)</f>
        <v>NO</v>
      </c>
      <c r="J21" s="3494">
        <f>IF(SUM(J20)=0,"NO",J20-M17)</f>
        <v>3.1883967349999693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137605.01413221096</v>
      </c>
      <c r="E10" s="3498">
        <f t="shared" ref="E10:U10" si="0">IF(SUM(E11,E16)=0,"IE",SUM(E11,E16))</f>
        <v>137431.29924549075</v>
      </c>
      <c r="F10" s="3499">
        <f t="shared" si="0"/>
        <v>173.71488672021781</v>
      </c>
      <c r="G10" s="3500">
        <f t="shared" ref="G10:K11" si="1">IFERROR(IF(SUM($D10)=0,"NA",N10/$D10),"NA")</f>
        <v>0.19310383848664961</v>
      </c>
      <c r="H10" s="3057">
        <f t="shared" si="1"/>
        <v>-1.2057653590205723E-2</v>
      </c>
      <c r="I10" s="3057">
        <f t="shared" si="1"/>
        <v>0.18104618489644389</v>
      </c>
      <c r="J10" s="3057">
        <f t="shared" si="1"/>
        <v>3.7369403596720779E-3</v>
      </c>
      <c r="K10" s="3057">
        <f t="shared" si="1"/>
        <v>6.4616344108008538E-4</v>
      </c>
      <c r="L10" s="3057">
        <f>IFERROR(IF(SUM(E10)=0,"NA",S10/E10),"NA")</f>
        <v>-1.9346054796913176E-2</v>
      </c>
      <c r="M10" s="3106">
        <f>IFERROR(IF(SUM(F10)=0,"NA",T10/F10),"NA")</f>
        <v>6.2054653321920401E-2</v>
      </c>
      <c r="N10" s="3501">
        <f t="shared" si="0"/>
        <v>26572.056423939601</v>
      </c>
      <c r="O10" s="3502">
        <f t="shared" si="0"/>
        <v>-1659.1935926815627</v>
      </c>
      <c r="P10" s="3502">
        <f t="shared" si="0"/>
        <v>24912.86283125804</v>
      </c>
      <c r="Q10" s="3502">
        <f t="shared" si="0"/>
        <v>514.2217310039058</v>
      </c>
      <c r="R10" s="3502">
        <f t="shared" si="0"/>
        <v>88.915329441543207</v>
      </c>
      <c r="S10" s="3502">
        <f t="shared" si="0"/>
        <v>-2658.7534460142365</v>
      </c>
      <c r="T10" s="3503">
        <f t="shared" si="0"/>
        <v>10.779817072279791</v>
      </c>
      <c r="U10" s="4260">
        <f t="shared" si="0"/>
        <v>-83849.429630125625</v>
      </c>
      <c r="W10" s="2422"/>
    </row>
    <row r="11" spans="2:23" ht="18" customHeight="1" x14ac:dyDescent="0.2">
      <c r="B11" s="492" t="s">
        <v>1253</v>
      </c>
      <c r="C11" s="2282"/>
      <c r="D11" s="3504">
        <f>IF(SUM(D12:D15)=0,"IE",SUM(D12:D15))</f>
        <v>122343.02706970301</v>
      </c>
      <c r="E11" s="3505">
        <f t="shared" ref="E11:U11" si="2">IF(SUM(E12:E15)=0,"IE",SUM(E12:E15))</f>
        <v>122343.02706970301</v>
      </c>
      <c r="F11" s="3506" t="str">
        <f t="shared" si="2"/>
        <v>IE</v>
      </c>
      <c r="G11" s="3500">
        <f t="shared" si="1"/>
        <v>9.4493822507650746E-2</v>
      </c>
      <c r="H11" s="3057">
        <f t="shared" si="1"/>
        <v>-1.3559332303051628E-2</v>
      </c>
      <c r="I11" s="3057">
        <f t="shared" si="1"/>
        <v>8.0934490204599127E-2</v>
      </c>
      <c r="J11" s="3057">
        <f t="shared" si="1"/>
        <v>3.311311116367165E-3</v>
      </c>
      <c r="K11" s="3057">
        <f t="shared" si="1"/>
        <v>2.7167190720076124E-3</v>
      </c>
      <c r="L11" s="3057">
        <f t="shared" ref="L11:L28" si="3">IFERROR(IF(SUM(E11)=0,"NA",S11/E11),"NA")</f>
        <v>-7.8578095543142858E-3</v>
      </c>
      <c r="M11" s="3106" t="str">
        <f t="shared" ref="M11:M28" si="4">IFERROR(IF(SUM(F11)=0,"NA",T11/F11),"NA")</f>
        <v>NA</v>
      </c>
      <c r="N11" s="3087">
        <f t="shared" si="2"/>
        <v>11560.660284973226</v>
      </c>
      <c r="O11" s="3087">
        <f t="shared" si="2"/>
        <v>-1658.8897589993437</v>
      </c>
      <c r="P11" s="3087">
        <f t="shared" si="2"/>
        <v>9901.7705259738832</v>
      </c>
      <c r="Q11" s="3087">
        <f t="shared" si="2"/>
        <v>405.11582554591655</v>
      </c>
      <c r="R11" s="3507">
        <f t="shared" si="2"/>
        <v>332.37163496740573</v>
      </c>
      <c r="S11" s="3507">
        <f t="shared" si="2"/>
        <v>-961.34820701204364</v>
      </c>
      <c r="T11" s="3507" t="str">
        <f t="shared" si="2"/>
        <v>IE</v>
      </c>
      <c r="U11" s="4261">
        <f t="shared" si="2"/>
        <v>-35485.669191408924</v>
      </c>
      <c r="W11" s="2423"/>
    </row>
    <row r="12" spans="2:23" ht="18" customHeight="1" x14ac:dyDescent="0.2">
      <c r="B12" s="490"/>
      <c r="C12" s="498" t="s">
        <v>1339</v>
      </c>
      <c r="D12" s="3509">
        <f>IF(SUM(E12:F12)=0,E12,SUM(E12:F12))</f>
        <v>17541.974123183518</v>
      </c>
      <c r="E12" s="3510">
        <v>17541.974123183518</v>
      </c>
      <c r="F12" s="3496" t="s">
        <v>274</v>
      </c>
      <c r="G12" s="3500">
        <f>IFERROR(IF(SUM($D12)=0,"NA",N12/$D12),"NA")</f>
        <v>0.53623337479633215</v>
      </c>
      <c r="H12" s="3057" t="str">
        <f>IFERROR(IF(SUM($D12)=0,"NA",O12/$D12),"NA")</f>
        <v>NA</v>
      </c>
      <c r="I12" s="3057">
        <f>IFERROR(IF(SUM($D12)=0,"NA",P12/$D12),"NA")</f>
        <v>0.53623337479633215</v>
      </c>
      <c r="J12" s="3057">
        <f>IFERROR(IF(SUM($D12)=0,"NA",Q12/$D12),"NA")</f>
        <v>1.4019311511449244E-2</v>
      </c>
      <c r="K12" s="3057">
        <f>IFERROR(IF(SUM($D12)=0,"NA",R12/$D12),"NA")</f>
        <v>2.5077336054403664E-2</v>
      </c>
      <c r="L12" s="3057">
        <f t="shared" si="3"/>
        <v>-7.0531031451254195E-2</v>
      </c>
      <c r="M12" s="3106" t="str">
        <f t="shared" si="4"/>
        <v>NA</v>
      </c>
      <c r="N12" s="2917">
        <v>9406.5919846646266</v>
      </c>
      <c r="O12" s="2917" t="s">
        <v>274</v>
      </c>
      <c r="P12" s="3087">
        <f>IF(SUM(N12:O12)=0,N12,SUM(N12:O12))</f>
        <v>9406.5919846646266</v>
      </c>
      <c r="Q12" s="2917">
        <v>245.92639975869145</v>
      </c>
      <c r="R12" s="2918">
        <v>439.90598014472613</v>
      </c>
      <c r="S12" s="2918">
        <v>-1237.253528599344</v>
      </c>
      <c r="T12" s="2918" t="s">
        <v>274</v>
      </c>
      <c r="U12" s="4262">
        <f>IF(SUM(P12:T12)=0,P12,SUM(P12:T12)*-44/12)</f>
        <v>-32468.959731885232</v>
      </c>
      <c r="W12" s="2424"/>
    </row>
    <row r="13" spans="2:23" ht="18" customHeight="1" x14ac:dyDescent="0.2">
      <c r="B13" s="490"/>
      <c r="C13" s="498" t="s">
        <v>1340</v>
      </c>
      <c r="D13" s="3509">
        <f t="shared" ref="D13:D15" si="5">IF(SUM(E13:F13)=0,E13,SUM(E13:F13))</f>
        <v>681.45988290815205</v>
      </c>
      <c r="E13" s="3510">
        <v>681.45988290815205</v>
      </c>
      <c r="F13" s="3496" t="s">
        <v>274</v>
      </c>
      <c r="G13" s="3500" t="str">
        <f t="shared" ref="G13:K28" si="6">IFERROR(IF(SUM($D13)=0,"NA",N13/$D13),"NA")</f>
        <v>NA</v>
      </c>
      <c r="H13" s="3057">
        <f t="shared" si="6"/>
        <v>-2.4343175594137372</v>
      </c>
      <c r="I13" s="3057">
        <f t="shared" si="6"/>
        <v>-2.4343175594137372</v>
      </c>
      <c r="J13" s="3057">
        <f t="shared" si="6"/>
        <v>-0.46724336640241587</v>
      </c>
      <c r="K13" s="3057">
        <f t="shared" si="6"/>
        <v>-0.47836540941420125</v>
      </c>
      <c r="L13" s="3057">
        <f t="shared" si="3"/>
        <v>0.40487390161525794</v>
      </c>
      <c r="M13" s="3106" t="str">
        <f t="shared" si="4"/>
        <v>NA</v>
      </c>
      <c r="N13" s="2917" t="s">
        <v>274</v>
      </c>
      <c r="O13" s="2917">
        <v>-1658.8897589993437</v>
      </c>
      <c r="P13" s="3087">
        <f t="shared" ref="P13:P15" si="7">IF(SUM(N13:O13)=0,N13,SUM(N13:O13))</f>
        <v>-1658.8897589993437</v>
      </c>
      <c r="Q13" s="2917">
        <v>-318.40760975820109</v>
      </c>
      <c r="R13" s="2918">
        <v>-325.98683588671179</v>
      </c>
      <c r="S13" s="2918">
        <v>275.90532158730036</v>
      </c>
      <c r="T13" s="2918" t="s">
        <v>274</v>
      </c>
      <c r="U13" s="4262">
        <f t="shared" ref="U13:U15" si="8">IF(SUM(P13:T13)=0,P13,SUM(P13:T13)*-44/12)</f>
        <v>7433.7225712088393</v>
      </c>
      <c r="W13" s="2424"/>
    </row>
    <row r="14" spans="2:23" ht="18" customHeight="1" x14ac:dyDescent="0.2">
      <c r="B14" s="490"/>
      <c r="C14" s="498" t="s">
        <v>1341</v>
      </c>
      <c r="D14" s="3509">
        <f t="shared" si="5"/>
        <v>104119.59306361133</v>
      </c>
      <c r="E14" s="3510">
        <v>104119.59306361133</v>
      </c>
      <c r="F14" s="3496" t="s">
        <v>274</v>
      </c>
      <c r="G14" s="3500">
        <f t="shared" si="6"/>
        <v>3.1203297011045913E-3</v>
      </c>
      <c r="H14" s="3057" t="str">
        <f t="shared" si="6"/>
        <v>NA</v>
      </c>
      <c r="I14" s="3057">
        <f t="shared" si="6"/>
        <v>3.1203297011045913E-3</v>
      </c>
      <c r="J14" s="3057">
        <f t="shared" si="6"/>
        <v>5.4592589920291548E-3</v>
      </c>
      <c r="K14" s="3057">
        <f t="shared" si="6"/>
        <v>2.0980920524336756E-3</v>
      </c>
      <c r="L14" s="3057" t="str">
        <f t="shared" si="3"/>
        <v>NA</v>
      </c>
      <c r="M14" s="3106" t="str">
        <f t="shared" si="4"/>
        <v>NA</v>
      </c>
      <c r="N14" s="2917">
        <v>324.88745870331002</v>
      </c>
      <c r="O14" s="2917" t="s">
        <v>274</v>
      </c>
      <c r="P14" s="3087">
        <f t="shared" si="7"/>
        <v>324.88745870331002</v>
      </c>
      <c r="Q14" s="2917">
        <v>568.41582467893659</v>
      </c>
      <c r="R14" s="2918">
        <v>218.45249070939138</v>
      </c>
      <c r="S14" s="2918" t="s">
        <v>205</v>
      </c>
      <c r="T14" s="2918" t="s">
        <v>205</v>
      </c>
      <c r="U14" s="4262">
        <f t="shared" si="8"/>
        <v>-4076.4378383360058</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1829.1808416052909</v>
      </c>
      <c r="O15" s="2917" t="s">
        <v>274</v>
      </c>
      <c r="P15" s="3087">
        <f t="shared" si="7"/>
        <v>1829.1808416052909</v>
      </c>
      <c r="Q15" s="2917">
        <v>-90.818789133510421</v>
      </c>
      <c r="R15" s="2918" t="s">
        <v>205</v>
      </c>
      <c r="S15" s="2918" t="s">
        <v>205</v>
      </c>
      <c r="T15" s="2918" t="s">
        <v>205</v>
      </c>
      <c r="U15" s="4262">
        <f t="shared" si="8"/>
        <v>-6373.994192396528</v>
      </c>
      <c r="W15" s="2424"/>
    </row>
    <row r="16" spans="2:23" ht="18" customHeight="1" x14ac:dyDescent="0.2">
      <c r="B16" s="475" t="s">
        <v>1343</v>
      </c>
      <c r="C16" s="494"/>
      <c r="D16" s="3509">
        <f>IF(SUM(D17,D19,D23,D25,D27)=0,"IE",SUM(D17,D19,D23,D25,D27))</f>
        <v>15261.987062507953</v>
      </c>
      <c r="E16" s="3512">
        <f t="shared" ref="E16:T16" si="9">IF(SUM(E17,E19,E23,E25,E27)=0,"IE",SUM(E17,E19,E23,E25,E27))</f>
        <v>15088.272175787735</v>
      </c>
      <c r="F16" s="3513">
        <f t="shared" si="9"/>
        <v>173.71488672021781</v>
      </c>
      <c r="G16" s="3500">
        <f t="shared" si="6"/>
        <v>0.98358071445643069</v>
      </c>
      <c r="H16" s="3057">
        <f t="shared" si="6"/>
        <v>-1.9907871823930944E-5</v>
      </c>
      <c r="I16" s="3057">
        <f t="shared" si="6"/>
        <v>0.98356080658460676</v>
      </c>
      <c r="J16" s="3057">
        <f t="shared" si="6"/>
        <v>7.1488663311748499E-3</v>
      </c>
      <c r="K16" s="3057">
        <f t="shared" si="6"/>
        <v>-1.5951809192914893E-2</v>
      </c>
      <c r="L16" s="3057">
        <f t="shared" si="3"/>
        <v>-0.11249831784755528</v>
      </c>
      <c r="M16" s="3106">
        <f t="shared" si="4"/>
        <v>6.2054653321920401E-2</v>
      </c>
      <c r="N16" s="3057">
        <f t="shared" si="9"/>
        <v>15011.396138966375</v>
      </c>
      <c r="O16" s="3057">
        <f t="shared" si="9"/>
        <v>-0.30383368221890067</v>
      </c>
      <c r="P16" s="3057">
        <f t="shared" si="9"/>
        <v>15011.092305284155</v>
      </c>
      <c r="Q16" s="3057">
        <f t="shared" si="9"/>
        <v>109.10590545798925</v>
      </c>
      <c r="R16" s="3514">
        <f t="shared" si="9"/>
        <v>-243.45630552586252</v>
      </c>
      <c r="S16" s="3514">
        <f t="shared" si="9"/>
        <v>-1697.405239002193</v>
      </c>
      <c r="T16" s="3514">
        <f t="shared" si="9"/>
        <v>10.779817072279791</v>
      </c>
      <c r="U16" s="4262">
        <f>IF(SUM(U17,U19,U23,U25,U27)=0,"IE",SUM(U17,U19,U23,U25,U27))</f>
        <v>-48363.760438716701</v>
      </c>
      <c r="W16" s="2048"/>
    </row>
    <row r="17" spans="2:23" ht="18" customHeight="1" x14ac:dyDescent="0.2">
      <c r="B17" s="477" t="s">
        <v>1344</v>
      </c>
      <c r="C17" s="494"/>
      <c r="D17" s="3509">
        <f>D18</f>
        <v>108.78215543093376</v>
      </c>
      <c r="E17" s="3512">
        <f t="shared" ref="E17:U17" si="10">E18</f>
        <v>108.78215543093376</v>
      </c>
      <c r="F17" s="3513" t="str">
        <f t="shared" si="10"/>
        <v>NO</v>
      </c>
      <c r="G17" s="3500">
        <f t="shared" si="6"/>
        <v>1.478713052188442</v>
      </c>
      <c r="H17" s="3057" t="str">
        <f t="shared" si="6"/>
        <v>NA</v>
      </c>
      <c r="I17" s="3057">
        <f t="shared" si="6"/>
        <v>1.478713052188442</v>
      </c>
      <c r="J17" s="3057">
        <f t="shared" si="6"/>
        <v>0.12192502192827624</v>
      </c>
      <c r="K17" s="3057">
        <f t="shared" si="6"/>
        <v>4.9267156382109378E-2</v>
      </c>
      <c r="L17" s="3057">
        <f t="shared" si="3"/>
        <v>-0.28137363224328338</v>
      </c>
      <c r="M17" s="3106" t="str">
        <f t="shared" si="4"/>
        <v>NA</v>
      </c>
      <c r="N17" s="3057">
        <f t="shared" si="10"/>
        <v>160.85759308091355</v>
      </c>
      <c r="O17" s="3057" t="str">
        <f t="shared" si="10"/>
        <v>IE</v>
      </c>
      <c r="P17" s="3057">
        <f t="shared" si="10"/>
        <v>160.85759308091355</v>
      </c>
      <c r="Q17" s="3057">
        <f t="shared" si="10"/>
        <v>13.263266686321753</v>
      </c>
      <c r="R17" s="3514">
        <f t="shared" si="10"/>
        <v>5.3593874631987424</v>
      </c>
      <c r="S17" s="3514">
        <f t="shared" si="10"/>
        <v>-30.608430196855249</v>
      </c>
      <c r="T17" s="3514" t="str">
        <f t="shared" si="10"/>
        <v>NO</v>
      </c>
      <c r="U17" s="4262">
        <f t="shared" si="10"/>
        <v>-545.8633291231223</v>
      </c>
      <c r="W17" s="2048"/>
    </row>
    <row r="18" spans="2:23" ht="18" customHeight="1" x14ac:dyDescent="0.2">
      <c r="B18" s="478"/>
      <c r="C18" s="498" t="s">
        <v>409</v>
      </c>
      <c r="D18" s="3509">
        <f>IF(SUM(E18:F18)=0,E18,SUM(E18:F18))</f>
        <v>108.78215543093376</v>
      </c>
      <c r="E18" s="3510">
        <v>108.78215543093376</v>
      </c>
      <c r="F18" s="3496" t="s">
        <v>199</v>
      </c>
      <c r="G18" s="3500">
        <f t="shared" si="6"/>
        <v>1.478713052188442</v>
      </c>
      <c r="H18" s="3057" t="str">
        <f t="shared" si="6"/>
        <v>NA</v>
      </c>
      <c r="I18" s="3057">
        <f t="shared" si="6"/>
        <v>1.478713052188442</v>
      </c>
      <c r="J18" s="3057">
        <f t="shared" si="6"/>
        <v>0.12192502192827624</v>
      </c>
      <c r="K18" s="3057">
        <f t="shared" si="6"/>
        <v>4.9267156382109378E-2</v>
      </c>
      <c r="L18" s="3057">
        <f t="shared" si="3"/>
        <v>-0.28137363224328338</v>
      </c>
      <c r="M18" s="3106" t="str">
        <f t="shared" si="4"/>
        <v>NA</v>
      </c>
      <c r="N18" s="2917">
        <v>160.85759308091355</v>
      </c>
      <c r="O18" s="2917" t="s">
        <v>274</v>
      </c>
      <c r="P18" s="3087">
        <f>IF(SUM(N18:O18)=0,N18,SUM(N18:O18))</f>
        <v>160.85759308091355</v>
      </c>
      <c r="Q18" s="2917">
        <v>13.263266686321753</v>
      </c>
      <c r="R18" s="2918">
        <v>5.3593874631987424</v>
      </c>
      <c r="S18" s="2918">
        <v>-30.608430196855249</v>
      </c>
      <c r="T18" s="2918" t="s">
        <v>199</v>
      </c>
      <c r="U18" s="4262">
        <f t="shared" ref="U18" si="11">IF(SUM(P18:T18)=0,P18,SUM(P18:T18)*-44/12)</f>
        <v>-545.8633291231223</v>
      </c>
      <c r="W18" s="2424"/>
    </row>
    <row r="19" spans="2:23" ht="18" customHeight="1" x14ac:dyDescent="0.2">
      <c r="B19" s="477" t="s">
        <v>1345</v>
      </c>
      <c r="C19" s="494"/>
      <c r="D19" s="3504">
        <f>IF(SUM(D20:D22)=0,"IE",SUM(D20:D22))</f>
        <v>14897.648042387844</v>
      </c>
      <c r="E19" s="3512">
        <f t="shared" ref="E19:U19" si="12">IF(SUM(E20:E22)=0,"IE",SUM(E20:E22))</f>
        <v>14897.648042387844</v>
      </c>
      <c r="F19" s="3513" t="str">
        <f t="shared" si="12"/>
        <v>IE</v>
      </c>
      <c r="G19" s="3500">
        <f t="shared" si="6"/>
        <v>0.90199401326557971</v>
      </c>
      <c r="H19" s="3057">
        <f t="shared" si="6"/>
        <v>-2.0394741596419217E-5</v>
      </c>
      <c r="I19" s="3057">
        <f t="shared" si="6"/>
        <v>0.90197361852398328</v>
      </c>
      <c r="J19" s="3057">
        <f t="shared" si="6"/>
        <v>9.5534654150124954E-3</v>
      </c>
      <c r="K19" s="3057">
        <f t="shared" si="6"/>
        <v>-2.0718667533110493E-2</v>
      </c>
      <c r="L19" s="3057">
        <f t="shared" si="3"/>
        <v>-0.10860563459850292</v>
      </c>
      <c r="M19" s="3106" t="str">
        <f t="shared" si="4"/>
        <v>NA</v>
      </c>
      <c r="N19" s="3057">
        <f t="shared" si="12"/>
        <v>13437.589345971519</v>
      </c>
      <c r="O19" s="3057">
        <f t="shared" si="12"/>
        <v>-0.30383368221890067</v>
      </c>
      <c r="P19" s="3057">
        <f t="shared" si="12"/>
        <v>13437.2855122893</v>
      </c>
      <c r="Q19" s="3057">
        <f t="shared" si="12"/>
        <v>142.32416533798087</v>
      </c>
      <c r="R19" s="3514">
        <f t="shared" si="12"/>
        <v>-308.65941681552812</v>
      </c>
      <c r="S19" s="3514">
        <f t="shared" si="12"/>
        <v>-1617.9685196686764</v>
      </c>
      <c r="T19" s="3514" t="str">
        <f t="shared" si="12"/>
        <v>IE</v>
      </c>
      <c r="U19" s="4262">
        <f t="shared" si="12"/>
        <v>-42727.599717524616</v>
      </c>
      <c r="W19" s="2048"/>
    </row>
    <row r="20" spans="2:23" ht="18" customHeight="1" x14ac:dyDescent="0.2">
      <c r="B20" s="486"/>
      <c r="C20" s="498" t="s">
        <v>1346</v>
      </c>
      <c r="D20" s="3509">
        <f>IF(SUM(E20:F20)=0,E20,SUM(E20:F20))</f>
        <v>3779.4552538861572</v>
      </c>
      <c r="E20" s="3510">
        <v>3779.4552538861572</v>
      </c>
      <c r="F20" s="3496" t="s">
        <v>199</v>
      </c>
      <c r="G20" s="3500">
        <f t="shared" si="6"/>
        <v>1.4335611001876674</v>
      </c>
      <c r="H20" s="3057" t="str">
        <f t="shared" si="6"/>
        <v>NA</v>
      </c>
      <c r="I20" s="3057">
        <f t="shared" si="6"/>
        <v>1.4335611001876674</v>
      </c>
      <c r="J20" s="3057">
        <f t="shared" si="6"/>
        <v>0.11407646338107355</v>
      </c>
      <c r="K20" s="3057">
        <f t="shared" si="6"/>
        <v>4.8817774836796696E-2</v>
      </c>
      <c r="L20" s="3057">
        <f t="shared" si="3"/>
        <v>-0.36247882332371062</v>
      </c>
      <c r="M20" s="3106" t="str">
        <f t="shared" si="4"/>
        <v>NA</v>
      </c>
      <c r="N20" s="2917">
        <v>5418.080031871099</v>
      </c>
      <c r="O20" s="2917" t="s">
        <v>274</v>
      </c>
      <c r="P20" s="3087">
        <f>IF(SUM(N20:O20)=0,N20,SUM(N20:O20))</f>
        <v>5418.080031871099</v>
      </c>
      <c r="Q20" s="2917">
        <v>431.14688887035027</v>
      </c>
      <c r="R20" s="2918">
        <v>184.50459558996272</v>
      </c>
      <c r="S20" s="2918">
        <v>-1369.9724932332701</v>
      </c>
      <c r="T20" s="2918" t="s">
        <v>199</v>
      </c>
      <c r="U20" s="4262">
        <f t="shared" ref="U20:U22" si="13">IF(SUM(P20:T20)=0,P20,SUM(P20:T20)*-44/12)</f>
        <v>-17100.449751359854</v>
      </c>
      <c r="W20" s="2424"/>
    </row>
    <row r="21" spans="2:23" ht="18" customHeight="1" x14ac:dyDescent="0.2">
      <c r="B21" s="490"/>
      <c r="C21" s="498" t="s">
        <v>1347</v>
      </c>
      <c r="D21" s="3509">
        <f>IF(SUM(E21:F21)=0,E21,SUM(E21:F21))</f>
        <v>11118.192788501687</v>
      </c>
      <c r="E21" s="3510">
        <v>11118.192788501687</v>
      </c>
      <c r="F21" s="3496" t="s">
        <v>199</v>
      </c>
      <c r="G21" s="3500">
        <f t="shared" si="6"/>
        <v>0.72129611949111994</v>
      </c>
      <c r="H21" s="3057" t="str">
        <f t="shared" si="6"/>
        <v>NA</v>
      </c>
      <c r="I21" s="3057">
        <f t="shared" si="6"/>
        <v>0.72129611949111994</v>
      </c>
      <c r="J21" s="3057">
        <f t="shared" si="6"/>
        <v>-2.5965597027593827E-2</v>
      </c>
      <c r="K21" s="3057">
        <f t="shared" si="6"/>
        <v>-4.4356490464485886E-2</v>
      </c>
      <c r="L21" s="3057">
        <f t="shared" si="3"/>
        <v>-2.2305425994400902E-2</v>
      </c>
      <c r="M21" s="3106" t="str">
        <f t="shared" si="4"/>
        <v>NA</v>
      </c>
      <c r="N21" s="2917">
        <v>8019.5093141004199</v>
      </c>
      <c r="O21" s="2917" t="s">
        <v>274</v>
      </c>
      <c r="P21" s="3087">
        <f t="shared" ref="P21:P28" si="14">IF(SUM(N21:O21)=0,N21,SUM(N21:O21))</f>
        <v>8019.5093141004199</v>
      </c>
      <c r="Q21" s="2917">
        <v>-288.6905136213345</v>
      </c>
      <c r="R21" s="2918">
        <v>-493.16401240549084</v>
      </c>
      <c r="S21" s="2918">
        <v>-247.99602643540618</v>
      </c>
      <c r="T21" s="2918" t="s">
        <v>199</v>
      </c>
      <c r="U21" s="4262">
        <f t="shared" si="13"/>
        <v>-25628.748792673359</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-0.30383368221890067</v>
      </c>
      <c r="P22" s="3087">
        <f t="shared" si="14"/>
        <v>-0.30383368221890067</v>
      </c>
      <c r="Q22" s="2917">
        <v>-0.13220991103489504</v>
      </c>
      <c r="R22" s="2918" t="s">
        <v>205</v>
      </c>
      <c r="S22" s="2918" t="s">
        <v>205</v>
      </c>
      <c r="T22" s="2918" t="s">
        <v>205</v>
      </c>
      <c r="U22" s="4262">
        <f t="shared" si="13"/>
        <v>1.5988265085972511</v>
      </c>
      <c r="W22" s="2424"/>
    </row>
    <row r="23" spans="2:23" ht="18" customHeight="1" x14ac:dyDescent="0.2">
      <c r="B23" s="477" t="s">
        <v>1348</v>
      </c>
      <c r="C23" s="494"/>
      <c r="D23" s="3509">
        <f>D24</f>
        <v>173.71488672021781</v>
      </c>
      <c r="E23" s="3512" t="str">
        <f t="shared" ref="E23" si="15">E24</f>
        <v>NO</v>
      </c>
      <c r="F23" s="3513">
        <f t="shared" ref="F23" si="16">F24</f>
        <v>173.71488672021781</v>
      </c>
      <c r="G23" s="3500">
        <f t="shared" si="6"/>
        <v>7.3514961262407219</v>
      </c>
      <c r="H23" s="3057" t="str">
        <f t="shared" si="6"/>
        <v>NA</v>
      </c>
      <c r="I23" s="3057">
        <f t="shared" si="6"/>
        <v>7.3514961262407219</v>
      </c>
      <c r="J23" s="3057">
        <f t="shared" si="6"/>
        <v>-0.33567932800898204</v>
      </c>
      <c r="K23" s="3057">
        <f t="shared" si="6"/>
        <v>0.31168781256896788</v>
      </c>
      <c r="L23" s="3057" t="str">
        <f t="shared" si="3"/>
        <v>NA</v>
      </c>
      <c r="M23" s="3106">
        <f t="shared" si="4"/>
        <v>6.2054653321920401E-2</v>
      </c>
      <c r="N23" s="3057">
        <f t="shared" ref="N23" si="17">N24</f>
        <v>1277.064316794027</v>
      </c>
      <c r="O23" s="3057" t="str">
        <f t="shared" ref="O23" si="18">O24</f>
        <v>IE</v>
      </c>
      <c r="P23" s="3057">
        <f t="shared" ref="P23" si="19">P24</f>
        <v>1277.064316794027</v>
      </c>
      <c r="Q23" s="3057">
        <f t="shared" ref="Q23" si="20">Q24</f>
        <v>-58.312496439399148</v>
      </c>
      <c r="R23" s="3514">
        <f t="shared" ref="R23" si="21">R24</f>
        <v>54.144813052490733</v>
      </c>
      <c r="S23" s="3514" t="str">
        <f t="shared" ref="S23" si="22">S24</f>
        <v>NO</v>
      </c>
      <c r="T23" s="3514">
        <f t="shared" ref="T23" si="23">T24</f>
        <v>10.779817072279791</v>
      </c>
      <c r="U23" s="4262">
        <f t="shared" ref="U23" si="24">U24</f>
        <v>-4706.8136517577941</v>
      </c>
      <c r="W23" s="2048"/>
    </row>
    <row r="24" spans="2:23" ht="18" customHeight="1" x14ac:dyDescent="0.2">
      <c r="B24" s="478"/>
      <c r="C24" s="498" t="s">
        <v>409</v>
      </c>
      <c r="D24" s="3509">
        <f>IF(SUM(E24:F24)=0,E24,SUM(E24:F24))</f>
        <v>173.71488672021781</v>
      </c>
      <c r="E24" s="3510" t="s">
        <v>199</v>
      </c>
      <c r="F24" s="3496">
        <v>173.71488672021781</v>
      </c>
      <c r="G24" s="3500">
        <f t="shared" si="6"/>
        <v>7.3514961262407219</v>
      </c>
      <c r="H24" s="3057" t="str">
        <f t="shared" si="6"/>
        <v>NA</v>
      </c>
      <c r="I24" s="3057">
        <f t="shared" si="6"/>
        <v>7.3514961262407219</v>
      </c>
      <c r="J24" s="3057">
        <f t="shared" si="6"/>
        <v>-0.33567932800898204</v>
      </c>
      <c r="K24" s="3057">
        <f t="shared" si="6"/>
        <v>0.31168781256896788</v>
      </c>
      <c r="L24" s="3057" t="str">
        <f t="shared" si="3"/>
        <v>NA</v>
      </c>
      <c r="M24" s="3106">
        <f t="shared" si="4"/>
        <v>6.2054653321920401E-2</v>
      </c>
      <c r="N24" s="2917">
        <v>1277.064316794027</v>
      </c>
      <c r="O24" s="2917" t="s">
        <v>274</v>
      </c>
      <c r="P24" s="3087">
        <f t="shared" si="14"/>
        <v>1277.064316794027</v>
      </c>
      <c r="Q24" s="2917">
        <v>-58.312496439399148</v>
      </c>
      <c r="R24" s="2918">
        <v>54.144813052490733</v>
      </c>
      <c r="S24" s="2918" t="s">
        <v>199</v>
      </c>
      <c r="T24" s="2918">
        <v>10.779817072279791</v>
      </c>
      <c r="U24" s="4262">
        <f t="shared" ref="U24" si="25">IF(SUM(P24:T24)=0,P24,SUM(P24:T24)*-44/12)</f>
        <v>-4706.8136517577941</v>
      </c>
      <c r="W24" s="2424"/>
    </row>
    <row r="25" spans="2:23" ht="18" customHeight="1" x14ac:dyDescent="0.2">
      <c r="B25" s="477" t="s">
        <v>1349</v>
      </c>
      <c r="C25" s="494"/>
      <c r="D25" s="3509">
        <f>D26</f>
        <v>81.841977968958375</v>
      </c>
      <c r="E25" s="3512">
        <f t="shared" ref="E25" si="26">E26</f>
        <v>81.841977968958375</v>
      </c>
      <c r="F25" s="3513" t="str">
        <f t="shared" ref="F25" si="27">F26</f>
        <v>NO</v>
      </c>
      <c r="G25" s="3500">
        <f t="shared" si="6"/>
        <v>1.660332344013679</v>
      </c>
      <c r="H25" s="3057" t="str">
        <f t="shared" si="6"/>
        <v>NA</v>
      </c>
      <c r="I25" s="3057">
        <f t="shared" si="6"/>
        <v>1.660332344013679</v>
      </c>
      <c r="J25" s="3057">
        <f t="shared" si="6"/>
        <v>0.14455869917480654</v>
      </c>
      <c r="K25" s="3057">
        <f t="shared" si="6"/>
        <v>6.9633101684537069E-2</v>
      </c>
      <c r="L25" s="3057">
        <f t="shared" si="3"/>
        <v>-0.59661667946467634</v>
      </c>
      <c r="M25" s="3106" t="str">
        <f t="shared" si="4"/>
        <v>NA</v>
      </c>
      <c r="N25" s="3057">
        <f t="shared" ref="N25" si="28">N26</f>
        <v>135.88488311991654</v>
      </c>
      <c r="O25" s="3057" t="str">
        <f t="shared" ref="O25" si="29">O26</f>
        <v>IE</v>
      </c>
      <c r="P25" s="3057">
        <f t="shared" ref="P25" si="30">P26</f>
        <v>135.88488311991654</v>
      </c>
      <c r="Q25" s="3057">
        <f t="shared" ref="Q25" si="31">Q26</f>
        <v>11.830969873085799</v>
      </c>
      <c r="R25" s="3514">
        <f t="shared" ref="R25" si="32">R26</f>
        <v>5.6989107739761211</v>
      </c>
      <c r="S25" s="3514">
        <f t="shared" ref="S25" si="33">S26</f>
        <v>-48.828289136661141</v>
      </c>
      <c r="T25" s="3514" t="str">
        <f t="shared" ref="T25" si="34">T26</f>
        <v>NO</v>
      </c>
      <c r="U25" s="4262">
        <f t="shared" ref="U25" si="35">U26</f>
        <v>-383.48374031116344</v>
      </c>
      <c r="W25" s="2048"/>
    </row>
    <row r="26" spans="2:23" ht="18" customHeight="1" x14ac:dyDescent="0.2">
      <c r="B26" s="478"/>
      <c r="C26" s="498" t="s">
        <v>409</v>
      </c>
      <c r="D26" s="3509">
        <f>IF(SUM(E26:F26)=0,E26,SUM(E26:F26))</f>
        <v>81.841977968958375</v>
      </c>
      <c r="E26" s="3510">
        <v>81.841977968958375</v>
      </c>
      <c r="F26" s="3496" t="s">
        <v>199</v>
      </c>
      <c r="G26" s="3500">
        <f t="shared" si="6"/>
        <v>1.660332344013679</v>
      </c>
      <c r="H26" s="3057" t="str">
        <f t="shared" si="6"/>
        <v>NA</v>
      </c>
      <c r="I26" s="3057">
        <f t="shared" si="6"/>
        <v>1.660332344013679</v>
      </c>
      <c r="J26" s="3057">
        <f t="shared" si="6"/>
        <v>0.14455869917480654</v>
      </c>
      <c r="K26" s="3057">
        <f t="shared" si="6"/>
        <v>6.9633101684537069E-2</v>
      </c>
      <c r="L26" s="3057">
        <f t="shared" si="3"/>
        <v>-0.59661667946467634</v>
      </c>
      <c r="M26" s="3106" t="str">
        <f t="shared" si="4"/>
        <v>NA</v>
      </c>
      <c r="N26" s="2917">
        <v>135.88488311991654</v>
      </c>
      <c r="O26" s="2917" t="s">
        <v>274</v>
      </c>
      <c r="P26" s="3087">
        <f t="shared" si="14"/>
        <v>135.88488311991654</v>
      </c>
      <c r="Q26" s="2917">
        <v>11.830969873085799</v>
      </c>
      <c r="R26" s="2918">
        <v>5.6989107739761211</v>
      </c>
      <c r="S26" s="2918">
        <v>-48.828289136661141</v>
      </c>
      <c r="T26" s="2918" t="s">
        <v>199</v>
      </c>
      <c r="U26" s="4262">
        <f t="shared" ref="U26" si="36">IF(SUM(P26:T26)=0,P26,SUM(P26:T26)*-44/12)</f>
        <v>-383.48374031116344</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3" t="s">
        <v>1351</v>
      </c>
      <c r="C49" s="4504"/>
      <c r="D49" s="4504"/>
      <c r="E49" s="4504"/>
      <c r="F49" s="4504"/>
      <c r="G49" s="4504"/>
      <c r="H49" s="4504"/>
      <c r="I49" s="4504"/>
      <c r="J49" s="4504"/>
      <c r="K49" s="4504"/>
      <c r="L49" s="4504"/>
      <c r="M49" s="4504"/>
      <c r="N49" s="4504"/>
      <c r="O49" s="4504"/>
      <c r="P49" s="4504"/>
      <c r="Q49" s="4504"/>
      <c r="R49" s="4504"/>
      <c r="S49" s="4504"/>
      <c r="T49" s="4504"/>
      <c r="U49" s="4505"/>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39988.187403571588</v>
      </c>
      <c r="E10" s="3523">
        <f t="shared" ref="E10:F10" si="0">IF(SUM(E11,E13)=0,"IE",SUM(E11,E13))</f>
        <v>39985.187403571588</v>
      </c>
      <c r="F10" s="3524">
        <f t="shared" si="0"/>
        <v>3</v>
      </c>
      <c r="G10" s="3500">
        <f>IFERROR(IF(SUM($D10)=0,"NA",M10/$D10),"NA")</f>
        <v>2.8534133205493292E-3</v>
      </c>
      <c r="H10" s="3523">
        <f t="shared" ref="H10:J10" si="1">IFERROR(IF(SUM($D10)=0,"NA",N10/$D10),"NA")</f>
        <v>-9.9582196344412247E-4</v>
      </c>
      <c r="I10" s="3523">
        <f t="shared" si="1"/>
        <v>1.857591357105207E-3</v>
      </c>
      <c r="J10" s="3523">
        <f t="shared" si="1"/>
        <v>-1.0384177875526908E-3</v>
      </c>
      <c r="K10" s="3525">
        <f>IFERROR(IF(SUM(E10)=0,"NA",Q10/E10),"NA")</f>
        <v>6.7858778307109222E-2</v>
      </c>
      <c r="L10" s="3524">
        <f>IFERROR(IF(SUM(F10)=0,"NA",R10/F10),"NA")</f>
        <v>-12.475</v>
      </c>
      <c r="M10" s="3526">
        <f>IF(SUM(M11,M13)=0,"IE",SUM(M11,M13))</f>
        <v>114.10282660197407</v>
      </c>
      <c r="N10" s="3523">
        <f t="shared" ref="N10:S10" si="2">IF(SUM(N11,N13)=0,"IE",SUM(N11,N13))</f>
        <v>-39.821115294796186</v>
      </c>
      <c r="O10" s="3527">
        <f t="shared" si="2"/>
        <v>74.281711307177886</v>
      </c>
      <c r="P10" s="3523">
        <f t="shared" si="2"/>
        <v>-41.524445091859192</v>
      </c>
      <c r="Q10" s="3525">
        <f t="shared" si="2"/>
        <v>2713.3459675871804</v>
      </c>
      <c r="R10" s="3525">
        <f t="shared" si="2"/>
        <v>-37.424999999999997</v>
      </c>
      <c r="S10" s="3528">
        <f t="shared" si="2"/>
        <v>-9931.8201906091617</v>
      </c>
      <c r="U10" s="2287"/>
    </row>
    <row r="11" spans="2:21" ht="18" customHeight="1" x14ac:dyDescent="0.2">
      <c r="B11" s="489" t="s">
        <v>1256</v>
      </c>
      <c r="C11" s="2282"/>
      <c r="D11" s="3529">
        <f>D12</f>
        <v>37707.334421767002</v>
      </c>
      <c r="E11" s="3057">
        <f t="shared" ref="E11" si="3">E12</f>
        <v>37707.334421767002</v>
      </c>
      <c r="F11" s="3057" t="str">
        <f t="shared" ref="F11" si="4">F12</f>
        <v>IE</v>
      </c>
      <c r="G11" s="3500">
        <f t="shared" ref="G11:G23" si="5">IFERROR(IF(SUM($D11)=0,"NA",M11/$D11),"NA")</f>
        <v>3.0260114736751819E-3</v>
      </c>
      <c r="H11" s="3057" t="str">
        <f t="shared" ref="H11:H23" si="6">IFERROR(IF(SUM($D11)=0,"NA",N11/$D11),"NA")</f>
        <v>NA</v>
      </c>
      <c r="I11" s="3057">
        <f t="shared" ref="I11:I23" si="7">IFERROR(IF(SUM($D11)=0,"NA",O11/$D11),"NA")</f>
        <v>3.0260114736751819E-3</v>
      </c>
      <c r="J11" s="3057" t="str">
        <f t="shared" ref="J11:J23" si="8">IFERROR(IF(SUM($D11)=0,"NA",P11/$D11),"NA")</f>
        <v>NA</v>
      </c>
      <c r="K11" s="3514">
        <f t="shared" ref="K11:K23" si="9">IFERROR(IF(SUM(E11)=0,"NA",Q11/E11),"NA")</f>
        <v>8.2849197453326848E-2</v>
      </c>
      <c r="L11" s="3106" t="str">
        <f t="shared" ref="L11:L23" si="10">IFERROR(IF(SUM(F11)=0,"NA",R11/F11),"NA")</f>
        <v>NA</v>
      </c>
      <c r="M11" s="3530">
        <f t="shared" ref="M11" si="11">M12</f>
        <v>114.10282660197407</v>
      </c>
      <c r="N11" s="3531" t="str">
        <f t="shared" ref="N11" si="12">N12</f>
        <v>IE</v>
      </c>
      <c r="O11" s="3532">
        <f t="shared" ref="O11" si="13">O12</f>
        <v>114.10282660197407</v>
      </c>
      <c r="P11" s="3531" t="str">
        <f t="shared" ref="P11" si="14">P12</f>
        <v>NA</v>
      </c>
      <c r="Q11" s="3533">
        <f t="shared" ref="Q11" si="15">Q12</f>
        <v>3124.0223949476026</v>
      </c>
      <c r="R11" s="3533" t="str">
        <f t="shared" ref="R11" si="16">R12</f>
        <v>IE</v>
      </c>
      <c r="S11" s="3534">
        <f t="shared" ref="S11" si="17">S12</f>
        <v>-11873.125812348446</v>
      </c>
      <c r="U11" s="2284"/>
    </row>
    <row r="12" spans="2:21" ht="18" customHeight="1" x14ac:dyDescent="0.2">
      <c r="B12" s="491"/>
      <c r="C12" s="498" t="s">
        <v>409</v>
      </c>
      <c r="D12" s="3509">
        <f>IF(SUM(E12:F12)=0,E12,SUM(E12:F12))</f>
        <v>37707.334421767002</v>
      </c>
      <c r="E12" s="3510">
        <v>37707.334421767002</v>
      </c>
      <c r="F12" s="3496" t="s">
        <v>274</v>
      </c>
      <c r="G12" s="3500">
        <f t="shared" si="5"/>
        <v>3.0260114736751819E-3</v>
      </c>
      <c r="H12" s="3057" t="str">
        <f t="shared" si="6"/>
        <v>NA</v>
      </c>
      <c r="I12" s="3057">
        <f t="shared" si="7"/>
        <v>3.0260114736751819E-3</v>
      </c>
      <c r="J12" s="3057" t="str">
        <f t="shared" si="8"/>
        <v>NA</v>
      </c>
      <c r="K12" s="3514">
        <f t="shared" si="9"/>
        <v>8.2849197453326848E-2</v>
      </c>
      <c r="L12" s="3106" t="str">
        <f t="shared" si="10"/>
        <v>NA</v>
      </c>
      <c r="M12" s="2917">
        <v>114.10282660197407</v>
      </c>
      <c r="N12" s="2917" t="s">
        <v>274</v>
      </c>
      <c r="O12" s="3087">
        <f>IF(SUM(M12:N12)=0,M12,SUM(M12:N12))</f>
        <v>114.10282660197407</v>
      </c>
      <c r="P12" s="2917" t="s">
        <v>205</v>
      </c>
      <c r="Q12" s="2918">
        <v>3124.0223949476026</v>
      </c>
      <c r="R12" s="2918" t="s">
        <v>274</v>
      </c>
      <c r="S12" s="3534">
        <f>IF(SUM(O12:R12)=0,Q12,SUM(O12:R12)*-44/12)</f>
        <v>-11873.125812348446</v>
      </c>
      <c r="U12" s="2424"/>
    </row>
    <row r="13" spans="2:21" ht="18" customHeight="1" x14ac:dyDescent="0.2">
      <c r="B13" s="475" t="s">
        <v>1375</v>
      </c>
      <c r="C13" s="494"/>
      <c r="D13" s="3529">
        <f>IF(SUM(D14,D16,D18,D20,D22)=0,"IE",SUM(D14,D16,D18,D20,D22))</f>
        <v>2280.852981804584</v>
      </c>
      <c r="E13" s="3531">
        <f t="shared" ref="E13:F13" si="18">IF(SUM(E14,E16,E18,E20,E22)=0,"IE",SUM(E14,E16,E18,E20,E22))</f>
        <v>2277.852981804584</v>
      </c>
      <c r="F13" s="3535">
        <f t="shared" si="18"/>
        <v>3</v>
      </c>
      <c r="G13" s="3500" t="str">
        <f t="shared" si="5"/>
        <v>NA</v>
      </c>
      <c r="H13" s="3057">
        <f t="shared" si="6"/>
        <v>-1.7458869823030063E-2</v>
      </c>
      <c r="I13" s="3057">
        <f t="shared" si="7"/>
        <v>-1.7458869823030063E-2</v>
      </c>
      <c r="J13" s="3057">
        <f t="shared" si="8"/>
        <v>-1.82056649083123E-2</v>
      </c>
      <c r="K13" s="3514">
        <f t="shared" si="9"/>
        <v>-0.18029101554880503</v>
      </c>
      <c r="L13" s="3106">
        <f t="shared" si="10"/>
        <v>-12.475</v>
      </c>
      <c r="M13" s="3530" t="str">
        <f>IF(SUM(M14,M16,M18,M20,M22)=0,"IE",SUM(M14,M16,M18,M20,M22))</f>
        <v>IE</v>
      </c>
      <c r="N13" s="3531">
        <f t="shared" ref="N13" si="19">IF(SUM(N14,N16,N18,N20,N22)=0,"IE",SUM(N14,N16,N18,N20,N22))</f>
        <v>-39.821115294796186</v>
      </c>
      <c r="O13" s="3532">
        <f t="shared" ref="O13" si="20">IF(SUM(O14,O16,O18,O20,O22)=0,"IE",SUM(O14,O16,O18,O20,O22))</f>
        <v>-39.821115294796186</v>
      </c>
      <c r="P13" s="3532">
        <f t="shared" ref="P13" si="21">IF(SUM(P14,P16,P18,P20,P22)=0,"IE",SUM(P14,P16,P18,P20,P22))</f>
        <v>-41.524445091859192</v>
      </c>
      <c r="Q13" s="3532">
        <f t="shared" ref="Q13" si="22">IF(SUM(Q14,Q16,Q18,Q20,Q22)=0,"IE",SUM(Q14,Q16,Q18,Q20,Q22))</f>
        <v>-410.67642736042217</v>
      </c>
      <c r="R13" s="3532">
        <f t="shared" ref="R13" si="23">IF(SUM(R14,R16,R18,R20,R22)=0,"IE",SUM(R14,R16,R18,R20,R22))</f>
        <v>-37.424999999999997</v>
      </c>
      <c r="S13" s="3534">
        <f t="shared" ref="S13" si="24">IF(SUM(S14,S16,S18,S20,S22)=0,"IE",SUM(S14,S16,S18,S20,S22))</f>
        <v>1941.3056217392843</v>
      </c>
      <c r="U13" s="493"/>
    </row>
    <row r="14" spans="2:21" ht="18" customHeight="1" x14ac:dyDescent="0.2">
      <c r="B14" s="477" t="s">
        <v>1376</v>
      </c>
      <c r="C14" s="494"/>
      <c r="D14" s="3529">
        <f>D15</f>
        <v>2268.192040776772</v>
      </c>
      <c r="E14" s="3057">
        <f t="shared" ref="E14" si="25">E15</f>
        <v>2268.192040776772</v>
      </c>
      <c r="F14" s="3057" t="str">
        <f t="shared" ref="F14" si="26">F15</f>
        <v>IE</v>
      </c>
      <c r="G14" s="3500" t="str">
        <f t="shared" si="5"/>
        <v>NA</v>
      </c>
      <c r="H14" s="3057">
        <f t="shared" si="6"/>
        <v>-1.755632441120767E-2</v>
      </c>
      <c r="I14" s="3057">
        <f t="shared" si="7"/>
        <v>-1.755632441120767E-2</v>
      </c>
      <c r="J14" s="3057">
        <f t="shared" si="8"/>
        <v>-1.8307288071445046E-2</v>
      </c>
      <c r="K14" s="3514">
        <f t="shared" si="9"/>
        <v>-0.16861564007840488</v>
      </c>
      <c r="L14" s="3106" t="str">
        <f t="shared" si="10"/>
        <v>NA</v>
      </c>
      <c r="M14" s="3530" t="str">
        <f t="shared" ref="M14" si="27">M15</f>
        <v>IE</v>
      </c>
      <c r="N14" s="3531">
        <f t="shared" ref="N14" si="28">N15</f>
        <v>-39.821115294796186</v>
      </c>
      <c r="O14" s="3532">
        <f t="shared" ref="O14" si="29">O15</f>
        <v>-39.821115294796186</v>
      </c>
      <c r="P14" s="3531">
        <f t="shared" ref="P14" si="30">P15</f>
        <v>-41.524445091859192</v>
      </c>
      <c r="Q14" s="3533">
        <f t="shared" ref="Q14" si="31">Q15</f>
        <v>-382.45265277631881</v>
      </c>
      <c r="R14" s="3533" t="str">
        <f t="shared" ref="R14" si="32">R15</f>
        <v>IE</v>
      </c>
      <c r="S14" s="3534">
        <f t="shared" ref="S14" si="33">S15</f>
        <v>1700.5934482642388</v>
      </c>
      <c r="U14" s="493"/>
    </row>
    <row r="15" spans="2:21" ht="18" customHeight="1" x14ac:dyDescent="0.2">
      <c r="B15" s="491"/>
      <c r="C15" s="498" t="s">
        <v>409</v>
      </c>
      <c r="D15" s="3509">
        <f>IF(SUM(E15:F15)=0,E15,SUM(E15:F15))</f>
        <v>2268.192040776772</v>
      </c>
      <c r="E15" s="3510">
        <v>2268.192040776772</v>
      </c>
      <c r="F15" s="3496" t="s">
        <v>274</v>
      </c>
      <c r="G15" s="3500" t="str">
        <f t="shared" si="5"/>
        <v>NA</v>
      </c>
      <c r="H15" s="3057">
        <f t="shared" si="6"/>
        <v>-1.755632441120767E-2</v>
      </c>
      <c r="I15" s="3057">
        <f t="shared" si="7"/>
        <v>-1.755632441120767E-2</v>
      </c>
      <c r="J15" s="3057">
        <f t="shared" si="8"/>
        <v>-1.8307288071445046E-2</v>
      </c>
      <c r="K15" s="3514">
        <f t="shared" si="9"/>
        <v>-0.16861564007840488</v>
      </c>
      <c r="L15" s="3106" t="str">
        <f t="shared" si="10"/>
        <v>NA</v>
      </c>
      <c r="M15" s="2917" t="s">
        <v>274</v>
      </c>
      <c r="N15" s="2917">
        <v>-39.821115294796186</v>
      </c>
      <c r="O15" s="3087">
        <f>IF(SUM(M15:N15)=0,M15,SUM(M15:N15))</f>
        <v>-39.821115294796186</v>
      </c>
      <c r="P15" s="2917">
        <v>-41.524445091859192</v>
      </c>
      <c r="Q15" s="2918">
        <v>-382.45265277631881</v>
      </c>
      <c r="R15" s="2918" t="s">
        <v>274</v>
      </c>
      <c r="S15" s="3534">
        <f>IF(SUM(O15:R15)=0,Q15,SUM(O15:R15)*-44/12)</f>
        <v>1700.5934482642388</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3" t="s">
        <v>1381</v>
      </c>
      <c r="C46" s="4504"/>
      <c r="D46" s="4504"/>
      <c r="E46" s="4504"/>
      <c r="F46" s="4504"/>
      <c r="G46" s="4504"/>
      <c r="H46" s="4504"/>
      <c r="I46" s="4504"/>
      <c r="J46" s="4504"/>
      <c r="K46" s="4504"/>
      <c r="L46" s="4504"/>
      <c r="M46" s="4504"/>
      <c r="N46" s="4504"/>
      <c r="O46" s="4504"/>
      <c r="P46" s="4504"/>
      <c r="Q46" s="4504"/>
      <c r="R46" s="4504"/>
      <c r="S46" s="4505"/>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515980.67582046677</v>
      </c>
      <c r="E10" s="3523">
        <f t="shared" ref="E10:F10" si="0">IF(SUM(E11,E15)=0,"IE",SUM(E11,E15))</f>
        <v>515979.67582046677</v>
      </c>
      <c r="F10" s="3524">
        <f t="shared" si="0"/>
        <v>1</v>
      </c>
      <c r="G10" s="3500">
        <f>IFERROR(IF(SUM($D10)=0,"NA",M10/$D10),"NA")</f>
        <v>5.6594483707802148E-3</v>
      </c>
      <c r="H10" s="3523">
        <f t="shared" ref="H10:J10" si="1">IFERROR(IF(SUM($D10)=0,"NA",N10/$D10),"NA")</f>
        <v>-5.6844037270717676E-3</v>
      </c>
      <c r="I10" s="3523">
        <f t="shared" si="1"/>
        <v>-2.4955356291552824E-5</v>
      </c>
      <c r="J10" s="3523">
        <f t="shared" si="1"/>
        <v>-3.1588713823971553E-3</v>
      </c>
      <c r="K10" s="3525">
        <f>IFERROR(IF(SUM(E10)=0,"NA",Q10/E10),"NA")</f>
        <v>7.7063538975016511E-3</v>
      </c>
      <c r="L10" s="3524">
        <f>IFERROR(IF(SUM(F10)=0,"NA",R10/F10),"NA")</f>
        <v>-8.7249999999999996</v>
      </c>
      <c r="M10" s="3526">
        <f>IF(SUM(M11,M15)=0,"IE",SUM(M11,M15))</f>
        <v>2920.165995126215</v>
      </c>
      <c r="N10" s="3523">
        <f t="shared" ref="N10:S10" si="2">IF(SUM(N11,N15)=0,"IE",SUM(N11,N15))</f>
        <v>-2933.0424767308709</v>
      </c>
      <c r="O10" s="3527">
        <f t="shared" si="2"/>
        <v>-12.876481604655964</v>
      </c>
      <c r="P10" s="3523">
        <f t="shared" si="2"/>
        <v>-1629.9165907192164</v>
      </c>
      <c r="Q10" s="3525">
        <f t="shared" si="2"/>
        <v>3976.3219857906925</v>
      </c>
      <c r="R10" s="3525">
        <f t="shared" si="2"/>
        <v>-8.7249999999999996</v>
      </c>
      <c r="S10" s="3528">
        <f t="shared" si="2"/>
        <v>-8524.2810160450099</v>
      </c>
      <c r="U10" s="2287"/>
    </row>
    <row r="11" spans="2:21" ht="18" customHeight="1" x14ac:dyDescent="0.2">
      <c r="B11" s="483" t="s">
        <v>1259</v>
      </c>
      <c r="C11" s="473"/>
      <c r="D11" s="3539">
        <f>IF(SUM(D12:D14)=0,"IE",SUM(D12:D14))</f>
        <v>502271.769219212</v>
      </c>
      <c r="E11" s="3505">
        <f t="shared" ref="E11:F11" si="3">IF(SUM(E12:E14)=0,"IE",SUM(E12:E14))</f>
        <v>502271.769219212</v>
      </c>
      <c r="F11" s="3506" t="str">
        <f t="shared" si="3"/>
        <v>IE</v>
      </c>
      <c r="G11" s="3539">
        <f t="shared" ref="G11:G26" si="4">IFERROR(IF(SUM($D11)=0,"NA",M11/$D11),"NA")</f>
        <v>5.7873064883444004E-3</v>
      </c>
      <c r="H11" s="3087" t="str">
        <f t="shared" ref="H11:H26" si="5">IFERROR(IF(SUM($D11)=0,"NA",N11/$D11),"NA")</f>
        <v>NA</v>
      </c>
      <c r="I11" s="3087">
        <f t="shared" ref="I11:I26" si="6">IFERROR(IF(SUM($D11)=0,"NA",O11/$D11),"NA")</f>
        <v>5.7873064883444004E-3</v>
      </c>
      <c r="J11" s="3087">
        <f t="shared" ref="J11:J26" si="7">IFERROR(IF(SUM($D11)=0,"NA",P11/$D11),"NA")</f>
        <v>-3.4000881324278376E-4</v>
      </c>
      <c r="K11" s="3507">
        <f t="shared" ref="K11:K26" si="8">IFERROR(IF(SUM(E11)=0,"NA",Q11/E11),"NA")</f>
        <v>8.5127065677809196E-3</v>
      </c>
      <c r="L11" s="3216" t="str">
        <f t="shared" ref="L11:L26" si="9">IFERROR(IF(SUM(F11)=0,"NA",R11/F11),"NA")</f>
        <v>NA</v>
      </c>
      <c r="M11" s="3087">
        <f>IF(SUM(M12:M14)=0,"IE",SUM(M12:M14))</f>
        <v>2906.8006689145668</v>
      </c>
      <c r="N11" s="3087" t="str">
        <f t="shared" ref="N11:O11" si="10">IF(SUM(N12:N14)=0,"IE",SUM(N12:N14))</f>
        <v>IE</v>
      </c>
      <c r="O11" s="3087">
        <f t="shared" si="10"/>
        <v>2906.8006689145668</v>
      </c>
      <c r="P11" s="3087">
        <f t="shared" ref="P11" si="11">IF(SUM(P12:P14)=0,"IE",SUM(P12:P14))</f>
        <v>-170.77682817757764</v>
      </c>
      <c r="Q11" s="3507">
        <f t="shared" ref="Q11" si="12">IF(SUM(Q12:Q14)=0,"IE",SUM(Q12:Q14))</f>
        <v>4275.6921886433283</v>
      </c>
      <c r="R11" s="3507" t="str">
        <f t="shared" ref="R11" si="13">IF(SUM(R12:R14)=0,"IE",SUM(R12:R14))</f>
        <v>IE</v>
      </c>
      <c r="S11" s="3508">
        <f t="shared" ref="S11" si="14">IF(SUM(S12:S14)=0,"IE",SUM(S12:S14))</f>
        <v>-25709.625441061165</v>
      </c>
      <c r="U11" s="2423"/>
    </row>
    <row r="12" spans="2:21" ht="18" customHeight="1" x14ac:dyDescent="0.2">
      <c r="B12" s="489"/>
      <c r="C12" s="474" t="s">
        <v>1391</v>
      </c>
      <c r="D12" s="3500">
        <f>IF(SUM(E12:F12)=0,E12,SUM(E12:F12))</f>
        <v>69820.727480068104</v>
      </c>
      <c r="E12" s="3510">
        <v>69820.727480068104</v>
      </c>
      <c r="F12" s="3496" t="s">
        <v>274</v>
      </c>
      <c r="G12" s="3500">
        <f t="shared" si="4"/>
        <v>9.5055439870379704E-3</v>
      </c>
      <c r="H12" s="3057" t="str">
        <f t="shared" si="5"/>
        <v>NA</v>
      </c>
      <c r="I12" s="3057">
        <f t="shared" si="6"/>
        <v>9.5055439870379704E-3</v>
      </c>
      <c r="J12" s="3057">
        <f t="shared" si="7"/>
        <v>1.9011087974075945E-3</v>
      </c>
      <c r="K12" s="3514">
        <f t="shared" si="8"/>
        <v>7.6044351896303779E-3</v>
      </c>
      <c r="L12" s="3106" t="str">
        <f t="shared" si="9"/>
        <v>NA</v>
      </c>
      <c r="M12" s="2917">
        <v>663.68399626877817</v>
      </c>
      <c r="N12" s="2917" t="s">
        <v>274</v>
      </c>
      <c r="O12" s="3087">
        <f>IF(SUM(M12:N12)=0,M12,SUM(M12:N12))</f>
        <v>663.68399626877817</v>
      </c>
      <c r="P12" s="2917">
        <v>132.73679925375566</v>
      </c>
      <c r="Q12" s="2918">
        <v>530.94719701502265</v>
      </c>
      <c r="R12" s="2918" t="s">
        <v>274</v>
      </c>
      <c r="S12" s="3511">
        <f>IF(SUM(O12:R12)=0,Q12,SUM(O12:R12)*-44/12)</f>
        <v>-4867.0159726377069</v>
      </c>
      <c r="U12" s="2424"/>
    </row>
    <row r="13" spans="2:21" ht="18" customHeight="1" x14ac:dyDescent="0.2">
      <c r="B13" s="489"/>
      <c r="C13" s="474" t="s">
        <v>1392</v>
      </c>
      <c r="D13" s="3500">
        <f>IF(SUM(E13:F13)=0,E13,SUM(E13:F13))</f>
        <v>432451.0417391439</v>
      </c>
      <c r="E13" s="3510">
        <v>432451.0417391439</v>
      </c>
      <c r="F13" s="3496" t="s">
        <v>274</v>
      </c>
      <c r="G13" s="3500" t="str">
        <f t="shared" si="4"/>
        <v>NA</v>
      </c>
      <c r="H13" s="3057" t="str">
        <f t="shared" si="5"/>
        <v>NA</v>
      </c>
      <c r="I13" s="3057" t="str">
        <f t="shared" si="6"/>
        <v>NA</v>
      </c>
      <c r="J13" s="3057" t="str">
        <f t="shared" si="7"/>
        <v>NA</v>
      </c>
      <c r="K13" s="3514">
        <f t="shared" si="8"/>
        <v>8.6593501464777359E-3</v>
      </c>
      <c r="L13" s="3106" t="str">
        <f t="shared" si="9"/>
        <v>NA</v>
      </c>
      <c r="M13" s="2917" t="s">
        <v>205</v>
      </c>
      <c r="N13" s="2917" t="s">
        <v>205</v>
      </c>
      <c r="O13" s="3087" t="str">
        <f>IF(SUM(M13:N13)=0,M13,SUM(M13:N13))</f>
        <v>NA</v>
      </c>
      <c r="P13" s="2917" t="s">
        <v>205</v>
      </c>
      <c r="Q13" s="2918">
        <v>3744.7449916283053</v>
      </c>
      <c r="R13" s="2918" t="s">
        <v>274</v>
      </c>
      <c r="S13" s="3511">
        <f>IF(SUM(O13:R13)=0,Q13,SUM(O13:R13)*-44/12)</f>
        <v>-13730.731635970455</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2243.1166726457886</v>
      </c>
      <c r="N14" s="2917" t="s">
        <v>274</v>
      </c>
      <c r="O14" s="3087">
        <f>IF(SUM(M14:N14)=0,M14,SUM(M14:N14))</f>
        <v>2243.1166726457886</v>
      </c>
      <c r="P14" s="2917">
        <v>-303.5136274313333</v>
      </c>
      <c r="Q14" s="2918" t="s">
        <v>205</v>
      </c>
      <c r="R14" s="2918" t="s">
        <v>205</v>
      </c>
      <c r="S14" s="3511">
        <f>IF(SUM(O14:R14)=0,Q14,SUM(O14:R14)*-44/12)</f>
        <v>-7111.8778324530031</v>
      </c>
      <c r="U14" s="2424"/>
    </row>
    <row r="15" spans="2:21" ht="18" customHeight="1" x14ac:dyDescent="0.2">
      <c r="B15" s="475" t="s">
        <v>1394</v>
      </c>
      <c r="C15" s="476"/>
      <c r="D15" s="3529">
        <f>IF(SUM(D16,D19,D21,D23,D25)=0,"IE",SUM(D16,D19,D21,D23,D25))</f>
        <v>13708.906601254786</v>
      </c>
      <c r="E15" s="3531">
        <f t="shared" ref="E15:F15" si="15">IF(SUM(E16,E19,E21,E23,E25)=0,"IE",SUM(E16,E19,E21,E23,E25))</f>
        <v>13707.906601254786</v>
      </c>
      <c r="F15" s="3535">
        <f t="shared" si="15"/>
        <v>1</v>
      </c>
      <c r="G15" s="3500">
        <f t="shared" si="4"/>
        <v>9.7493743304258968E-4</v>
      </c>
      <c r="H15" s="3057">
        <f t="shared" si="5"/>
        <v>-0.21395159818671516</v>
      </c>
      <c r="I15" s="3057">
        <f t="shared" si="6"/>
        <v>-0.21297666075367255</v>
      </c>
      <c r="J15" s="3057">
        <f t="shared" si="7"/>
        <v>-0.10643735528901208</v>
      </c>
      <c r="K15" s="3514">
        <f t="shared" si="8"/>
        <v>-2.1839235673318094E-2</v>
      </c>
      <c r="L15" s="3106">
        <f t="shared" si="9"/>
        <v>-8.7249999999999996</v>
      </c>
      <c r="M15" s="3530">
        <f>IF(SUM(M16,M19,M21,M23,M25)=0,"IE",SUM(M16,M19,M21,M23,M25))</f>
        <v>13.365326211647954</v>
      </c>
      <c r="N15" s="3531">
        <f t="shared" ref="N15:S15" si="16">IF(SUM(N16,N19,N21,N23,N25)=0,"IE",SUM(N16,N19,N21,N23,N25))</f>
        <v>-2933.0424767308709</v>
      </c>
      <c r="O15" s="3532">
        <f t="shared" si="16"/>
        <v>-2919.6771505192228</v>
      </c>
      <c r="P15" s="3532">
        <f t="shared" si="16"/>
        <v>-1459.1397625416387</v>
      </c>
      <c r="Q15" s="3532">
        <f t="shared" si="16"/>
        <v>-299.37020285263611</v>
      </c>
      <c r="R15" s="3532">
        <f t="shared" si="16"/>
        <v>-8.7249999999999996</v>
      </c>
      <c r="S15" s="3534">
        <f t="shared" si="16"/>
        <v>17185.344425016156</v>
      </c>
      <c r="U15" s="2048"/>
    </row>
    <row r="16" spans="2:21" ht="18" customHeight="1" x14ac:dyDescent="0.2">
      <c r="B16" s="490" t="s">
        <v>1395</v>
      </c>
      <c r="C16" s="476"/>
      <c r="D16" s="3539">
        <f>IF(SUM(D17:D18)=0,"IE",SUM(D17:D18))</f>
        <v>13660.02916871824</v>
      </c>
      <c r="E16" s="3505">
        <f t="shared" ref="E16:F16" si="17">IF(SUM(E17:E18)=0,"IE",SUM(E17:E18))</f>
        <v>13660.02916871824</v>
      </c>
      <c r="F16" s="3506" t="str">
        <f t="shared" si="17"/>
        <v>IE</v>
      </c>
      <c r="G16" s="3500">
        <f t="shared" si="4"/>
        <v>9.7842589108483287E-4</v>
      </c>
      <c r="H16" s="3057">
        <f t="shared" si="5"/>
        <v>-0.21471714595219177</v>
      </c>
      <c r="I16" s="3057">
        <f t="shared" si="6"/>
        <v>-0.21373872006110692</v>
      </c>
      <c r="J16" s="3057">
        <f t="shared" si="7"/>
        <v>-0.10681820254696821</v>
      </c>
      <c r="K16" s="3514">
        <f t="shared" si="8"/>
        <v>-1.3248610496900168E-2</v>
      </c>
      <c r="L16" s="3106" t="str">
        <f t="shared" si="9"/>
        <v>NA</v>
      </c>
      <c r="M16" s="3057">
        <f>IF(SUM(M17:M18)=0,"IE",SUM(M17:M18))</f>
        <v>13.365326211647954</v>
      </c>
      <c r="N16" s="3057">
        <f t="shared" ref="N16:O16" si="18">IF(SUM(N17:N18)=0,"IE",SUM(N17:N18))</f>
        <v>-2933.0424767308709</v>
      </c>
      <c r="O16" s="3057">
        <f t="shared" si="18"/>
        <v>-2919.6771505192228</v>
      </c>
      <c r="P16" s="3057">
        <f t="shared" ref="P16" si="19">IF(SUM(P17:P18)=0,"IE",SUM(P17:P18))</f>
        <v>-1459.1397625416387</v>
      </c>
      <c r="Q16" s="3514">
        <f t="shared" ref="Q16" si="20">IF(SUM(Q17:Q18)=0,"IE",SUM(Q17:Q18))</f>
        <v>-180.97640583264294</v>
      </c>
      <c r="R16" s="3514" t="str">
        <f t="shared" ref="R16" si="21">IF(SUM(R17:R18)=0,"IE",SUM(R17:R18))</f>
        <v>IE</v>
      </c>
      <c r="S16" s="3511">
        <f t="shared" ref="S16" si="22">IF(SUM(S17:S18)=0,"IE",SUM(S17:S18))</f>
        <v>16719.242169276182</v>
      </c>
      <c r="U16" s="2048"/>
    </row>
    <row r="17" spans="2:21" ht="18" customHeight="1" x14ac:dyDescent="0.2">
      <c r="B17" s="490"/>
      <c r="C17" s="474" t="s">
        <v>1396</v>
      </c>
      <c r="D17" s="3500">
        <f>IF(SUM(E17:F17)=0,E17,SUM(E17:F17))</f>
        <v>13660.02916871824</v>
      </c>
      <c r="E17" s="3510">
        <v>13660.02916871824</v>
      </c>
      <c r="F17" s="3496" t="s">
        <v>274</v>
      </c>
      <c r="G17" s="3500" t="str">
        <f t="shared" si="4"/>
        <v>NA</v>
      </c>
      <c r="H17" s="3057">
        <f t="shared" si="5"/>
        <v>-0.21471714595219177</v>
      </c>
      <c r="I17" s="3057">
        <f t="shared" si="6"/>
        <v>-0.21471714595219177</v>
      </c>
      <c r="J17" s="3057">
        <f t="shared" si="7"/>
        <v>-0.10671478349257628</v>
      </c>
      <c r="K17" s="3514">
        <f t="shared" si="8"/>
        <v>-1.3248610496900168E-2</v>
      </c>
      <c r="L17" s="3106" t="str">
        <f t="shared" si="9"/>
        <v>NA</v>
      </c>
      <c r="M17" s="2917" t="s">
        <v>274</v>
      </c>
      <c r="N17" s="2917">
        <v>-2933.0424767308709</v>
      </c>
      <c r="O17" s="3087">
        <f>IF(SUM(M17:N17)=0,M17,SUM(M17:N17))</f>
        <v>-2933.0424767308709</v>
      </c>
      <c r="P17" s="2917">
        <v>-1457.7270552420437</v>
      </c>
      <c r="Q17" s="2918">
        <v>-180.97640583264294</v>
      </c>
      <c r="R17" s="2918" t="s">
        <v>274</v>
      </c>
      <c r="S17" s="3511">
        <f>IF(SUM(O17:R17)=0,Q17,SUM(O17:R17)*-44/12)</f>
        <v>16763.068438620376</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13.365326211647954</v>
      </c>
      <c r="N18" s="2917" t="s">
        <v>274</v>
      </c>
      <c r="O18" s="3087">
        <f>IF(SUM(M18:N18)=0,M18,SUM(M18:N18))</f>
        <v>13.365326211647954</v>
      </c>
      <c r="P18" s="2917">
        <v>-1.4127072995950805</v>
      </c>
      <c r="Q18" s="2918" t="s">
        <v>205</v>
      </c>
      <c r="R18" s="2918" t="s">
        <v>205</v>
      </c>
      <c r="S18" s="3511">
        <f>IF(SUM(O18:R18)=0,Q18,SUM(O18:R18)*-44/12)</f>
        <v>-43.826269344193868</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6" t="s">
        <v>1401</v>
      </c>
      <c r="C47" s="4507"/>
      <c r="D47" s="4507"/>
      <c r="E47" s="4507"/>
      <c r="F47" s="4507"/>
      <c r="G47" s="4507"/>
      <c r="H47" s="4507"/>
      <c r="I47" s="4507"/>
      <c r="J47" s="4507"/>
      <c r="K47" s="4507"/>
      <c r="L47" s="4507"/>
      <c r="M47" s="4507"/>
      <c r="N47" s="4507"/>
      <c r="O47" s="4507"/>
      <c r="P47" s="4507"/>
      <c r="Q47" s="4507"/>
      <c r="R47" s="4507"/>
      <c r="S47" s="4508"/>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13178.38227085652</v>
      </c>
      <c r="E10" s="3523">
        <f>IF(SUM(E11,E23)=0,"IE",SUM(E11,E23))</f>
        <v>13150.198941306055</v>
      </c>
      <c r="F10" s="3524">
        <f>IF(SUM(F11,F23)=0,"IE",SUM(F11,F23))</f>
        <v>28.183329550466198</v>
      </c>
      <c r="G10" s="4317">
        <f>IFERROR(IF(SUM($D10)=0,"NA",M10/$D10),"NA")</f>
        <v>2.026912900207661E-2</v>
      </c>
      <c r="H10" s="4318">
        <f t="shared" ref="H10:J10" si="0">IFERROR(IF(SUM($D10)=0,"NA",N10/$D10),"NA")</f>
        <v>-3.1232894771903259E-3</v>
      </c>
      <c r="I10" s="4319">
        <f t="shared" si="0"/>
        <v>1.7145839524886283E-2</v>
      </c>
      <c r="J10" s="4318">
        <f t="shared" si="0"/>
        <v>-2.4306603315636586E-5</v>
      </c>
      <c r="K10" s="4318">
        <f>IFERROR(IF(SUM(E10)=0,"NA",Q10/E10),"NA")</f>
        <v>-2.4360506319010297E-3</v>
      </c>
      <c r="L10" s="4320" t="str">
        <f>IFERROR(IF(SUM(F10)=0,"NA",R10/F10),"NA")</f>
        <v>NA</v>
      </c>
      <c r="M10" s="4319">
        <f t="shared" ref="M10:S10" si="1">IF(SUM(M11,M23)=0,"IE",SUM(M11,M23))</f>
        <v>267.11433028667011</v>
      </c>
      <c r="N10" s="4318">
        <f t="shared" si="1"/>
        <v>-41.15990267295772</v>
      </c>
      <c r="O10" s="4319">
        <f t="shared" si="1"/>
        <v>225.95442761371237</v>
      </c>
      <c r="P10" s="4318">
        <f t="shared" si="1"/>
        <v>-0.32032171019952749</v>
      </c>
      <c r="Q10" s="4321">
        <f t="shared" si="1"/>
        <v>-32.034550440592866</v>
      </c>
      <c r="R10" s="4321" t="str">
        <f t="shared" si="1"/>
        <v>IE</v>
      </c>
      <c r="S10" s="3528">
        <f t="shared" si="1"/>
        <v>-709.86503669737328</v>
      </c>
      <c r="U10" s="4322"/>
    </row>
    <row r="11" spans="1:23" ht="18" customHeight="1" x14ac:dyDescent="0.2">
      <c r="B11" s="491" t="s">
        <v>1262</v>
      </c>
      <c r="C11" s="473"/>
      <c r="D11" s="4323">
        <f>IF(SUM(D12,D14,D17)=0,"IE",SUM(D12,D14,D17))</f>
        <v>13131.628656884999</v>
      </c>
      <c r="E11" s="3542">
        <f t="shared" ref="E11:S11" si="2">IF(SUM(E12,E14,E17)=0,"IE",SUM(E12,E14,E17))</f>
        <v>13103.445327334533</v>
      </c>
      <c r="F11" s="3543">
        <f t="shared" si="2"/>
        <v>28.183329550466198</v>
      </c>
      <c r="G11" s="4324">
        <f t="shared" ref="G11:G56" si="3">IFERROR(IF(SUM($D11)=0,"NA",M11/$D11),"NA")</f>
        <v>2.0341294843623247E-2</v>
      </c>
      <c r="H11" s="4325">
        <f t="shared" ref="H11:H56" si="4">IFERROR(IF(SUM($D11)=0,"NA",N11/$D11),"NA")</f>
        <v>-3.0493695105935068E-3</v>
      </c>
      <c r="I11" s="4326">
        <f t="shared" ref="I11:I56" si="5">IFERROR(IF(SUM($D11)=0,"NA",O11/$D11),"NA")</f>
        <v>1.7291925333029739E-2</v>
      </c>
      <c r="J11" s="4325">
        <f t="shared" ref="J11:J56" si="6">IFERROR(IF(SUM($D11)=0,"NA",P11/$D11),"NA")</f>
        <v>-2.4393144107953487E-5</v>
      </c>
      <c r="K11" s="4325">
        <f t="shared" ref="K11:K56" si="7">IFERROR(IF(SUM(E11)=0,"NA",Q11/E11),"NA")</f>
        <v>-2.4447425574224339E-3</v>
      </c>
      <c r="L11" s="4327" t="str">
        <f t="shared" ref="L11:L56" si="8">IFERROR(IF(SUM(F11)=0,"NA",R11/F11),"NA")</f>
        <v>NA</v>
      </c>
      <c r="M11" s="4326">
        <f t="shared" si="2"/>
        <v>267.11433028667011</v>
      </c>
      <c r="N11" s="4325">
        <f t="shared" si="2"/>
        <v>-40.04318805074108</v>
      </c>
      <c r="O11" s="4326">
        <f t="shared" si="2"/>
        <v>227.07114223592902</v>
      </c>
      <c r="P11" s="4325">
        <f t="shared" si="2"/>
        <v>-0.32032171019952749</v>
      </c>
      <c r="Q11" s="4328">
        <f t="shared" si="2"/>
        <v>-32.034550440592866</v>
      </c>
      <c r="R11" s="4328" t="str">
        <f t="shared" si="2"/>
        <v>IE</v>
      </c>
      <c r="S11" s="3544">
        <f t="shared" si="2"/>
        <v>-713.95965697883435</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781.90689083423194</v>
      </c>
      <c r="E14" s="3505">
        <f>IF(SUM(E15:E16)=0,"IE",SUM(E15:E16))</f>
        <v>781.90689083423194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554.73670000000016</v>
      </c>
      <c r="E15" s="3510">
        <v>554.73670000000016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12349.721766050767</v>
      </c>
      <c r="E17" s="3505">
        <f>IF(SUM(E18:E21)=0,"IE",SUM(E18:E21))</f>
        <v>12321.538436500301</v>
      </c>
      <c r="F17" s="3506">
        <f>IF(SUM(F18:F21)=0,"IE",SUM(F18:F21))</f>
        <v>28.183329550466198</v>
      </c>
      <c r="G17" s="3545">
        <f t="shared" si="3"/>
        <v>2.1629177996622086E-2</v>
      </c>
      <c r="H17" s="3531">
        <f t="shared" si="4"/>
        <v>-3.2424364539790128E-3</v>
      </c>
      <c r="I17" s="3546">
        <f t="shared" si="5"/>
        <v>1.8386741542643074E-2</v>
      </c>
      <c r="J17" s="3531">
        <f t="shared" si="6"/>
        <v>-2.5937564932036602E-5</v>
      </c>
      <c r="K17" s="3531">
        <f t="shared" si="7"/>
        <v>-2.5998823609311951E-3</v>
      </c>
      <c r="L17" s="3535" t="str">
        <f t="shared" si="8"/>
        <v>NA</v>
      </c>
      <c r="M17" s="3505">
        <f t="shared" ref="M17:S17" si="16">IF(SUM(M18:M21)=0,"IE",SUM(M18:M21))</f>
        <v>267.11433028667011</v>
      </c>
      <c r="N17" s="4325">
        <f t="shared" si="16"/>
        <v>-40.04318805074108</v>
      </c>
      <c r="O17" s="4326">
        <f t="shared" si="16"/>
        <v>227.07114223592902</v>
      </c>
      <c r="P17" s="4325">
        <f t="shared" si="16"/>
        <v>-0.32032171019952749</v>
      </c>
      <c r="Q17" s="4328">
        <f t="shared" si="16"/>
        <v>-32.034550440592866</v>
      </c>
      <c r="R17" s="4328" t="str">
        <f t="shared" si="16"/>
        <v>IE</v>
      </c>
      <c r="S17" s="4332">
        <f t="shared" si="16"/>
        <v>-713.95965697883435</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-2.3320425193304233E-2</v>
      </c>
      <c r="I18" s="3554">
        <f t="shared" si="5"/>
        <v>-2.3320425193304233E-2</v>
      </c>
      <c r="J18" s="3553">
        <f t="shared" si="6"/>
        <v>-4.6640850386608472E-3</v>
      </c>
      <c r="K18" s="3553">
        <f t="shared" si="7"/>
        <v>-1.8656340154643389E-2</v>
      </c>
      <c r="L18" s="3555" t="str">
        <f t="shared" si="8"/>
        <v>NA</v>
      </c>
      <c r="M18" s="3547" t="s">
        <v>274</v>
      </c>
      <c r="N18" s="3548">
        <v>-40.04318805074108</v>
      </c>
      <c r="O18" s="3087">
        <f>IF(SUM(M18:N18)=0,M18,SUM(M18:N18))</f>
        <v>-40.04318805074108</v>
      </c>
      <c r="P18" s="3548">
        <v>-8.0086376101482166</v>
      </c>
      <c r="Q18" s="3549">
        <v>-32.034550440592866</v>
      </c>
      <c r="R18" s="3556" t="s">
        <v>274</v>
      </c>
      <c r="S18" s="3511">
        <f>IF(SUM(O18:R18)=0,Q18,SUM(O18:R18)*-44/12)</f>
        <v>293.65004570543459</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v>267.11433028667011</v>
      </c>
      <c r="N19" s="3548" t="s">
        <v>274</v>
      </c>
      <c r="O19" s="3087">
        <f t="shared" ref="O19:O22" si="18">IF(SUM(M19:N19)=0,M19,SUM(M19:N19))</f>
        <v>267.11433028667011</v>
      </c>
      <c r="P19" s="3548">
        <v>7.6883158999486891</v>
      </c>
      <c r="Q19" s="3551" t="s">
        <v>205</v>
      </c>
      <c r="R19" s="3550" t="s">
        <v>205</v>
      </c>
      <c r="S19" s="3511">
        <f t="shared" ref="S19:S22" si="19">IF(SUM(O19:R19)=0,Q19,SUM(O19:R19)*-44/12)</f>
        <v>-1007.609702684269</v>
      </c>
      <c r="T19" s="2519"/>
      <c r="U19" s="2699"/>
      <c r="V19" s="2519"/>
      <c r="W19" s="2519"/>
    </row>
    <row r="20" spans="1:23" ht="18" customHeight="1" x14ac:dyDescent="0.2">
      <c r="A20" s="2519"/>
      <c r="B20" s="2698"/>
      <c r="C20" s="4316" t="s">
        <v>1414</v>
      </c>
      <c r="D20" s="3500">
        <f t="shared" si="17"/>
        <v>10604.451903179361</v>
      </c>
      <c r="E20" s="4335">
        <v>10604.451903179361</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28.183329550466198</v>
      </c>
      <c r="E21" s="3505" t="str">
        <f t="shared" ref="E21:F21" si="20">E22</f>
        <v>IE</v>
      </c>
      <c r="F21" s="3506">
        <f t="shared" si="20"/>
        <v>28.183329550466198</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28.183329550466198</v>
      </c>
      <c r="E22" s="3510" t="s">
        <v>274</v>
      </c>
      <c r="F22" s="3496">
        <v>28.183329550466198</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46.753613971521695</v>
      </c>
      <c r="E23" s="3531">
        <f t="shared" ref="E23:F23" si="22">IF(SUM(E24,E35,E46)=0,"IE",SUM(E24,E35,E46))</f>
        <v>46.753613971521695</v>
      </c>
      <c r="F23" s="3535" t="str">
        <f t="shared" si="22"/>
        <v>IE</v>
      </c>
      <c r="G23" s="3545" t="str">
        <f t="shared" si="3"/>
        <v>NA</v>
      </c>
      <c r="H23" s="3531">
        <f t="shared" si="4"/>
        <v>-2.3885097372298301E-2</v>
      </c>
      <c r="I23" s="3546">
        <f t="shared" si="5"/>
        <v>-2.3885097372298301E-2</v>
      </c>
      <c r="J23" s="3531" t="str">
        <f t="shared" si="6"/>
        <v>NA</v>
      </c>
      <c r="K23" s="3531" t="str">
        <f t="shared" si="7"/>
        <v>NA</v>
      </c>
      <c r="L23" s="3535" t="str">
        <f t="shared" si="8"/>
        <v>NA</v>
      </c>
      <c r="M23" s="3531" t="str">
        <f t="shared" ref="M23" si="23">IF(SUM(M24,M35,M46)=0,"IE",SUM(M24,M35,M46))</f>
        <v>IE</v>
      </c>
      <c r="N23" s="3531">
        <f t="shared" ref="N23" si="24">IF(SUM(N24,N35,N46)=0,"IE",SUM(N24,N35,N46))</f>
        <v>-1.116714622216642</v>
      </c>
      <c r="O23" s="3546">
        <f t="shared" ref="O23" si="25">IF(SUM(O24,O35,O46)=0,"IE",SUM(O24,O35,O46))</f>
        <v>-1.116714622216642</v>
      </c>
      <c r="P23" s="3531" t="str">
        <f>IF(SUM(P24,P35,P46)=0,"NO",SUM(P24,P35,P46))</f>
        <v>NO</v>
      </c>
      <c r="Q23" s="3530" t="str">
        <f>IF(SUM(Q24,Q35,Q46)=0,"NO",SUM(Q24,Q35,Q46))</f>
        <v>NO</v>
      </c>
      <c r="R23" s="3530" t="str">
        <f>IF(SUM(R24,R35,R46)=0,"NO",SUM(R24,R35,R46))</f>
        <v>NO</v>
      </c>
      <c r="S23" s="3534">
        <f t="shared" ref="S23" si="26">IF(SUM(S24,S35,S46)=0,"IE",SUM(S24,S35,S46))</f>
        <v>4.0946202814610206</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46.753613971521695</v>
      </c>
      <c r="E35" s="3531">
        <f>IF(SUM(E36,E38,E40,E42,E44)=0,"IE",SUM(E36,E38,E40,E42,E44))</f>
        <v>46.753613971521695</v>
      </c>
      <c r="F35" s="3535" t="str">
        <f>IF(SUM(F36,F38,F40,F42,F44)=0,"IE",SUM(F36,F38,F40,F42,F44))</f>
        <v>IE</v>
      </c>
      <c r="G35" s="3545" t="str">
        <f t="shared" si="3"/>
        <v>NA</v>
      </c>
      <c r="H35" s="3531">
        <f t="shared" si="4"/>
        <v>-2.3885097372298301E-2</v>
      </c>
      <c r="I35" s="3546">
        <f t="shared" si="5"/>
        <v>-2.3885097372298301E-2</v>
      </c>
      <c r="J35" s="3531" t="str">
        <f t="shared" si="6"/>
        <v>NA</v>
      </c>
      <c r="K35" s="3531" t="str">
        <f t="shared" si="7"/>
        <v>NA</v>
      </c>
      <c r="L35" s="3535" t="str">
        <f t="shared" si="8"/>
        <v>NA</v>
      </c>
      <c r="M35" s="3531" t="str">
        <f t="shared" ref="M35:S35" si="48">IF(SUM(M36,M38,M40,M42,M44)=0,"IE",SUM(M36,M38,M40,M42,M44))</f>
        <v>IE</v>
      </c>
      <c r="N35" s="3531">
        <f t="shared" si="48"/>
        <v>-1.116714622216642</v>
      </c>
      <c r="O35" s="3546">
        <f t="shared" si="48"/>
        <v>-1.116714622216642</v>
      </c>
      <c r="P35" s="3531" t="str">
        <f>IF(SUM(P36,P38,P40,P42,P44)=0,"NO",SUM(P36,P38,P40,P42,P44))</f>
        <v>NO</v>
      </c>
      <c r="Q35" s="3530" t="str">
        <f>IF(SUM(Q36,Q38,Q40,Q42,Q44)=0,"NO",SUM(Q36,Q38,Q40,Q42,Q44))</f>
        <v>NO</v>
      </c>
      <c r="R35" s="3530" t="str">
        <f>IF(SUM(R36,R38,R40,R42,R44)=0,"NO",SUM(R36,R38,R40,R42,R44))</f>
        <v>NO</v>
      </c>
      <c r="S35" s="3534">
        <f t="shared" si="48"/>
        <v>4.0946202814610206</v>
      </c>
      <c r="U35" s="493"/>
    </row>
    <row r="36" spans="2:21" ht="18" customHeight="1" x14ac:dyDescent="0.2">
      <c r="B36" s="495" t="s">
        <v>1424</v>
      </c>
      <c r="C36" s="476"/>
      <c r="D36" s="3500">
        <f>D37</f>
        <v>46.753613971521695</v>
      </c>
      <c r="E36" s="3505">
        <f t="shared" ref="E36:F36" si="49">E37</f>
        <v>46.753613971521695</v>
      </c>
      <c r="F36" s="3506" t="str">
        <f t="shared" si="49"/>
        <v>IE</v>
      </c>
      <c r="G36" s="3500" t="str">
        <f t="shared" si="3"/>
        <v>NA</v>
      </c>
      <c r="H36" s="3057">
        <f t="shared" si="4"/>
        <v>-2.3885097372298301E-2</v>
      </c>
      <c r="I36" s="3057">
        <f t="shared" si="5"/>
        <v>-2.3885097372298301E-2</v>
      </c>
      <c r="J36" s="3057" t="str">
        <f t="shared" si="6"/>
        <v>NA</v>
      </c>
      <c r="K36" s="3514" t="str">
        <f t="shared" si="7"/>
        <v>NA</v>
      </c>
      <c r="L36" s="3106" t="str">
        <f t="shared" si="8"/>
        <v>NA</v>
      </c>
      <c r="M36" s="4170" t="str">
        <f t="shared" ref="M36:S36" si="50">M37</f>
        <v>IE</v>
      </c>
      <c r="N36" s="3057">
        <f t="shared" si="50"/>
        <v>-1.116714622216642</v>
      </c>
      <c r="O36" s="3057">
        <f t="shared" si="50"/>
        <v>-1.116714622216642</v>
      </c>
      <c r="P36" s="3057" t="str">
        <f t="shared" si="50"/>
        <v>NA</v>
      </c>
      <c r="Q36" s="3514" t="str">
        <f t="shared" si="50"/>
        <v>NA</v>
      </c>
      <c r="R36" s="3514" t="str">
        <f t="shared" si="50"/>
        <v>NA</v>
      </c>
      <c r="S36" s="3511">
        <f t="shared" si="50"/>
        <v>4.0946202814610206</v>
      </c>
      <c r="U36" s="4329"/>
    </row>
    <row r="37" spans="2:21" ht="18" customHeight="1" x14ac:dyDescent="0.2">
      <c r="B37" s="1478"/>
      <c r="C37" s="4330" t="s">
        <v>409</v>
      </c>
      <c r="D37" s="3500">
        <f>IF(SUM(E37:F37)=0,E37,SUM(E37:F37))</f>
        <v>46.753613971521695</v>
      </c>
      <c r="E37" s="3510">
        <v>46.753613971521695</v>
      </c>
      <c r="F37" s="3496" t="s">
        <v>274</v>
      </c>
      <c r="G37" s="3545" t="str">
        <f t="shared" si="3"/>
        <v>NA</v>
      </c>
      <c r="H37" s="3531">
        <f t="shared" si="4"/>
        <v>-2.3885097372298301E-2</v>
      </c>
      <c r="I37" s="3546">
        <f t="shared" si="5"/>
        <v>-2.3885097372298301E-2</v>
      </c>
      <c r="J37" s="3531" t="str">
        <f t="shared" si="6"/>
        <v>NA</v>
      </c>
      <c r="K37" s="3531" t="str">
        <f t="shared" si="7"/>
        <v>NA</v>
      </c>
      <c r="L37" s="3535" t="str">
        <f t="shared" si="8"/>
        <v>NA</v>
      </c>
      <c r="M37" s="3547" t="s">
        <v>274</v>
      </c>
      <c r="N37" s="3548">
        <v>-1.116714622216642</v>
      </c>
      <c r="O37" s="3087">
        <f t="shared" ref="O37" si="51">IF(SUM(M37:N37)=0,M37,SUM(M37:N37))</f>
        <v>-1.116714622216642</v>
      </c>
      <c r="P37" s="3548" t="s">
        <v>205</v>
      </c>
      <c r="Q37" s="3549" t="s">
        <v>205</v>
      </c>
      <c r="R37" s="3549" t="s">
        <v>205</v>
      </c>
      <c r="S37" s="3511">
        <f t="shared" ref="S37" si="52">IF(SUM(O37:R37)=0,Q37,SUM(O37:R37)*-44/12)</f>
        <v>4.0946202814610206</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4" t="s">
        <v>1435</v>
      </c>
      <c r="C80" s="4525"/>
      <c r="D80" s="4525"/>
      <c r="E80" s="4525"/>
      <c r="F80" s="4525"/>
      <c r="G80" s="4525"/>
      <c r="H80" s="4525"/>
      <c r="I80" s="4525"/>
      <c r="J80" s="4525"/>
      <c r="K80" s="4525"/>
      <c r="L80" s="4525"/>
      <c r="M80" s="4525"/>
      <c r="N80" s="4525"/>
      <c r="O80" s="4525"/>
      <c r="P80" s="4525"/>
      <c r="Q80" s="4525"/>
      <c r="R80" s="4525"/>
      <c r="S80" s="4526"/>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1661.3104477351853</v>
      </c>
      <c r="E10" s="3523">
        <f t="shared" ref="E10:F10" si="0">IF(SUM(E11,E13)=0,"IE",SUM(E11,E13))</f>
        <v>1557.826413794385</v>
      </c>
      <c r="F10" s="3524">
        <f t="shared" si="0"/>
        <v>103.48403394080036</v>
      </c>
      <c r="G10" s="3522">
        <f>IFERROR(IF(SUM($D10)=0,"NA",M10/$D10),"NA")</f>
        <v>0.12960686451906769</v>
      </c>
      <c r="H10" s="3523">
        <f t="shared" ref="H10:J10" si="1">IFERROR(IF(SUM($D10)=0,"NA",N10/$D10),"NA")</f>
        <v>-0.38087727823976175</v>
      </c>
      <c r="I10" s="3523">
        <f t="shared" si="1"/>
        <v>-0.25127041372069403</v>
      </c>
      <c r="J10" s="3523">
        <f t="shared" si="1"/>
        <v>-7.3722486972266313E-2</v>
      </c>
      <c r="K10" s="3525">
        <f>IFERROR(IF(SUM(E10)=0,"NA",Q10/E10),"NA")</f>
        <v>-4.7782383752122279E-2</v>
      </c>
      <c r="L10" s="3524">
        <f>IFERROR(IF(SUM(F10)=0,"NA",R10/F10),"NA")</f>
        <v>-0.12845875511701427</v>
      </c>
      <c r="M10" s="3526">
        <f>IF(SUM(M11,M13)=0,"IE",SUM(M11,M13))</f>
        <v>215.31723812372587</v>
      </c>
      <c r="N10" s="3523">
        <f t="shared" ref="N10:S10" si="2">IF(SUM(N11,N13)=0,"IE",SUM(N11,N13))</f>
        <v>-632.75540164465735</v>
      </c>
      <c r="O10" s="3527">
        <f t="shared" si="2"/>
        <v>-417.43816352093148</v>
      </c>
      <c r="P10" s="3523">
        <f t="shared" si="2"/>
        <v>-122.47593784004712</v>
      </c>
      <c r="Q10" s="3525">
        <f t="shared" si="2"/>
        <v>-74.436659523115736</v>
      </c>
      <c r="R10" s="3525">
        <f t="shared" si="2"/>
        <v>-13.293430174522067</v>
      </c>
      <c r="S10" s="3528">
        <f t="shared" si="2"/>
        <v>2301.3620338815936</v>
      </c>
      <c r="U10" s="2287"/>
    </row>
    <row r="11" spans="2:21" ht="18" customHeight="1" x14ac:dyDescent="0.2">
      <c r="B11" s="483" t="s">
        <v>1265</v>
      </c>
      <c r="C11" s="2282"/>
      <c r="D11" s="3529">
        <f>D12</f>
        <v>1144.018897834</v>
      </c>
      <c r="E11" s="3057">
        <f t="shared" ref="E11:F11" si="3">E12</f>
        <v>1144.018897834</v>
      </c>
      <c r="F11" s="3057" t="str">
        <f t="shared" si="3"/>
        <v>IE</v>
      </c>
      <c r="G11" s="3500">
        <f t="shared" ref="G11:G24" si="4">IFERROR(IF(SUM($D11)=0,"NA",M11/$D11),"NA")</f>
        <v>9.1366194778775365E-3</v>
      </c>
      <c r="H11" s="3057" t="str">
        <f t="shared" ref="H11:H24" si="5">IFERROR(IF(SUM($D11)=0,"NA",N11/$D11),"NA")</f>
        <v>NA</v>
      </c>
      <c r="I11" s="3057">
        <f t="shared" ref="I11:I24" si="6">IFERROR(IF(SUM($D11)=0,"NA",O11/$D11),"NA")</f>
        <v>9.1366194778775365E-3</v>
      </c>
      <c r="J11" s="3057">
        <f t="shared" ref="J11:J24" si="7">IFERROR(IF(SUM($D11)=0,"NA",P11/$D11),"NA")</f>
        <v>1.8273238955755073E-3</v>
      </c>
      <c r="K11" s="3514">
        <f t="shared" ref="K11:K24" si="8">IFERROR(IF(SUM(E11)=0,"NA",Q11/E11),"NA")</f>
        <v>7.309295582302029E-3</v>
      </c>
      <c r="L11" s="3106" t="str">
        <f t="shared" ref="L11:L24" si="9">IFERROR(IF(SUM(F11)=0,"NA",R11/F11),"NA")</f>
        <v>NA</v>
      </c>
      <c r="M11" s="3530">
        <f t="shared" ref="M11:S11" si="10">M12</f>
        <v>10.452465345010115</v>
      </c>
      <c r="N11" s="3531" t="str">
        <f t="shared" si="10"/>
        <v>IE</v>
      </c>
      <c r="O11" s="3532">
        <f t="shared" si="10"/>
        <v>10.452465345010115</v>
      </c>
      <c r="P11" s="3531">
        <f t="shared" si="10"/>
        <v>2.0904930690020231</v>
      </c>
      <c r="Q11" s="3533">
        <f t="shared" si="10"/>
        <v>8.3619722760080926</v>
      </c>
      <c r="R11" s="3533" t="str">
        <f t="shared" si="10"/>
        <v>IE</v>
      </c>
      <c r="S11" s="3534">
        <f t="shared" si="10"/>
        <v>-76.651412530074182</v>
      </c>
      <c r="U11" s="2423"/>
    </row>
    <row r="12" spans="2:21" ht="18" customHeight="1" x14ac:dyDescent="0.2">
      <c r="B12" s="491"/>
      <c r="C12" s="4330" t="s">
        <v>409</v>
      </c>
      <c r="D12" s="3500">
        <f>IF(SUM(E12:F12)=0,E12,SUM(E12:F12))</f>
        <v>1144.018897834</v>
      </c>
      <c r="E12" s="3510">
        <v>1144.018897834</v>
      </c>
      <c r="F12" s="3496" t="s">
        <v>274</v>
      </c>
      <c r="G12" s="3500">
        <f t="shared" si="4"/>
        <v>9.1366194778775365E-3</v>
      </c>
      <c r="H12" s="3057" t="str">
        <f t="shared" si="5"/>
        <v>NA</v>
      </c>
      <c r="I12" s="3057">
        <f t="shared" si="6"/>
        <v>9.1366194778775365E-3</v>
      </c>
      <c r="J12" s="3057">
        <f t="shared" si="7"/>
        <v>1.8273238955755073E-3</v>
      </c>
      <c r="K12" s="3514">
        <f t="shared" si="8"/>
        <v>7.309295582302029E-3</v>
      </c>
      <c r="L12" s="3106" t="str">
        <f t="shared" si="9"/>
        <v>NA</v>
      </c>
      <c r="M12" s="2917">
        <v>10.452465345010115</v>
      </c>
      <c r="N12" s="2917" t="s">
        <v>274</v>
      </c>
      <c r="O12" s="3087">
        <f>IF(SUM(M12:N12)=0,M12,SUM(M12:N12))</f>
        <v>10.452465345010115</v>
      </c>
      <c r="P12" s="2917">
        <v>2.0904930690020231</v>
      </c>
      <c r="Q12" s="2918">
        <v>8.3619722760080926</v>
      </c>
      <c r="R12" s="2918" t="s">
        <v>274</v>
      </c>
      <c r="S12" s="3511">
        <f>IF(SUM(O12:R12)=0,Q12,SUM(O12:R12)*-44/12)</f>
        <v>-76.651412530074182</v>
      </c>
      <c r="U12" s="2424"/>
    </row>
    <row r="13" spans="2:21" ht="18" customHeight="1" x14ac:dyDescent="0.2">
      <c r="B13" s="483" t="s">
        <v>1266</v>
      </c>
      <c r="C13" s="494"/>
      <c r="D13" s="3529">
        <f>IF(SUM(D14,D17,D19,D21,D23)=0,"IE",SUM(D14,D17,D19,D21,D23))</f>
        <v>517.29154990118536</v>
      </c>
      <c r="E13" s="3531">
        <f t="shared" ref="E13:S13" si="11">IF(SUM(E14,E17,E19,E21,E23)=0,"IE",SUM(E14,E17,E19,E21,E23))</f>
        <v>413.80751596038505</v>
      </c>
      <c r="F13" s="3535">
        <f t="shared" si="11"/>
        <v>103.48403394080036</v>
      </c>
      <c r="G13" s="3500">
        <f t="shared" si="4"/>
        <v>0.39603348018704276</v>
      </c>
      <c r="H13" s="3057">
        <f t="shared" si="5"/>
        <v>-1.2232084629364779</v>
      </c>
      <c r="I13" s="3057">
        <f t="shared" si="6"/>
        <v>-0.82717498274943524</v>
      </c>
      <c r="J13" s="3057">
        <f t="shared" si="7"/>
        <v>-0.24080507584715855</v>
      </c>
      <c r="K13" s="3514">
        <f t="shared" si="8"/>
        <v>-0.20008972434190966</v>
      </c>
      <c r="L13" s="3106">
        <f t="shared" si="9"/>
        <v>-0.12845875511701427</v>
      </c>
      <c r="M13" s="3057">
        <f t="shared" si="11"/>
        <v>204.86477277871575</v>
      </c>
      <c r="N13" s="3057">
        <f t="shared" si="11"/>
        <v>-632.75540164465735</v>
      </c>
      <c r="O13" s="3057">
        <f t="shared" si="11"/>
        <v>-427.89062886594161</v>
      </c>
      <c r="P13" s="3057">
        <f t="shared" si="11"/>
        <v>-124.56643090904915</v>
      </c>
      <c r="Q13" s="3514">
        <f t="shared" si="11"/>
        <v>-82.798631799123825</v>
      </c>
      <c r="R13" s="3514">
        <f t="shared" si="11"/>
        <v>-13.293430174522067</v>
      </c>
      <c r="S13" s="3511">
        <f t="shared" si="11"/>
        <v>2378.0134464116677</v>
      </c>
      <c r="U13" s="2048"/>
    </row>
    <row r="14" spans="2:21" ht="18" customHeight="1" x14ac:dyDescent="0.2">
      <c r="B14" s="485" t="s">
        <v>1440</v>
      </c>
      <c r="C14" s="494"/>
      <c r="D14" s="3539">
        <f>IF(SUM(D15:D16)=0,"IE",SUM(D15:D16))</f>
        <v>517.29154990118536</v>
      </c>
      <c r="E14" s="3505">
        <f t="shared" ref="E14:F14" si="12">IF(SUM(E15:E16)=0,"IE",SUM(E15:E16))</f>
        <v>413.80751596038505</v>
      </c>
      <c r="F14" s="3506">
        <f t="shared" si="12"/>
        <v>103.48403394080036</v>
      </c>
      <c r="G14" s="3500">
        <f t="shared" si="4"/>
        <v>0.39603348018704276</v>
      </c>
      <c r="H14" s="3057">
        <f t="shared" si="5"/>
        <v>-1.2232084629364779</v>
      </c>
      <c r="I14" s="3057">
        <f t="shared" si="6"/>
        <v>-0.82717498274943524</v>
      </c>
      <c r="J14" s="3057">
        <f t="shared" si="7"/>
        <v>-0.24080507584715855</v>
      </c>
      <c r="K14" s="3514">
        <f t="shared" si="8"/>
        <v>-0.20008972434190966</v>
      </c>
      <c r="L14" s="3106">
        <f t="shared" si="9"/>
        <v>-0.12845875511701427</v>
      </c>
      <c r="M14" s="3057">
        <f>IF(SUM(M15:M16)=0,"IE",SUM(M15:M16))</f>
        <v>204.86477277871575</v>
      </c>
      <c r="N14" s="3057">
        <f t="shared" ref="N14:S14" si="13">IF(SUM(N15:N16)=0,"IE",SUM(N15:N16))</f>
        <v>-632.75540164465735</v>
      </c>
      <c r="O14" s="3057">
        <f t="shared" si="13"/>
        <v>-427.89062886594161</v>
      </c>
      <c r="P14" s="3057">
        <f t="shared" si="13"/>
        <v>-124.56643090904915</v>
      </c>
      <c r="Q14" s="3514">
        <f t="shared" si="13"/>
        <v>-82.798631799123825</v>
      </c>
      <c r="R14" s="3514">
        <f t="shared" si="13"/>
        <v>-13.293430174522067</v>
      </c>
      <c r="S14" s="3511">
        <f t="shared" si="13"/>
        <v>2378.0134464116677</v>
      </c>
      <c r="U14" s="2048"/>
    </row>
    <row r="15" spans="2:21" ht="18" customHeight="1" x14ac:dyDescent="0.2">
      <c r="B15" s="486"/>
      <c r="C15" s="498" t="s">
        <v>1441</v>
      </c>
      <c r="D15" s="3500">
        <f>IF(SUM(E15:F15)=0,E15,SUM(E15:F15))</f>
        <v>103.48403394080036</v>
      </c>
      <c r="E15" s="3510" t="s">
        <v>199</v>
      </c>
      <c r="F15" s="3496">
        <v>103.48403394080036</v>
      </c>
      <c r="G15" s="3500" t="str">
        <f t="shared" si="4"/>
        <v>NA</v>
      </c>
      <c r="H15" s="3057">
        <f t="shared" si="5"/>
        <v>-6.114521994829027</v>
      </c>
      <c r="I15" s="3057">
        <f t="shared" si="6"/>
        <v>-6.114521994829027</v>
      </c>
      <c r="J15" s="3057">
        <f t="shared" si="7"/>
        <v>-0.78711002400257646</v>
      </c>
      <c r="K15" s="3514" t="str">
        <f t="shared" si="8"/>
        <v>NA</v>
      </c>
      <c r="L15" s="3106">
        <f t="shared" si="9"/>
        <v>-0.12845875511701427</v>
      </c>
      <c r="M15" s="2917" t="s">
        <v>274</v>
      </c>
      <c r="N15" s="2917">
        <v>-632.75540164465735</v>
      </c>
      <c r="O15" s="3087">
        <f>IF(SUM(M15:N15)=0,M15,SUM(M15:N15))</f>
        <v>-632.75540164465735</v>
      </c>
      <c r="P15" s="2917">
        <v>-81.453320439026811</v>
      </c>
      <c r="Q15" s="2918" t="s">
        <v>199</v>
      </c>
      <c r="R15" s="2918">
        <v>-13.293430174522067</v>
      </c>
      <c r="S15" s="3511">
        <f>IF(SUM(O15:R15)=0,Q15,SUM(O15:R15)*-44/12)</f>
        <v>2667.507891613423</v>
      </c>
      <c r="U15" s="2048"/>
    </row>
    <row r="16" spans="2:21" ht="18" customHeight="1" x14ac:dyDescent="0.2">
      <c r="B16" s="484"/>
      <c r="C16" s="498" t="s">
        <v>1442</v>
      </c>
      <c r="D16" s="3500">
        <f>IF(SUM(E16:F16)=0,E16,SUM(E16:F16))</f>
        <v>413.80751596038505</v>
      </c>
      <c r="E16" s="3510">
        <v>413.80751596038505</v>
      </c>
      <c r="F16" s="3496" t="s">
        <v>274</v>
      </c>
      <c r="G16" s="3500">
        <f t="shared" si="4"/>
        <v>0.49507262405143948</v>
      </c>
      <c r="H16" s="3057" t="str">
        <f t="shared" si="5"/>
        <v>NA</v>
      </c>
      <c r="I16" s="3057">
        <f t="shared" si="6"/>
        <v>0.49507262405143948</v>
      </c>
      <c r="J16" s="3057">
        <f t="shared" si="7"/>
        <v>-0.10418638813256759</v>
      </c>
      <c r="K16" s="3514">
        <f t="shared" si="8"/>
        <v>-0.20008972434190966</v>
      </c>
      <c r="L16" s="3106" t="str">
        <f t="shared" si="9"/>
        <v>NA</v>
      </c>
      <c r="M16" s="2917">
        <v>204.86477277871575</v>
      </c>
      <c r="N16" s="2917" t="s">
        <v>274</v>
      </c>
      <c r="O16" s="3087">
        <f>IF(SUM(M16:N16)=0,M16,SUM(M16:N16))</f>
        <v>204.86477277871575</v>
      </c>
      <c r="P16" s="2917">
        <v>-43.113110470022335</v>
      </c>
      <c r="Q16" s="2918">
        <v>-82.798631799123825</v>
      </c>
      <c r="R16" s="2918" t="s">
        <v>274</v>
      </c>
      <c r="S16" s="3511">
        <f>IF(SUM(O16:R16)=0,Q16,SUM(O16:R16)*-44/12)</f>
        <v>-289.49444520175524</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7"/>
      <c r="W29" s="4527"/>
      <c r="X29" s="4527"/>
      <c r="Y29" s="4527"/>
      <c r="Z29" s="4527"/>
      <c r="AA29" s="4527"/>
      <c r="AB29" s="4527"/>
      <c r="AC29" s="4527"/>
      <c r="AD29" s="4527"/>
      <c r="AE29" s="4527"/>
      <c r="AF29" s="4527"/>
      <c r="AG29" s="4527"/>
      <c r="AH29" s="4527"/>
      <c r="AI29" s="4527"/>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6" t="s">
        <v>1501</v>
      </c>
      <c r="C53" s="4507"/>
      <c r="D53" s="4507"/>
      <c r="E53" s="4507"/>
      <c r="F53" s="4507"/>
      <c r="G53" s="4507"/>
      <c r="H53" s="4507"/>
      <c r="I53" s="4507"/>
      <c r="J53" s="4507"/>
      <c r="K53" s="4507"/>
      <c r="L53" s="4508"/>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28"/>
      <c r="C55" s="4528"/>
      <c r="D55" s="4528"/>
      <c r="E55" s="4528"/>
      <c r="F55" s="4528"/>
      <c r="G55" s="4528"/>
      <c r="H55" s="4528"/>
      <c r="I55" s="4528"/>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29" t="s">
        <v>1505</v>
      </c>
      <c r="C8" s="2474" t="s">
        <v>1312</v>
      </c>
      <c r="D8" s="2838" t="s">
        <v>1506</v>
      </c>
      <c r="E8" s="910" t="s">
        <v>1507</v>
      </c>
      <c r="F8" s="909" t="s">
        <v>1508</v>
      </c>
      <c r="G8" s="511" t="s">
        <v>1509</v>
      </c>
      <c r="H8" s="512" t="s">
        <v>1510</v>
      </c>
      <c r="I8" s="512" t="s">
        <v>1511</v>
      </c>
      <c r="J8" s="513" t="s">
        <v>1512</v>
      </c>
    </row>
    <row r="9" spans="2:10" ht="15" thickBot="1" x14ac:dyDescent="0.3">
      <c r="B9" s="4530"/>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58.155577218359319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58.155577218359319</v>
      </c>
    </row>
    <row r="270" spans="2:10" ht="18" customHeight="1" x14ac:dyDescent="0.2">
      <c r="B270" s="2842" t="s">
        <v>1550</v>
      </c>
      <c r="C270" s="2843"/>
      <c r="D270" s="2823"/>
      <c r="E270" s="2824"/>
      <c r="F270" s="2825"/>
      <c r="G270" s="2826"/>
      <c r="H270" s="2834" t="s">
        <v>221</v>
      </c>
      <c r="I270" s="2830" t="s">
        <v>221</v>
      </c>
      <c r="J270" s="3659">
        <f>J277</f>
        <v>57.741465357106605</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554.93193227980305</v>
      </c>
      <c r="E277" s="2770" t="s">
        <v>205</v>
      </c>
      <c r="F277" s="2768" t="s">
        <v>205</v>
      </c>
      <c r="G277" s="3653">
        <f>IF(SUM(D277)=0,"NA",J277*1000/D277)</f>
        <v>104.05143765991231</v>
      </c>
      <c r="H277" s="2793" t="str">
        <f t="shared" ref="H277:J277" si="1">H302</f>
        <v>NE</v>
      </c>
      <c r="I277" s="2792" t="str">
        <f t="shared" si="1"/>
        <v>NE</v>
      </c>
      <c r="J277" s="3652">
        <f t="shared" si="1"/>
        <v>57.741465357106605</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351.69284129188213</v>
      </c>
      <c r="E281" s="2770" t="str">
        <f t="shared" si="2"/>
        <v>NA</v>
      </c>
      <c r="F281" s="2768" t="str">
        <f t="shared" si="2"/>
        <v>NA</v>
      </c>
      <c r="G281" s="3653">
        <f t="shared" si="2"/>
        <v>116.74898605853211</v>
      </c>
      <c r="H281" s="2795" t="str">
        <f t="shared" ref="H281" si="3">H306</f>
        <v>NA</v>
      </c>
      <c r="I281" s="2773" t="str">
        <f t="shared" ref="I281:J281" si="4">I306</f>
        <v>NA</v>
      </c>
      <c r="J281" s="3662">
        <f t="shared" si="4"/>
        <v>41.059782624871495</v>
      </c>
    </row>
    <row r="282" spans="2:10" ht="18" customHeight="1" outlineLevel="1" x14ac:dyDescent="0.2">
      <c r="B282" s="2862" t="str">
        <f>B307</f>
        <v>Other Constructed Water Bodies</v>
      </c>
      <c r="C282" s="2850" t="str">
        <f t="shared" si="2"/>
        <v>Other Constructed Water Bodies</v>
      </c>
      <c r="D282" s="3647">
        <f t="shared" si="2"/>
        <v>203.23909098792089</v>
      </c>
      <c r="E282" s="2770" t="str">
        <f t="shared" si="2"/>
        <v>NA</v>
      </c>
      <c r="F282" s="2768" t="str">
        <f t="shared" si="2"/>
        <v>NA</v>
      </c>
      <c r="G282" s="3653">
        <f t="shared" si="2"/>
        <v>82.079105211243814</v>
      </c>
      <c r="H282" s="2860" t="str">
        <f t="shared" ref="H282" si="5">H307</f>
        <v>NA</v>
      </c>
      <c r="I282" s="2861" t="str">
        <f t="shared" ref="I282:J282" si="6">I307</f>
        <v>NA</v>
      </c>
      <c r="J282" s="3662">
        <f t="shared" si="6"/>
        <v>16.681682732235114</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57.741465357106605</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554.93193227980305</v>
      </c>
      <c r="E302" s="2770" t="s">
        <v>205</v>
      </c>
      <c r="F302" s="2768" t="s">
        <v>205</v>
      </c>
      <c r="G302" s="3653">
        <f>IF(SUM(D302)=0,"NA",J302*1000/D302)</f>
        <v>104.05143765991231</v>
      </c>
      <c r="H302" s="2793" t="s">
        <v>221</v>
      </c>
      <c r="I302" s="2792" t="s">
        <v>221</v>
      </c>
      <c r="J302" s="3652">
        <f t="shared" ref="J302" si="7">IF(SUM(J306:J307)=0,"NO",SUM(J306:J307))</f>
        <v>57.741465357106605</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351.69284129188213</v>
      </c>
      <c r="E306" s="2770" t="s">
        <v>205</v>
      </c>
      <c r="F306" s="2768" t="s">
        <v>205</v>
      </c>
      <c r="G306" s="3653">
        <f>IF(SUM(D306)=0,"NA",J306*1000/D306)</f>
        <v>116.74898605853211</v>
      </c>
      <c r="H306" s="2795" t="s">
        <v>205</v>
      </c>
      <c r="I306" s="2773" t="s">
        <v>205</v>
      </c>
      <c r="J306" s="3662">
        <v>41.059782624871495</v>
      </c>
    </row>
    <row r="307" spans="2:10" ht="18" customHeight="1" outlineLevel="2" x14ac:dyDescent="0.2">
      <c r="B307" s="2862" t="s">
        <v>1554</v>
      </c>
      <c r="C307" s="2850" t="s">
        <v>1554</v>
      </c>
      <c r="D307" s="3650">
        <v>203.23909098792089</v>
      </c>
      <c r="E307" s="2770" t="s">
        <v>205</v>
      </c>
      <c r="F307" s="2768" t="s">
        <v>205</v>
      </c>
      <c r="G307" s="3653">
        <f>IF(SUM(D307)=0,"NA",J307*1000/D307)</f>
        <v>82.079105211243814</v>
      </c>
      <c r="H307" s="2795" t="s">
        <v>205</v>
      </c>
      <c r="I307" s="2773" t="s">
        <v>205</v>
      </c>
      <c r="J307" s="3662">
        <v>16.681682732235114</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0.4141118612527151</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2.0348815310483874</v>
      </c>
      <c r="E327" s="2791" t="str">
        <f t="shared" ref="E327:J327" si="8">E331</f>
        <v>NA</v>
      </c>
      <c r="F327" s="2792" t="str">
        <f t="shared" si="8"/>
        <v>NA</v>
      </c>
      <c r="G327" s="3655">
        <f t="shared" si="8"/>
        <v>203.50661939487028</v>
      </c>
      <c r="H327" s="2793" t="str">
        <f t="shared" si="8"/>
        <v>IE</v>
      </c>
      <c r="I327" s="2792" t="str">
        <f t="shared" si="8"/>
        <v>NA</v>
      </c>
      <c r="J327" s="3652">
        <f t="shared" si="8"/>
        <v>0.4141118612527151</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2.0348815310483874</v>
      </c>
      <c r="E331" s="2770" t="str">
        <f t="shared" si="9"/>
        <v>NA</v>
      </c>
      <c r="F331" s="2768" t="str">
        <f t="shared" si="9"/>
        <v>NA</v>
      </c>
      <c r="G331" s="3653">
        <f t="shared" si="9"/>
        <v>203.50661939487028</v>
      </c>
      <c r="H331" s="2780" t="str">
        <f t="shared" si="9"/>
        <v>IE</v>
      </c>
      <c r="I331" s="2773" t="str">
        <f t="shared" si="9"/>
        <v>NA</v>
      </c>
      <c r="J331" s="3662">
        <f t="shared" si="9"/>
        <v>0.4141118612527151</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0.4141118612527151</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2.0348815310483874</v>
      </c>
      <c r="E411" s="2791" t="str">
        <f t="shared" ref="E411:J411" si="10">E415</f>
        <v>NA</v>
      </c>
      <c r="F411" s="2792" t="str">
        <f t="shared" si="10"/>
        <v>NA</v>
      </c>
      <c r="G411" s="3655">
        <f t="shared" si="10"/>
        <v>203.50661939487028</v>
      </c>
      <c r="H411" s="2793" t="str">
        <f t="shared" si="10"/>
        <v>IE</v>
      </c>
      <c r="I411" s="2792" t="str">
        <f t="shared" si="10"/>
        <v>NA</v>
      </c>
      <c r="J411" s="3652">
        <f t="shared" si="10"/>
        <v>0.4141118612527151</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2.0348815310483874</v>
      </c>
      <c r="E415" s="2770" t="str">
        <f>E427</f>
        <v>NA</v>
      </c>
      <c r="F415" s="2768" t="str">
        <f>F427</f>
        <v>NA</v>
      </c>
      <c r="G415" s="3653">
        <f t="shared" ref="G415:J415" si="11">G427</f>
        <v>203.50661939487028</v>
      </c>
      <c r="H415" s="2795" t="str">
        <f t="shared" si="11"/>
        <v>IE</v>
      </c>
      <c r="I415" s="2773" t="str">
        <f t="shared" si="11"/>
        <v>NA</v>
      </c>
      <c r="J415" s="3662">
        <f t="shared" si="11"/>
        <v>0.4141118612527151</v>
      </c>
    </row>
    <row r="416" spans="2:10" ht="18" customHeight="1" outlineLevel="2" x14ac:dyDescent="0.2">
      <c r="B416" s="2857" t="s">
        <v>1564</v>
      </c>
      <c r="C416" s="2843"/>
      <c r="D416" s="3649"/>
      <c r="E416" s="2824"/>
      <c r="F416" s="2825"/>
      <c r="G416" s="3656"/>
      <c r="H416" s="2834" t="s">
        <v>221</v>
      </c>
      <c r="I416" s="2830" t="s">
        <v>221</v>
      </c>
      <c r="J416" s="3659">
        <f>J423</f>
        <v>0.4141118612527151</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2.0348815310483874</v>
      </c>
      <c r="E423" s="2791" t="str">
        <f t="shared" ref="E423:J423" si="12">E427</f>
        <v>NA</v>
      </c>
      <c r="F423" s="2792" t="str">
        <f t="shared" si="12"/>
        <v>NA</v>
      </c>
      <c r="G423" s="3655">
        <f t="shared" si="12"/>
        <v>203.50661939487028</v>
      </c>
      <c r="H423" s="2793" t="str">
        <f t="shared" si="12"/>
        <v>IE</v>
      </c>
      <c r="I423" s="2792" t="str">
        <f t="shared" si="12"/>
        <v>NA</v>
      </c>
      <c r="J423" s="3652">
        <f t="shared" si="12"/>
        <v>0.4141118612527151</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2.0348815310483874</v>
      </c>
      <c r="E427" s="2770" t="s">
        <v>205</v>
      </c>
      <c r="F427" s="2768" t="s">
        <v>205</v>
      </c>
      <c r="G427" s="3653">
        <f>IF(SUM(D427)=0,"NA",J427*1000/D427)</f>
        <v>203.50661939487028</v>
      </c>
      <c r="H427" s="4306" t="s">
        <v>274</v>
      </c>
      <c r="I427" s="2773" t="s">
        <v>205</v>
      </c>
      <c r="J427" s="3662">
        <v>0.4141118612527151</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0" t="s">
        <v>1592</v>
      </c>
      <c r="C736" s="4501"/>
      <c r="D736" s="4501"/>
      <c r="E736" s="4501"/>
      <c r="F736" s="4501"/>
      <c r="G736" s="4501"/>
      <c r="H736" s="4501"/>
      <c r="I736" s="4501"/>
      <c r="J736" s="4502"/>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657189.11608799221</v>
      </c>
      <c r="D10" s="3577">
        <f>IF(SUM(D11,D20,D28,D37,D46,D55)=0,"NO",SUM(D11,D20,D28,D37,D46,D55))</f>
        <v>40998.097323353082</v>
      </c>
      <c r="E10" s="3592">
        <f t="shared" ref="E10:E12" si="0">IF(SUM(C10)=0,"NA",G10/C10*1000/(44/28))</f>
        <v>1.1637571640806625E-3</v>
      </c>
      <c r="F10" s="3593">
        <f t="shared" ref="F10:F11" si="1">IF(SUM(D10)=0,"NA",H10/D10*1000/(44/28))</f>
        <v>7.4999999999999997E-3</v>
      </c>
      <c r="G10" s="4464">
        <f>IF(SUM(G11,G20,G28,G37,G46,G55)=0,"NO",SUM(G11,G20,G28,G37,G46,G55))</f>
        <v>1.2018419945765186</v>
      </c>
      <c r="H10" s="4465">
        <f>IF(SUM(H11,H20,H28,H37,H46,H55)=0,"NO",SUM(H11,H20,H28,H37,H46,H55))</f>
        <v>0.48319186131094699</v>
      </c>
      <c r="I10" s="4466">
        <f t="shared" ref="I10:I11" si="2">IF(SUM(G10:H10)=0,"NO",SUM(G10:H10))</f>
        <v>1.6850338558874656</v>
      </c>
    </row>
    <row r="11" spans="2:10" ht="18" customHeight="1" x14ac:dyDescent="0.2">
      <c r="B11" s="2863" t="s">
        <v>1605</v>
      </c>
      <c r="C11" s="3578">
        <f>IF(SUM(C12:C13)=0,"NO",SUM(C12:C13))</f>
        <v>137431.29924549075</v>
      </c>
      <c r="D11" s="3579">
        <f>IF(SUM(D12:D13)=0,"NO",SUM(D12:D13))</f>
        <v>34936.496996556984</v>
      </c>
      <c r="E11" s="3594">
        <f t="shared" si="0"/>
        <v>4.2076089574407411E-3</v>
      </c>
      <c r="F11" s="3595">
        <f t="shared" si="1"/>
        <v>7.4999999999999989E-3</v>
      </c>
      <c r="G11" s="4467">
        <f>IF(SUM(G12:G13)=0,"NO",SUM(G12:G13))</f>
        <v>0.90868983187407193</v>
      </c>
      <c r="H11" s="4468">
        <f>IF(SUM(H12:H13)=0,"NO",SUM(H12:H13))</f>
        <v>0.41175157174513577</v>
      </c>
      <c r="I11" s="4469">
        <f t="shared" si="2"/>
        <v>1.3204414036192076</v>
      </c>
    </row>
    <row r="12" spans="2:10" ht="18" customHeight="1" x14ac:dyDescent="0.2">
      <c r="B12" s="917" t="s">
        <v>1606</v>
      </c>
      <c r="C12" s="3580">
        <f>Table4.A!E11</f>
        <v>122343.02706970301</v>
      </c>
      <c r="D12" s="3581">
        <f>H12/F12*1000/(44/28)</f>
        <v>12171.181712577487</v>
      </c>
      <c r="E12" s="3596">
        <f t="shared" si="0"/>
        <v>1.514795188477684E-3</v>
      </c>
      <c r="F12" s="3597">
        <v>7.4999999999999997E-3</v>
      </c>
      <c r="G12" s="4470">
        <v>0.29122441660554182</v>
      </c>
      <c r="H12" s="4471">
        <v>0.14344607018394892</v>
      </c>
      <c r="I12" s="4472">
        <f>IF(SUM(G12:H12)=0,"NO",SUM(G12:H12))</f>
        <v>0.43467048678949072</v>
      </c>
    </row>
    <row r="13" spans="2:10" ht="18" customHeight="1" x14ac:dyDescent="0.2">
      <c r="B13" s="917" t="s">
        <v>1607</v>
      </c>
      <c r="C13" s="3582">
        <f>IF(SUM(C15:C19)=0,"NO",SUM(C15:C19))</f>
        <v>15088.272175787735</v>
      </c>
      <c r="D13" s="3583">
        <f>IF(SUM(D15:D19)=0,"NO",SUM(D15:D19))</f>
        <v>22765.315283979497</v>
      </c>
      <c r="E13" s="3599">
        <f>IF(SUM(C13)=0,"NA",G13/C13*1000/(44/28))</f>
        <v>2.6042248735385777E-2</v>
      </c>
      <c r="F13" s="3598">
        <f>IF(SUM(D13)=0,"NA",H13/D13*1000/(44/28))</f>
        <v>7.4999999999999997E-3</v>
      </c>
      <c r="G13" s="4473">
        <f>IF(SUM(G15:G19)=0,"NO",SUM(G15:G19))</f>
        <v>0.61746541526853005</v>
      </c>
      <c r="H13" s="4474">
        <f>IF(SUM(H15:H19)=0,"NO",SUM(H15:H19))</f>
        <v>0.26830550156118688</v>
      </c>
      <c r="I13" s="4472">
        <f>IF(SUM(G13:H13)=0,"NO",SUM(G13:H13))</f>
        <v>0.88577091682971698</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108.78215543093376</v>
      </c>
      <c r="D15" s="3581">
        <f>H15/F15*1000/(44/28)</f>
        <v>176.73542257461258</v>
      </c>
      <c r="E15" s="3599">
        <f>IF(SUM(C15)=0,"NA",G15/C15*1000/(44/28))</f>
        <v>3.3276620983632474E-2</v>
      </c>
      <c r="F15" s="3597">
        <v>7.4999999999999997E-3</v>
      </c>
      <c r="G15" s="4477">
        <v>5.6884183023765099E-3</v>
      </c>
      <c r="H15" s="4478">
        <v>2.0829531946293623E-3</v>
      </c>
      <c r="I15" s="4472">
        <f>IF(SUM(G15:H15)=0,"NO",SUM(G15:H15))</f>
        <v>7.7713714970058722E-3</v>
      </c>
    </row>
    <row r="16" spans="2:10" ht="18" customHeight="1" x14ac:dyDescent="0.2">
      <c r="B16" s="518" t="s">
        <v>1609</v>
      </c>
      <c r="C16" s="3584">
        <f>Table4.A!E19</f>
        <v>14897.648042387844</v>
      </c>
      <c r="D16" s="3581">
        <f>H16/F16*1000/(44/28)</f>
        <v>22353.112341055927</v>
      </c>
      <c r="E16" s="3599">
        <f t="shared" ref="E16:E21" si="3">IF(SUM(C16)=0,"NA",G16/C16*1000/(44/28))</f>
        <v>2.5750069570657542E-2</v>
      </c>
      <c r="F16" s="3597">
        <v>7.4999999999999997E-3</v>
      </c>
      <c r="G16" s="4477">
        <v>0.6028243155481755</v>
      </c>
      <c r="H16" s="4478">
        <v>0.26344739544815909</v>
      </c>
      <c r="I16" s="4472">
        <f t="shared" ref="I16:I21" si="4">IF(SUM(G16:H16)=0,"NO",SUM(G16:H16))</f>
        <v>0.8662717109963346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81.841977968958375</v>
      </c>
      <c r="D18" s="3581">
        <f>H18/F18*1000/(44/28)</f>
        <v>235.46752034895607</v>
      </c>
      <c r="E18" s="3599">
        <f t="shared" si="3"/>
        <v>6.961172058317662E-2</v>
      </c>
      <c r="F18" s="3597">
        <v>7.4999999999999997E-3</v>
      </c>
      <c r="G18" s="4477">
        <v>8.9526814179779861E-3</v>
      </c>
      <c r="H18" s="4478">
        <v>2.7751529183984106E-3</v>
      </c>
      <c r="I18" s="4472">
        <f t="shared" si="4"/>
        <v>1.1727834336376397E-2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2268.192040776772</v>
      </c>
      <c r="D20" s="3589">
        <f>D21</f>
        <v>2252.6700655110435</v>
      </c>
      <c r="E20" s="3602">
        <f t="shared" si="3"/>
        <v>1.9671824675813906E-2</v>
      </c>
      <c r="F20" s="3603">
        <f t="shared" si="5"/>
        <v>7.4999999999999997E-3</v>
      </c>
      <c r="G20" s="4482">
        <f>G21</f>
        <v>7.0116319675658456E-2</v>
      </c>
      <c r="H20" s="4483">
        <f>H21</f>
        <v>2.6549325772094439E-2</v>
      </c>
      <c r="I20" s="4484">
        <f t="shared" si="4"/>
        <v>9.6665645447752899E-2</v>
      </c>
    </row>
    <row r="21" spans="2:9" ht="18" customHeight="1" x14ac:dyDescent="0.2">
      <c r="B21" s="917" t="s">
        <v>1614</v>
      </c>
      <c r="C21" s="3582">
        <f>IF(SUM(C23:C27)=0,"NO",SUM(C23:C27))</f>
        <v>2268.192040776772</v>
      </c>
      <c r="D21" s="3583">
        <f>IF(SUM(D23:D27)=0,"NO",SUM(D23:D27))</f>
        <v>2252.6700655110435</v>
      </c>
      <c r="E21" s="3599">
        <f t="shared" si="3"/>
        <v>1.9671824675813906E-2</v>
      </c>
      <c r="F21" s="3598">
        <f t="shared" si="5"/>
        <v>7.4999999999999997E-3</v>
      </c>
      <c r="G21" s="4473">
        <f>IF(SUM(G23:G27)=0,"NO",SUM(G23:G27))</f>
        <v>7.0116319675658456E-2</v>
      </c>
      <c r="H21" s="4474">
        <f>IF(SUM(H23:H27)=0,"NO",SUM(H23:H27))</f>
        <v>2.6549325772094439E-2</v>
      </c>
      <c r="I21" s="4472">
        <f t="shared" si="4"/>
        <v>9.6665645447752899E-2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2268.192040776772</v>
      </c>
      <c r="D23" s="3581">
        <f>H23/F23*1000/(44/28)</f>
        <v>2252.6700655110435</v>
      </c>
      <c r="E23" s="3599">
        <f>IF(SUM(C23)=0,"NA",G23/C23*1000/(44/28))</f>
        <v>1.9671824675813906E-2</v>
      </c>
      <c r="F23" s="3597">
        <v>7.4999999999999997E-3</v>
      </c>
      <c r="G23" s="4477">
        <v>7.0116319675658456E-2</v>
      </c>
      <c r="H23" s="4478">
        <v>2.6549325772094439E-2</v>
      </c>
      <c r="I23" s="4472">
        <f>IF(SUM(G23:H23)=0,"NO",SUM(G23:H23))</f>
        <v>9.6665645447752899E-2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515931.79838793026</v>
      </c>
      <c r="D28" s="3579">
        <f>IF(SUM(D29:D30)=0,"NO",SUM(D29:D30))</f>
        <v>3443.1052030152887</v>
      </c>
      <c r="E28" s="3594">
        <f t="shared" si="6"/>
        <v>2.5547729238875079E-4</v>
      </c>
      <c r="F28" s="3595">
        <f t="shared" si="7"/>
        <v>7.4999999999999997E-3</v>
      </c>
      <c r="G28" s="4467">
        <f>IF(SUM(G29:G30)=0,"NO",SUM(G29:G30))</f>
        <v>0.20712820685764002</v>
      </c>
      <c r="H28" s="4468">
        <f>IF(SUM(H29:H30)=0,"NO",SUM(H29:H30))</f>
        <v>4.0579454178394474E-2</v>
      </c>
      <c r="I28" s="4484">
        <f t="shared" si="8"/>
        <v>0.2477076610360345</v>
      </c>
    </row>
    <row r="29" spans="2:9" ht="18" customHeight="1" x14ac:dyDescent="0.2">
      <c r="B29" s="917" t="s">
        <v>1621</v>
      </c>
      <c r="C29" s="3580">
        <f>Table4.C!E11</f>
        <v>502271.769219212</v>
      </c>
      <c r="D29" s="3581">
        <f>H29/F29*1000/(44/28)</f>
        <v>1073.3632689978533</v>
      </c>
      <c r="E29" s="3596">
        <f t="shared" si="6"/>
        <v>8.5294165328178706E-5</v>
      </c>
      <c r="F29" s="3597">
        <v>7.4999999999999997E-3</v>
      </c>
      <c r="G29" s="4470">
        <v>6.7321337794009034E-2</v>
      </c>
      <c r="H29" s="4471">
        <v>1.2650352813188985E-2</v>
      </c>
      <c r="I29" s="4472">
        <f t="shared" si="8"/>
        <v>7.9971690607198026E-2</v>
      </c>
    </row>
    <row r="30" spans="2:9" ht="18" customHeight="1" x14ac:dyDescent="0.2">
      <c r="B30" s="917" t="s">
        <v>1622</v>
      </c>
      <c r="C30" s="3582">
        <f>IF(SUM(C32:C36)=0,"NO",SUM(C32:C36))</f>
        <v>13660.02916871824</v>
      </c>
      <c r="D30" s="3583">
        <f>IF(SUM(D32:D36)=0,"NO",SUM(D32:D36))</f>
        <v>2369.7419340174356</v>
      </c>
      <c r="E30" s="3599">
        <f>IF(SUM(C30)=0,"NA",G30/C30*1000/(44/28))</f>
        <v>6.5130173945518099E-3</v>
      </c>
      <c r="F30" s="3598">
        <f>IF(SUM(D30)=0,"NA",H30/D30*1000/(44/28))</f>
        <v>7.4999999999999997E-3</v>
      </c>
      <c r="G30" s="4473">
        <f>IF(SUM(G32:G36)=0,"NO",SUM(G32:G36))</f>
        <v>0.13980686906363099</v>
      </c>
      <c r="H30" s="4474">
        <f>IF(SUM(H32:H36)=0,"NO",SUM(H32:H36))</f>
        <v>2.7929101365205489E-2</v>
      </c>
      <c r="I30" s="4472">
        <f t="shared" si="8"/>
        <v>0.16773597042883648</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13660.02916871824</v>
      </c>
      <c r="D32" s="3581">
        <f>H32/F32*1000/(44/28)</f>
        <v>2369.7419340174356</v>
      </c>
      <c r="E32" s="3599">
        <f>IF(SUM(C32)=0,"NA",G32/C32*1000/(44/28))</f>
        <v>6.5130173945518099E-3</v>
      </c>
      <c r="F32" s="3597">
        <v>7.4999999999999997E-3</v>
      </c>
      <c r="G32" s="4477">
        <v>0.13980686906363099</v>
      </c>
      <c r="H32" s="4478">
        <v>2.7929101365205489E-2</v>
      </c>
      <c r="I32" s="4472">
        <f t="shared" si="8"/>
        <v>0.16773597042883648</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1557.826413794385</v>
      </c>
      <c r="D46" s="3579">
        <f>IF(SUM(D47:D48)=0,"NO",SUM(D47:D48))</f>
        <v>365.82505826977103</v>
      </c>
      <c r="E46" s="3594">
        <f t="shared" si="11"/>
        <v>6.4981830510193088E-3</v>
      </c>
      <c r="F46" s="3595">
        <f t="shared" si="12"/>
        <v>7.4999999999999997E-3</v>
      </c>
      <c r="G46" s="4467">
        <f>IF(SUM(G47:G48)=0,"NO",SUM(G47:G48))</f>
        <v>1.5907636169148216E-2</v>
      </c>
      <c r="H46" s="4468">
        <f>IF(SUM(H47:H48)=0,"NO",SUM(H47:H48))</f>
        <v>4.3115096153223016E-3</v>
      </c>
      <c r="I46" s="4469">
        <f t="shared" si="8"/>
        <v>2.0219145784470517E-2</v>
      </c>
    </row>
    <row r="47" spans="2:9" ht="18" customHeight="1" x14ac:dyDescent="0.2">
      <c r="B47" s="917" t="s">
        <v>1637</v>
      </c>
      <c r="C47" s="3580">
        <f>Table4.E!E11</f>
        <v>1144.018897834</v>
      </c>
      <c r="D47" s="3581">
        <f>H47/F47*1000/(44/28)</f>
        <v>5.1514576362587912</v>
      </c>
      <c r="E47" s="3596">
        <f t="shared" si="11"/>
        <v>7.3424083395742874E-5</v>
      </c>
      <c r="F47" s="3597">
        <v>7.4999999999999997E-3</v>
      </c>
      <c r="G47" s="4470">
        <v>1.3199770408136628E-4</v>
      </c>
      <c r="H47" s="4471">
        <v>6.0713607855907183E-5</v>
      </c>
      <c r="I47" s="4472">
        <f t="shared" si="8"/>
        <v>1.9271131193727346E-4</v>
      </c>
    </row>
    <row r="48" spans="2:9" ht="18" customHeight="1" x14ac:dyDescent="0.2">
      <c r="B48" s="917" t="s">
        <v>1638</v>
      </c>
      <c r="C48" s="3582">
        <f>IF(SUM(C50:C54)=0,"NO",SUM(C50:C54))</f>
        <v>413.80751596038505</v>
      </c>
      <c r="D48" s="3583">
        <f>IF(SUM(D50:D54)=0,"NO",SUM(D50:D54))</f>
        <v>360.67360063351225</v>
      </c>
      <c r="E48" s="3599">
        <f>IF(SUM(C48)=0,"NA",G48/C48*1000/(44/28))</f>
        <v>2.4260174773019491E-2</v>
      </c>
      <c r="F48" s="3598">
        <f>IF(SUM(D48)=0,"NA",H48/D48*1000/(44/28))</f>
        <v>7.4999999999999997E-3</v>
      </c>
      <c r="G48" s="4473">
        <f>IF(SUM(G50:G54)=0,"NO",SUM(G50:G54))</f>
        <v>1.5775638465066848E-2</v>
      </c>
      <c r="H48" s="4474">
        <f>IF(SUM(H50:H54)=0,"NO",SUM(H50:H54))</f>
        <v>4.2507960074663941E-3</v>
      </c>
      <c r="I48" s="4472">
        <f t="shared" si="8"/>
        <v>2.0026434472533241E-2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413.80751596038505</v>
      </c>
      <c r="D50" s="3581">
        <f>H50/F50*1000/(44/28)</f>
        <v>360.67360063351225</v>
      </c>
      <c r="E50" s="3599">
        <f>IF(SUM(C50)=0,"NA",G50/C50*1000/(44/28))</f>
        <v>2.4260174773019491E-2</v>
      </c>
      <c r="F50" s="3597">
        <v>7.4999999999999997E-3</v>
      </c>
      <c r="G50" s="4477">
        <v>1.5775638465066848E-2</v>
      </c>
      <c r="H50" s="4478">
        <v>4.2507960074663941E-3</v>
      </c>
      <c r="I50" s="4472">
        <f t="shared" si="8"/>
        <v>2.0026434472533241E-2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1"/>
      <c r="C83" s="4492"/>
      <c r="D83" s="4492"/>
      <c r="E83" s="4492"/>
      <c r="F83" s="4492"/>
      <c r="G83" s="4492"/>
      <c r="H83" s="4492"/>
      <c r="I83" s="4493"/>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5202386.6666619359</v>
      </c>
      <c r="D10" s="3055" t="s">
        <v>97</v>
      </c>
      <c r="E10" s="615"/>
      <c r="F10" s="615"/>
      <c r="G10" s="615"/>
      <c r="H10" s="1938">
        <f>IF(SUM(H11:H15)=0,"NO",SUM(H11:H15))</f>
        <v>351082.75792210409</v>
      </c>
      <c r="I10" s="1938">
        <f t="shared" ref="I10:K10" si="0">IF(SUM(I11:I16)=0,"NO",SUM(I11:I16))</f>
        <v>76.113121959423381</v>
      </c>
      <c r="J10" s="1938">
        <f t="shared" si="0"/>
        <v>9.3648894676856997</v>
      </c>
      <c r="K10" s="3064" t="str">
        <f t="shared" si="0"/>
        <v>NO</v>
      </c>
    </row>
    <row r="11" spans="2:11" ht="18" customHeight="1" x14ac:dyDescent="0.2">
      <c r="B11" s="282" t="s">
        <v>243</v>
      </c>
      <c r="C11" s="3065">
        <f>IF(SUM(C18,'Table1.A(a)s2'!C11,'Table1.A(a)s3'!C11,'Table1.A(a)s4'!C11,'Table1.A(a)s4'!C94)=0,"NO",SUM(C18,'Table1.A(a)s2'!C11,'Table1.A(a)s3'!C11,'Table1.A(a)s4'!C11,'Table1.A(a)s4'!C94))</f>
        <v>1922566.3089014625</v>
      </c>
      <c r="D11" s="3056" t="s">
        <v>244</v>
      </c>
      <c r="E11" s="1938">
        <f>IFERROR(H11*1000/$C11,"NA")</f>
        <v>68.779456635662271</v>
      </c>
      <c r="F11" s="1938">
        <f t="shared" ref="F11:G16" si="1">IFERROR(I11*1000000/$C11,"NA")</f>
        <v>7.4652542414836827</v>
      </c>
      <c r="G11" s="1938">
        <f t="shared" si="1"/>
        <v>2.9626457013965783</v>
      </c>
      <c r="H11" s="1938">
        <f>IF(SUM(H18,'Table1.A(a)s2'!H11,'Table1.A(a)s3'!H11,'Table1.A(a)s4'!H11,'Table1.A(a)s4'!H94)=0,"NO",SUM(H18,'Table1.A(a)s2'!H11,'Table1.A(a)s3'!H11,'Table1.A(a)s4'!H11,'Table1.A(a)s4'!H94))</f>
        <v>132233.06607227342</v>
      </c>
      <c r="I11" s="1938">
        <f>IF(SUM(I18,'Table1.A(a)s2'!I11,'Table1.A(a)s3'!I11,'Table1.A(a)s4'!I11,'Table1.A(a)s4'!I94)=0,"NO",SUM(I18,'Table1.A(a)s2'!I11,'Table1.A(a)s3'!I11,'Table1.A(a)s4'!I11,'Table1.A(a)s4'!I94))</f>
        <v>14.352446292060272</v>
      </c>
      <c r="J11" s="1938">
        <f>IF(SUM(J18,'Table1.A(a)s2'!J11,'Table1.A(a)s3'!J11,'Table1.A(a)s4'!J11,'Table1.A(a)s4'!J94)=0,"NO",SUM(J18,'Table1.A(a)s2'!J11,'Table1.A(a)s3'!J11,'Table1.A(a)s4'!J11,'Table1.A(a)s4'!J94))</f>
        <v>5.695882810716804</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1593365.8132322531</v>
      </c>
      <c r="D12" s="3056" t="s">
        <v>97</v>
      </c>
      <c r="E12" s="1938">
        <f t="shared" ref="E12:E16" si="2">IFERROR(H12*1000/$C12,"NA")</f>
        <v>89.81623532429839</v>
      </c>
      <c r="F12" s="1938">
        <f t="shared" si="1"/>
        <v>0.69997050433774788</v>
      </c>
      <c r="G12" s="1938">
        <f t="shared" si="1"/>
        <v>0.88449225564486234</v>
      </c>
      <c r="H12" s="1938">
        <f>IF(SUM(H19,'Table1.A(a)s2'!H12,'Table1.A(a)s3'!H12,'Table1.A(a)s4'!H12,'Table1.A(a)s4'!H95)=0,"NO",SUM(H19,'Table1.A(a)s2'!H12,'Table1.A(a)s3'!H12,'Table1.A(a)s4'!H12,'Table1.A(a)s4'!H95))</f>
        <v>143110.1188389601</v>
      </c>
      <c r="I12" s="1938">
        <f>IF(SUM(I19,'Table1.A(a)s2'!I12,'Table1.A(a)s3'!I12,'Table1.A(a)s4'!I12,'Table1.A(a)s4'!I95)=0,"NO",SUM(I19,'Table1.A(a)s2'!I12,'Table1.A(a)s3'!I12,'Table1.A(a)s4'!I12,'Table1.A(a)s4'!I95))</f>
        <v>1.1153090718827059</v>
      </c>
      <c r="J12" s="1938">
        <f>IF(SUM(J19,'Table1.A(a)s2'!J12,'Table1.A(a)s3'!J12,'Table1.A(a)s4'!J12,'Table1.A(a)s4'!J95)=0,"NO",SUM(J19,'Table1.A(a)s2'!J12,'Table1.A(a)s3'!J12,'Table1.A(a)s4'!J12,'Table1.A(a)s4'!J95))</f>
        <v>1.4093197222132059</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1476127.091337044</v>
      </c>
      <c r="D13" s="3056" t="s">
        <v>244</v>
      </c>
      <c r="E13" s="1938">
        <f t="shared" si="2"/>
        <v>51.217273163207068</v>
      </c>
      <c r="F13" s="1938">
        <f t="shared" si="1"/>
        <v>14.713733306708631</v>
      </c>
      <c r="G13" s="1938">
        <f t="shared" si="1"/>
        <v>0.89112555126306414</v>
      </c>
      <c r="H13" s="1938">
        <f>IF(SUM(H20,'Table1.A(a)s2'!H13,'Table1.A(a)s3'!H13,'Table1.A(a)s4'!H13,'Table1.A(a)s4'!H96)=0,"NO",SUM(H20,'Table1.A(a)s2'!H13,'Table1.A(a)s3'!H13,'Table1.A(a)s4'!H13,'Table1.A(a)s4'!H96))</f>
        <v>75603.204460619687</v>
      </c>
      <c r="I13" s="1938">
        <f>IF(SUM(I20,'Table1.A(a)s2'!I13,'Table1.A(a)s3'!I13,'Table1.A(a)s4'!I13,'Table1.A(a)s4'!I96)=0,"NO",SUM(I20,'Table1.A(a)s2'!I13,'Table1.A(a)s3'!I13,'Table1.A(a)s4'!I13,'Table1.A(a)s4'!I96))</f>
        <v>21.719340348740797</v>
      </c>
      <c r="J13" s="1938">
        <f>IF(SUM(J20,'Table1.A(a)s2'!J13,'Table1.A(a)s3'!J13,'Table1.A(a)s4'!J13,'Table1.A(a)s4'!J96)=0,"NO",SUM(J20,'Table1.A(a)s2'!J13,'Table1.A(a)s3'!J13,'Table1.A(a)s4'!J13,'Table1.A(a)s4'!J96))</f>
        <v>1.3154145680020668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2779.1673995087945</v>
      </c>
      <c r="D14" s="3056" t="s">
        <v>244</v>
      </c>
      <c r="E14" s="1938">
        <f t="shared" si="2"/>
        <v>49.068131079464941</v>
      </c>
      <c r="F14" s="1938">
        <f t="shared" si="1"/>
        <v>1.0234324188828832</v>
      </c>
      <c r="G14" s="1938">
        <f t="shared" si="1"/>
        <v>0.42267487432377959</v>
      </c>
      <c r="H14" s="1938">
        <f>IF(SUM(H21,'Table1.A(a)s2'!H14,'Table1.A(a)s3'!H14,'Table1.A(a)s4'!H14,'Table1.A(a)s4'!H97)=0,"NO",SUM(H21,'Table1.A(a)s2'!H14,'Table1.A(a)s3'!H14,'Table1.A(a)s4'!H14,'Table1.A(a)s4'!H97))</f>
        <v>136.36855025087323</v>
      </c>
      <c r="I14" s="1938">
        <f>IF(SUM(I21,'Table1.A(a)s2'!I14,'Table1.A(a)s3'!I14,'Table1.A(a)s4'!I14,'Table1.A(a)s4'!I97)=0,"NO",SUM(I21,'Table1.A(a)s2'!I14,'Table1.A(a)s3'!I14,'Table1.A(a)s4'!I14,'Table1.A(a)s4'!I97))</f>
        <v>2.8442900141597378E-3</v>
      </c>
      <c r="J14" s="1938">
        <f>IF(SUM(J21,'Table1.A(a)s2'!J14,'Table1.A(a)s3'!J14,'Table1.A(a)s4'!J14,'Table1.A(a)s4'!J97)=0,"NO",SUM(J21,'Table1.A(a)s2'!J14,'Table1.A(a)s3'!J14,'Table1.A(a)s4'!J14,'Table1.A(a)s4'!J97))</f>
        <v>1.1746842313121251E-3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207548.28579166692</v>
      </c>
      <c r="D16" s="3058" t="s">
        <v>244</v>
      </c>
      <c r="E16" s="2891">
        <f t="shared" si="2"/>
        <v>82.09578270955339</v>
      </c>
      <c r="F16" s="1938">
        <f t="shared" si="1"/>
        <v>187.53795921878063</v>
      </c>
      <c r="G16" s="1938">
        <f t="shared" si="1"/>
        <v>4.543991673672382</v>
      </c>
      <c r="H16" s="2891">
        <f>IF(SUM(H23,'Table1.A(a)s2'!H16,'Table1.A(a)s3'!H15,'Table1.A(a)s4'!H16,'Table1.A(a)s4'!H99)=0,"NO",SUM(H23,'Table1.A(a)s2'!H16,'Table1.A(a)s3'!H15,'Table1.A(a)s4'!H16,'Table1.A(a)s4'!H99))</f>
        <v>17038.838972092974</v>
      </c>
      <c r="I16" s="2891">
        <f>IF(SUM(I23,'Table1.A(a)s2'!I16,'Table1.A(a)s3'!I15,'Table1.A(a)s4'!I16,'Table1.A(a)s4'!I99)=0,"NO",SUM(I23,'Table1.A(a)s2'!I16,'Table1.A(a)s3'!I15,'Table1.A(a)s4'!I16,'Table1.A(a)s4'!I99))</f>
        <v>38.923181956725458</v>
      </c>
      <c r="J16" s="2891">
        <f>IF(SUM(J23,'Table1.A(a)s2'!J16,'Table1.A(a)s3'!J15,'Table1.A(a)s4'!J16,'Table1.A(a)s4'!J99)=0,"NO",SUM(J23,'Table1.A(a)s2'!J16,'Table1.A(a)s3'!J15,'Table1.A(a)s4'!J16,'Table1.A(a)s4'!J99))</f>
        <v>0.94309768252231041</v>
      </c>
      <c r="K16" s="3045" t="str">
        <f>IF(SUM(K23,'Table1.A(a)s2'!K16,'Table1.A(a)s3'!K15,'Table1.A(a)s4'!K16,'Table1.A(a)s4'!K99)=0,"NO",SUM(K23,'Table1.A(a)s2'!K16,'Table1.A(a)s3'!K15,'Table1.A(a)s4'!K16,'Table1.A(a)s4'!K99))</f>
        <v>NO</v>
      </c>
    </row>
    <row r="17" spans="2:12" ht="18" customHeight="1" x14ac:dyDescent="0.2">
      <c r="B17" s="2209" t="s">
        <v>175</v>
      </c>
      <c r="C17" s="3046">
        <f>IF(SUM(C18:C23)=0,"NO",SUM(C18:C23))</f>
        <v>2670933.6643150151</v>
      </c>
      <c r="D17" s="3059" t="s">
        <v>97</v>
      </c>
      <c r="E17" s="3060"/>
      <c r="F17" s="3060"/>
      <c r="G17" s="3060"/>
      <c r="H17" s="3046">
        <f>IF(SUM(H18:H22)=0,"NO",SUM(H18:H22))</f>
        <v>196331.17641434309</v>
      </c>
      <c r="I17" s="3046">
        <f t="shared" ref="I17" si="3">IF(SUM(I18:I23)=0,"NO",SUM(I18:I23))</f>
        <v>26.567916881834321</v>
      </c>
      <c r="J17" s="3046">
        <f t="shared" ref="J17" si="4">IF(SUM(J18:J23)=0,"NO",SUM(J18:J23))</f>
        <v>2.9391729861273053</v>
      </c>
      <c r="K17" s="3047" t="str">
        <f t="shared" ref="K17" si="5">IF(SUM(K18:K23)=0,"NO",SUM(K18:K23))</f>
        <v>NO</v>
      </c>
    </row>
    <row r="18" spans="2:12" ht="18" customHeight="1" x14ac:dyDescent="0.2">
      <c r="B18" s="282" t="s">
        <v>243</v>
      </c>
      <c r="C18" s="3065">
        <f>IF(SUM(C25,C54,C61)=0,"NO",SUM(C25,C54,C61))</f>
        <v>215991.54019096275</v>
      </c>
      <c r="D18" s="3056" t="s">
        <v>97</v>
      </c>
      <c r="E18" s="1938">
        <f>IFERROR(H18*1000/$C18,"NA")</f>
        <v>68.465920032889429</v>
      </c>
      <c r="F18" s="1938">
        <f t="shared" ref="F18:G23" si="6">IFERROR(I18*1000000/$C18,"NA")</f>
        <v>3.1884920341219818</v>
      </c>
      <c r="G18" s="1938">
        <f t="shared" si="6"/>
        <v>2.3206636735028918</v>
      </c>
      <c r="H18" s="3065">
        <f>IF(SUM(H25,H54,H61)=0,"NO",SUM(H25,H54,H61))</f>
        <v>14788.05951849508</v>
      </c>
      <c r="I18" s="3065">
        <f>IF(SUM(I25,I54,I61)=0,"NO",SUM(I25,I54,I61))</f>
        <v>0.68868730533662259</v>
      </c>
      <c r="J18" s="3065">
        <f>IF(SUM(J25,J54,J61)=0,"NO",SUM(J25,J54,J61))</f>
        <v>0.50124372110510718</v>
      </c>
      <c r="K18" s="3048" t="str">
        <f>IF(SUM(K25,K54,K61)=0,"NO",SUM(K25,K54,K61))</f>
        <v>NO</v>
      </c>
      <c r="L18" s="19"/>
    </row>
    <row r="19" spans="2:12" ht="18" customHeight="1" x14ac:dyDescent="0.2">
      <c r="B19" s="282" t="s">
        <v>245</v>
      </c>
      <c r="C19" s="3065">
        <f t="shared" ref="C19:C23" si="7">IF(SUM(C26,C55,C62)=0,"NO",SUM(C26,C55,C62))</f>
        <v>1476391.5444816677</v>
      </c>
      <c r="D19" s="3056" t="s">
        <v>97</v>
      </c>
      <c r="E19" s="1938">
        <f t="shared" ref="E19:E23" si="8">IFERROR(H19*1000/$C19,"NA")</f>
        <v>90.43114664067501</v>
      </c>
      <c r="F19" s="1938">
        <f t="shared" si="6"/>
        <v>0.68065989257432147</v>
      </c>
      <c r="G19" s="1938">
        <f t="shared" si="6"/>
        <v>0.89958353254757339</v>
      </c>
      <c r="H19" s="3065">
        <f t="shared" ref="H19:K23" si="9">IF(SUM(H26,H55,H62)=0,"NO",SUM(H26,H55,H62))</f>
        <v>133511.78025807434</v>
      </c>
      <c r="I19" s="3065">
        <f t="shared" si="9"/>
        <v>1.0049205100645284</v>
      </c>
      <c r="J19" s="3065">
        <f t="shared" si="9"/>
        <v>1.3281375210081865</v>
      </c>
      <c r="K19" s="3048" t="str">
        <f t="shared" si="9"/>
        <v>NO</v>
      </c>
      <c r="L19" s="19"/>
    </row>
    <row r="20" spans="2:12" ht="18" customHeight="1" x14ac:dyDescent="0.2">
      <c r="B20" s="282" t="s">
        <v>246</v>
      </c>
      <c r="C20" s="3065">
        <f t="shared" si="7"/>
        <v>937213.8396751557</v>
      </c>
      <c r="D20" s="3056" t="s">
        <v>97</v>
      </c>
      <c r="E20" s="1938">
        <f t="shared" si="8"/>
        <v>51.104568728311392</v>
      </c>
      <c r="F20" s="1938">
        <f t="shared" si="6"/>
        <v>22.382334484160296</v>
      </c>
      <c r="G20" s="1938">
        <f t="shared" si="6"/>
        <v>1.0155382352343998</v>
      </c>
      <c r="H20" s="3065">
        <f t="shared" si="9"/>
        <v>47895.909082803606</v>
      </c>
      <c r="I20" s="3065">
        <f t="shared" si="9"/>
        <v>20.977033642793518</v>
      </c>
      <c r="J20" s="3065">
        <f t="shared" si="9"/>
        <v>0.95177648878096321</v>
      </c>
      <c r="K20" s="3048" t="str">
        <f t="shared" si="9"/>
        <v>NO</v>
      </c>
      <c r="L20" s="19"/>
    </row>
    <row r="21" spans="2:12" ht="18" customHeight="1" x14ac:dyDescent="0.2">
      <c r="B21" s="282" t="s">
        <v>247</v>
      </c>
      <c r="C21" s="3065">
        <f t="shared" si="7"/>
        <v>2766.3298104117698</v>
      </c>
      <c r="D21" s="3056" t="s">
        <v>97</v>
      </c>
      <c r="E21" s="1938">
        <f t="shared" si="8"/>
        <v>48.955679275965601</v>
      </c>
      <c r="F21" s="1938">
        <f t="shared" si="6"/>
        <v>1.0281818181818181</v>
      </c>
      <c r="G21" s="1938">
        <f t="shared" si="6"/>
        <v>0.42463636363636365</v>
      </c>
      <c r="H21" s="3065">
        <f t="shared" si="9"/>
        <v>135.42755497006132</v>
      </c>
      <c r="I21" s="3065">
        <f t="shared" si="9"/>
        <v>2.8442900141597378E-3</v>
      </c>
      <c r="J21" s="3065">
        <f t="shared" si="9"/>
        <v>1.1746842313121251E-3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38570.410156817372</v>
      </c>
      <c r="D23" s="3056" t="s">
        <v>97</v>
      </c>
      <c r="E23" s="1938">
        <f t="shared" si="8"/>
        <v>54.243767656730277</v>
      </c>
      <c r="F23" s="1938">
        <f t="shared" si="6"/>
        <v>100.96939902354521</v>
      </c>
      <c r="G23" s="1938">
        <f t="shared" si="6"/>
        <v>4.0663443910516621</v>
      </c>
      <c r="H23" s="3065">
        <f t="shared" si="9"/>
        <v>2092.2043669711911</v>
      </c>
      <c r="I23" s="3065">
        <f t="shared" si="9"/>
        <v>3.8944311336254938</v>
      </c>
      <c r="J23" s="3065">
        <f t="shared" si="9"/>
        <v>0.1568405710017364</v>
      </c>
      <c r="K23" s="3048" t="str">
        <f t="shared" si="9"/>
        <v>NO</v>
      </c>
      <c r="L23" s="19"/>
    </row>
    <row r="24" spans="2:12" ht="18" customHeight="1" x14ac:dyDescent="0.2">
      <c r="B24" s="1236" t="s">
        <v>250</v>
      </c>
      <c r="C24" s="3065">
        <f>IF(SUM(C25:C30)=0,"NO",SUM(C25:C30))</f>
        <v>2069909.3845612053</v>
      </c>
      <c r="D24" s="3056" t="s">
        <v>97</v>
      </c>
      <c r="E24" s="615"/>
      <c r="F24" s="615"/>
      <c r="G24" s="615"/>
      <c r="H24" s="3065">
        <f>IF(SUM(H25:H29)=0,"NO",SUM(H25:H29))</f>
        <v>162417.49514058023</v>
      </c>
      <c r="I24" s="3065">
        <f t="shared" ref="I24" si="10">IF(SUM(I25:I30)=0,"NO",SUM(I25:I30))</f>
        <v>11.675343262676478</v>
      </c>
      <c r="J24" s="3065">
        <f t="shared" ref="J24" si="11">IF(SUM(J25:J30)=0,"NO",SUM(J25:J30))</f>
        <v>2.0770089413525361</v>
      </c>
      <c r="K24" s="3048" t="str">
        <f t="shared" ref="K24" si="12">IF(SUM(K25:K30)=0,"NO",SUM(K25:K30))</f>
        <v>NO</v>
      </c>
      <c r="L24" s="19"/>
    </row>
    <row r="25" spans="2:12" ht="18" customHeight="1" x14ac:dyDescent="0.2">
      <c r="B25" s="160" t="s">
        <v>243</v>
      </c>
      <c r="C25" s="3053">
        <f>IF(SUM(C33,C40,C47)=0,"NO",SUM(C33,C40,C47))</f>
        <v>46215.736328766383</v>
      </c>
      <c r="D25" s="3061" t="s">
        <v>97</v>
      </c>
      <c r="E25" s="3065">
        <f>IFERROR(H25*1000/$C25,"NA")</f>
        <v>70.004896863899219</v>
      </c>
      <c r="F25" s="1938">
        <f t="shared" ref="F25:G30" si="13">IFERROR(I25*1000000/$C25,"NA")</f>
        <v>3.7126826217298032</v>
      </c>
      <c r="G25" s="1938">
        <f t="shared" si="13"/>
        <v>0.37793766606291213</v>
      </c>
      <c r="H25" s="3065">
        <f>IF(SUM(H33,H40,H47)=0,"NO",SUM(H33,H40,H47))</f>
        <v>3235.327855184451</v>
      </c>
      <c r="I25" s="3065">
        <f>IF(SUM(I33,I40,I47)=0,"NO",SUM(I33,I40,I47))</f>
        <v>0.17158436111825767</v>
      </c>
      <c r="J25" s="3065">
        <f>IF(SUM(J33,J40,J47)=0,"NO",SUM(J33,J40,J47))</f>
        <v>1.7466667523472906E-2</v>
      </c>
      <c r="K25" s="3048" t="str">
        <f>IF(SUM(K33,K40,K47)=0,"NO",SUM(K33,K40,K47))</f>
        <v>NO</v>
      </c>
      <c r="L25" s="19"/>
    </row>
    <row r="26" spans="2:12" ht="18" customHeight="1" x14ac:dyDescent="0.2">
      <c r="B26" s="160" t="s">
        <v>245</v>
      </c>
      <c r="C26" s="3065">
        <f t="shared" ref="C26:C30" si="14">IF(SUM(C34,C41,C48)=0,"NO",SUM(C34,C41,C48))</f>
        <v>1468241.1141117136</v>
      </c>
      <c r="D26" s="3061" t="s">
        <v>97</v>
      </c>
      <c r="E26" s="3065">
        <f t="shared" ref="E26:E30" si="15">IFERROR(H26*1000/$C26,"NA")</f>
        <v>90.512513129315977</v>
      </c>
      <c r="F26" s="1938">
        <f t="shared" si="13"/>
        <v>0.67911061945569196</v>
      </c>
      <c r="G26" s="1938">
        <f t="shared" si="13"/>
        <v>0.9004289145143558</v>
      </c>
      <c r="H26" s="3065">
        <f t="shared" ref="H26:K30" si="16">IF(SUM(H34,H41,H48)=0,"NO",SUM(H34,H41,H48))</f>
        <v>132894.19311803801</v>
      </c>
      <c r="I26" s="3065">
        <f t="shared" si="16"/>
        <v>0.99709813251472112</v>
      </c>
      <c r="J26" s="3065">
        <f t="shared" si="16"/>
        <v>1.3220467526249589</v>
      </c>
      <c r="K26" s="3048" t="str">
        <f t="shared" si="16"/>
        <v>NO</v>
      </c>
      <c r="L26" s="19"/>
    </row>
    <row r="27" spans="2:12" ht="18" customHeight="1" x14ac:dyDescent="0.2">
      <c r="B27" s="160" t="s">
        <v>246</v>
      </c>
      <c r="C27" s="3065">
        <f t="shared" si="14"/>
        <v>516923.45539390796</v>
      </c>
      <c r="D27" s="3061" t="s">
        <v>97</v>
      </c>
      <c r="E27" s="3065">
        <f t="shared" si="15"/>
        <v>50.854674697099462</v>
      </c>
      <c r="F27" s="1938">
        <f t="shared" si="13"/>
        <v>12.791793948580892</v>
      </c>
      <c r="G27" s="1938">
        <f t="shared" si="13"/>
        <v>1.1235769038519068</v>
      </c>
      <c r="H27" s="3065">
        <f t="shared" si="16"/>
        <v>26287.974167357796</v>
      </c>
      <c r="I27" s="3065">
        <f t="shared" si="16"/>
        <v>6.612378328587317</v>
      </c>
      <c r="J27" s="3065">
        <f t="shared" si="16"/>
        <v>0.5808032555399163</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38529.078726817374</v>
      </c>
      <c r="D30" s="3061" t="s">
        <v>97</v>
      </c>
      <c r="E30" s="3065">
        <f t="shared" si="15"/>
        <v>54.228893242057111</v>
      </c>
      <c r="F30" s="1938">
        <f t="shared" si="13"/>
        <v>101.07385302586137</v>
      </c>
      <c r="G30" s="1938">
        <f t="shared" si="13"/>
        <v>4.0668573150991456</v>
      </c>
      <c r="H30" s="3065">
        <f t="shared" si="16"/>
        <v>2089.3892969913932</v>
      </c>
      <c r="I30" s="3065">
        <f t="shared" si="16"/>
        <v>3.8942824404561813</v>
      </c>
      <c r="J30" s="3065">
        <f t="shared" si="16"/>
        <v>0.15669226566418809</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2069909.3845612053</v>
      </c>
      <c r="D32" s="3056" t="s">
        <v>97</v>
      </c>
      <c r="E32" s="1939"/>
      <c r="F32" s="1939"/>
      <c r="G32" s="1939"/>
      <c r="H32" s="3065">
        <f>IF(SUM(H33:H37)=0,"NO",SUM(H33:H37))</f>
        <v>162417.49514058023</v>
      </c>
      <c r="I32" s="3065">
        <f t="shared" ref="I32" si="17">IF(SUM(I33:I38)=0,"NO",SUM(I33:I38))</f>
        <v>11.675343262676478</v>
      </c>
      <c r="J32" s="3065">
        <f t="shared" ref="J32" si="18">IF(SUM(J33:J38)=0,"NO",SUM(J33:J38))</f>
        <v>2.0770089413525361</v>
      </c>
      <c r="K32" s="3048" t="str">
        <f t="shared" ref="K32" si="19">IF(SUM(K33:K38)=0,"NO",SUM(K33:K38))</f>
        <v>NO</v>
      </c>
      <c r="L32" s="19"/>
    </row>
    <row r="33" spans="2:12" ht="18" customHeight="1" x14ac:dyDescent="0.2">
      <c r="B33" s="160" t="s">
        <v>243</v>
      </c>
      <c r="C33" s="3014">
        <v>46215.736328766383</v>
      </c>
      <c r="D33" s="3056" t="s">
        <v>97</v>
      </c>
      <c r="E33" s="1938">
        <f>IFERROR(H33*1000/$C33,"NA")</f>
        <v>70.004896863899219</v>
      </c>
      <c r="F33" s="1938">
        <f t="shared" ref="F33:G38" si="20">IFERROR(I33*1000000/$C33,"NA")</f>
        <v>3.7126826217298032</v>
      </c>
      <c r="G33" s="1938">
        <f t="shared" si="20"/>
        <v>0.37793766606291213</v>
      </c>
      <c r="H33" s="3014">
        <v>3235.327855184451</v>
      </c>
      <c r="I33" s="3014">
        <v>0.17158436111825767</v>
      </c>
      <c r="J33" s="3014">
        <v>1.7466667523472906E-2</v>
      </c>
      <c r="K33" s="3051" t="s">
        <v>199</v>
      </c>
      <c r="L33" s="19"/>
    </row>
    <row r="34" spans="2:12" ht="18" customHeight="1" x14ac:dyDescent="0.2">
      <c r="B34" s="160" t="s">
        <v>245</v>
      </c>
      <c r="C34" s="3014">
        <v>1468241.1141117136</v>
      </c>
      <c r="D34" s="3056" t="s">
        <v>97</v>
      </c>
      <c r="E34" s="1938">
        <f t="shared" ref="E34:E38" si="21">IFERROR(H34*1000/$C34,"NA")</f>
        <v>90.512513129315977</v>
      </c>
      <c r="F34" s="1938">
        <f t="shared" si="20"/>
        <v>0.67911061945569196</v>
      </c>
      <c r="G34" s="1938">
        <f t="shared" si="20"/>
        <v>0.9004289145143558</v>
      </c>
      <c r="H34" s="3014">
        <v>132894.19311803801</v>
      </c>
      <c r="I34" s="3014">
        <v>0.99709813251472112</v>
      </c>
      <c r="J34" s="3014">
        <v>1.3220467526249589</v>
      </c>
      <c r="K34" s="3051" t="s">
        <v>199</v>
      </c>
      <c r="L34" s="19"/>
    </row>
    <row r="35" spans="2:12" ht="18" customHeight="1" x14ac:dyDescent="0.2">
      <c r="B35" s="160" t="s">
        <v>246</v>
      </c>
      <c r="C35" s="3014">
        <v>516923.45539390796</v>
      </c>
      <c r="D35" s="3056" t="s">
        <v>97</v>
      </c>
      <c r="E35" s="1938">
        <f t="shared" si="21"/>
        <v>50.854674697099462</v>
      </c>
      <c r="F35" s="1938">
        <f t="shared" si="20"/>
        <v>12.791793948580892</v>
      </c>
      <c r="G35" s="1938">
        <f t="shared" si="20"/>
        <v>1.1235769038519068</v>
      </c>
      <c r="H35" s="3014">
        <v>26287.974167357796</v>
      </c>
      <c r="I35" s="3014">
        <v>6.612378328587317</v>
      </c>
      <c r="J35" s="3014">
        <v>0.5808032555399163</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38529.078726817374</v>
      </c>
      <c r="D38" s="3056" t="s">
        <v>97</v>
      </c>
      <c r="E38" s="1938">
        <f t="shared" si="21"/>
        <v>54.228893242057111</v>
      </c>
      <c r="F38" s="1938">
        <f t="shared" si="20"/>
        <v>101.07385302586137</v>
      </c>
      <c r="G38" s="1938">
        <f t="shared" si="20"/>
        <v>4.0668573150991456</v>
      </c>
      <c r="H38" s="3014">
        <v>2089.3892969913932</v>
      </c>
      <c r="I38" s="3014">
        <v>3.8942824404561813</v>
      </c>
      <c r="J38" s="3014">
        <v>0.15669226566418809</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40628.759112885367</v>
      </c>
      <c r="D53" s="3056" t="s">
        <v>97</v>
      </c>
      <c r="E53" s="615"/>
      <c r="F53" s="615"/>
      <c r="G53" s="615"/>
      <c r="H53" s="3065">
        <f>IF(SUM(H54:H58)=0,"NO",SUM(H54:H58))</f>
        <v>2404.3563657659402</v>
      </c>
      <c r="I53" s="3065">
        <f t="shared" ref="I53:K53" si="28">IF(SUM(I54:I59)=0,"NO",SUM(I54:I59))</f>
        <v>3.9276232716592974E-2</v>
      </c>
      <c r="J53" s="3065">
        <f t="shared" si="28"/>
        <v>6.2997059936155233E-3</v>
      </c>
      <c r="K53" s="3048" t="str">
        <f t="shared" si="28"/>
        <v>NO</v>
      </c>
      <c r="L53" s="19"/>
    </row>
    <row r="54" spans="2:12" ht="18" customHeight="1" x14ac:dyDescent="0.2">
      <c r="B54" s="160" t="s">
        <v>243</v>
      </c>
      <c r="C54" s="3014">
        <v>33717.218447896397</v>
      </c>
      <c r="D54" s="3056" t="s">
        <v>97</v>
      </c>
      <c r="E54" s="1938">
        <f>IFERROR(H54*1000/$C54,"NA")</f>
        <v>60.972276583793409</v>
      </c>
      <c r="F54" s="1938">
        <f t="shared" ref="F54:G59" si="29">IFERROR(I54*1000000/$C54,"NA")</f>
        <v>0.95410931714131697</v>
      </c>
      <c r="G54" s="1938">
        <f t="shared" si="29"/>
        <v>9.9795138905347081E-2</v>
      </c>
      <c r="H54" s="3014">
        <v>2055.8155688413208</v>
      </c>
      <c r="I54" s="3014">
        <v>3.2169912269227045E-2</v>
      </c>
      <c r="J54" s="3014">
        <v>3.364814498509752E-3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4145.2108545772007</v>
      </c>
      <c r="D56" s="3056" t="s">
        <v>97</v>
      </c>
      <c r="E56" s="1938">
        <f t="shared" si="30"/>
        <v>51.411918339265014</v>
      </c>
      <c r="F56" s="1938">
        <f t="shared" si="29"/>
        <v>1.0281818181818183</v>
      </c>
      <c r="G56" s="1938">
        <f t="shared" si="29"/>
        <v>0.42463636363636353</v>
      </c>
      <c r="H56" s="3014">
        <v>213.11324195455796</v>
      </c>
      <c r="I56" s="3014">
        <v>4.2620304332061949E-3</v>
      </c>
      <c r="J56" s="3014">
        <v>1.7602072637936455E-3</v>
      </c>
      <c r="K56" s="3051" t="s">
        <v>199</v>
      </c>
    </row>
    <row r="57" spans="2:12" ht="18" customHeight="1" x14ac:dyDescent="0.2">
      <c r="B57" s="282" t="s">
        <v>247</v>
      </c>
      <c r="C57" s="3014">
        <v>2766.3298104117698</v>
      </c>
      <c r="D57" s="3056" t="s">
        <v>97</v>
      </c>
      <c r="E57" s="1938">
        <f t="shared" si="30"/>
        <v>48.955679275965601</v>
      </c>
      <c r="F57" s="1938">
        <f t="shared" si="29"/>
        <v>1.0281818181818181</v>
      </c>
      <c r="G57" s="1938">
        <f t="shared" si="29"/>
        <v>0.42463636363636365</v>
      </c>
      <c r="H57" s="3014">
        <v>135.42755497006132</v>
      </c>
      <c r="I57" s="3014">
        <v>2.8442900141597378E-3</v>
      </c>
      <c r="J57" s="3014">
        <v>1.1746842313121251E-3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560395.52064092469</v>
      </c>
      <c r="D60" s="3056" t="s">
        <v>97</v>
      </c>
      <c r="E60" s="615"/>
      <c r="F60" s="615"/>
      <c r="G60" s="615"/>
      <c r="H60" s="3065">
        <f>IF(SUM(H61:H65)=0,"NO",SUM(H61:H65))</f>
        <v>31509.324907996895</v>
      </c>
      <c r="I60" s="3065">
        <f t="shared" ref="I60:K60" si="31">IF(SUM(I61:I66)=0,"NO",SUM(I61:I66))</f>
        <v>14.853297386441254</v>
      </c>
      <c r="J60" s="3065">
        <f t="shared" si="31"/>
        <v>0.85586433878115364</v>
      </c>
      <c r="K60" s="3048" t="str">
        <f t="shared" si="31"/>
        <v>NO</v>
      </c>
      <c r="L60" s="19"/>
    </row>
    <row r="61" spans="2:12" ht="18" customHeight="1" x14ac:dyDescent="0.2">
      <c r="B61" s="160" t="s">
        <v>243</v>
      </c>
      <c r="C61" s="3053">
        <f>IF(SUM(C69,C76,C83)=0,"NO",SUM(C69,C76,C83))</f>
        <v>136058.58541429997</v>
      </c>
      <c r="D61" s="3056" t="s">
        <v>97</v>
      </c>
      <c r="E61" s="1938">
        <f>IFERROR(H61*1000/$C61,"NA")</f>
        <v>69.800197213215824</v>
      </c>
      <c r="F61" s="1938">
        <f t="shared" ref="F61:G66" si="32">IFERROR(I61*1000000/$C61,"NA")</f>
        <v>3.5641487119134094</v>
      </c>
      <c r="G61" s="1938">
        <f t="shared" si="32"/>
        <v>3.5309219011814923</v>
      </c>
      <c r="H61" s="3053">
        <f>IF(SUM(H69,H76,H83)=0,"NO",SUM(H69,H76,H83))</f>
        <v>9496.9160944693085</v>
      </c>
      <c r="I61" s="3053">
        <f>IF(SUM(I69,I76,I83)=0,"NO",SUM(I69,I76,I83))</f>
        <v>0.48493303194913784</v>
      </c>
      <c r="J61" s="3053">
        <f>IF(SUM(J69,J76,J83)=0,"NO",SUM(J69,J76,J83))</f>
        <v>0.48041223908312447</v>
      </c>
      <c r="K61" s="3067" t="str">
        <f>IF(SUM(K69,K76,K83)=0,"NO",SUM(K69,K76,K83))</f>
        <v>NO</v>
      </c>
    </row>
    <row r="62" spans="2:12" ht="18" customHeight="1" x14ac:dyDescent="0.2">
      <c r="B62" s="160" t="s">
        <v>245</v>
      </c>
      <c r="C62" s="3053">
        <f t="shared" ref="C62:C66" si="33">IF(SUM(C70,C77,C84)=0,"NO",SUM(C70,C77,C84))</f>
        <v>8150.4303699540751</v>
      </c>
      <c r="D62" s="3056" t="s">
        <v>97</v>
      </c>
      <c r="E62" s="1938">
        <f t="shared" ref="E62:E66" si="34">IFERROR(H62*1000/$C62,"NA")</f>
        <v>75.773561886132825</v>
      </c>
      <c r="F62" s="1938">
        <f t="shared" si="32"/>
        <v>0.95975024566112843</v>
      </c>
      <c r="G62" s="1938">
        <f t="shared" si="32"/>
        <v>0.74729408224636684</v>
      </c>
      <c r="H62" s="3053">
        <f t="shared" ref="H62:K66" si="35">IF(SUM(H70,H77,H84)=0,"NO",SUM(H70,H77,H84))</f>
        <v>617.58714003633156</v>
      </c>
      <c r="I62" s="3053">
        <f t="shared" si="35"/>
        <v>7.8223775498073456E-3</v>
      </c>
      <c r="J62" s="3053">
        <f t="shared" si="35"/>
        <v>6.0907683832277472E-3</v>
      </c>
      <c r="K62" s="3067" t="str">
        <f t="shared" si="35"/>
        <v>NO</v>
      </c>
    </row>
    <row r="63" spans="2:12" ht="18" customHeight="1" x14ac:dyDescent="0.2">
      <c r="B63" s="160" t="s">
        <v>246</v>
      </c>
      <c r="C63" s="3053">
        <f t="shared" si="33"/>
        <v>416145.1734266706</v>
      </c>
      <c r="D63" s="3056" t="s">
        <v>97</v>
      </c>
      <c r="E63" s="1938">
        <f t="shared" si="34"/>
        <v>51.411918339264986</v>
      </c>
      <c r="F63" s="1938">
        <f t="shared" si="32"/>
        <v>34.508133701335488</v>
      </c>
      <c r="G63" s="1938">
        <f t="shared" si="32"/>
        <v>0.88722169462410605</v>
      </c>
      <c r="H63" s="3053">
        <f t="shared" si="35"/>
        <v>21394.821673491253</v>
      </c>
      <c r="I63" s="3053">
        <f t="shared" si="35"/>
        <v>14.360393283772995</v>
      </c>
      <c r="J63" s="3053">
        <f t="shared" si="35"/>
        <v>0.3692130259772532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41.331430000000005</v>
      </c>
      <c r="D66" s="3056" t="s">
        <v>97</v>
      </c>
      <c r="E66" s="1938">
        <f t="shared" si="34"/>
        <v>68.109668109668092</v>
      </c>
      <c r="F66" s="1938">
        <f t="shared" si="32"/>
        <v>3.5975810493976867</v>
      </c>
      <c r="G66" s="1938">
        <f t="shared" si="32"/>
        <v>3.5881975907510704</v>
      </c>
      <c r="H66" s="3053">
        <f t="shared" si="35"/>
        <v>2.815069979797979</v>
      </c>
      <c r="I66" s="3053">
        <f t="shared" si="35"/>
        <v>1.4869316931250706E-4</v>
      </c>
      <c r="J66" s="3053">
        <f t="shared" si="35"/>
        <v>1.4830533754829652E-4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8149.6653699540748</v>
      </c>
      <c r="D68" s="3056" t="s">
        <v>97</v>
      </c>
      <c r="E68" s="615"/>
      <c r="F68" s="615"/>
      <c r="G68" s="615"/>
      <c r="H68" s="3065">
        <f>IF(SUM(H69:H73)=0,"NO",SUM(H69:H73))</f>
        <v>617.52474663633154</v>
      </c>
      <c r="I68" s="3065">
        <f t="shared" ref="I68:K68" si="36">IF(SUM(I69:I74)=0,"NO",SUM(I69:I74))</f>
        <v>7.8218675498073452E-3</v>
      </c>
      <c r="J68" s="3065">
        <f t="shared" si="36"/>
        <v>6.0904040975134615E-3</v>
      </c>
      <c r="K68" s="3048" t="str">
        <f t="shared" si="36"/>
        <v>NO</v>
      </c>
    </row>
    <row r="69" spans="2:11" ht="18" customHeight="1" x14ac:dyDescent="0.2">
      <c r="B69" s="282" t="s">
        <v>243</v>
      </c>
      <c r="C69" s="3014" t="s">
        <v>199</v>
      </c>
      <c r="D69" s="3055" t="s">
        <v>97</v>
      </c>
      <c r="E69" s="1938" t="str">
        <f>IFERROR(H69*1000/$C69,"NA")</f>
        <v>NA</v>
      </c>
      <c r="F69" s="1938" t="str">
        <f t="shared" ref="F69:G74" si="37">IFERROR(I69*1000000/$C69,"NA")</f>
        <v>NA</v>
      </c>
      <c r="G69" s="1938" t="str">
        <f t="shared" si="37"/>
        <v>NA</v>
      </c>
      <c r="H69" s="3014" t="s">
        <v>199</v>
      </c>
      <c r="I69" s="3014" t="s">
        <v>199</v>
      </c>
      <c r="J69" s="3014" t="s">
        <v>199</v>
      </c>
      <c r="K69" s="3051" t="s">
        <v>199</v>
      </c>
    </row>
    <row r="70" spans="2:11" ht="18" customHeight="1" x14ac:dyDescent="0.2">
      <c r="B70" s="282" t="s">
        <v>245</v>
      </c>
      <c r="C70" s="3014">
        <v>8149.6653699540748</v>
      </c>
      <c r="D70" s="3055" t="s">
        <v>97</v>
      </c>
      <c r="E70" s="1938">
        <f t="shared" ref="E70:E74" si="38">IFERROR(H70*1000/$C70,"NA")</f>
        <v>75.77301871963995</v>
      </c>
      <c r="F70" s="1938">
        <f t="shared" si="37"/>
        <v>0.95977775708985014</v>
      </c>
      <c r="G70" s="1938">
        <f t="shared" si="37"/>
        <v>0.74731953043954025</v>
      </c>
      <c r="H70" s="3014">
        <v>617.52474663633154</v>
      </c>
      <c r="I70" s="3014">
        <v>7.8218675498073452E-3</v>
      </c>
      <c r="J70" s="3014">
        <v>6.0904040975134615E-3</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413029.99168492662</v>
      </c>
      <c r="D75" s="3056" t="s">
        <v>97</v>
      </c>
      <c r="E75" s="615"/>
      <c r="F75" s="615"/>
      <c r="G75" s="615"/>
      <c r="H75" s="3065">
        <f>IF(SUM(H76:H80)=0,"NO",SUM(H76:H80))</f>
        <v>21304.195640604466</v>
      </c>
      <c r="I75" s="3065">
        <f t="shared" ref="I75:K75" si="39">IF(SUM(I76:I81)=0,"NO",SUM(I76:I81))</f>
        <v>14.346144029519921</v>
      </c>
      <c r="J75" s="3065">
        <f t="shared" si="39"/>
        <v>0.37088322141913505</v>
      </c>
      <c r="K75" s="3048" t="str">
        <f t="shared" si="39"/>
        <v>NO</v>
      </c>
    </row>
    <row r="76" spans="2:11" ht="18" customHeight="1" x14ac:dyDescent="0.2">
      <c r="B76" s="282" t="s">
        <v>243</v>
      </c>
      <c r="C76" s="3014">
        <v>4499.9859999999999</v>
      </c>
      <c r="D76" s="3055" t="s">
        <v>97</v>
      </c>
      <c r="E76" s="1938">
        <f>IFERROR(H76*1000/$C76,"NA")</f>
        <v>66.858271538864997</v>
      </c>
      <c r="F76" s="1938">
        <f t="shared" ref="F76:G81" si="40">IFERROR(I76*1000000/$C76,"NA")</f>
        <v>2.6166485648114088</v>
      </c>
      <c r="G76" s="1938">
        <f t="shared" si="40"/>
        <v>1.9096219051517471</v>
      </c>
      <c r="H76" s="3014">
        <v>300.86128590909095</v>
      </c>
      <c r="I76" s="3014">
        <v>1.1774881908571433E-2</v>
      </c>
      <c r="J76" s="3014">
        <v>8.5932718384761908E-3</v>
      </c>
      <c r="K76" s="3051" t="s">
        <v>199</v>
      </c>
    </row>
    <row r="77" spans="2:11" ht="18" customHeight="1" x14ac:dyDescent="0.2">
      <c r="B77" s="282" t="s">
        <v>245</v>
      </c>
      <c r="C77" s="3014">
        <v>0.7649999999999999</v>
      </c>
      <c r="D77" s="3055" t="s">
        <v>97</v>
      </c>
      <c r="E77" s="1938">
        <f t="shared" ref="E77:E81" si="41">IFERROR(H77*1000/$C77,"NA")</f>
        <v>81.560000000000016</v>
      </c>
      <c r="F77" s="1938">
        <f t="shared" si="40"/>
        <v>0.66666666666666674</v>
      </c>
      <c r="G77" s="1938">
        <f t="shared" si="40"/>
        <v>0.47619047619047628</v>
      </c>
      <c r="H77" s="3014">
        <v>6.2393400000000002E-2</v>
      </c>
      <c r="I77" s="3014">
        <v>5.0999999999999999E-7</v>
      </c>
      <c r="J77" s="3014">
        <v>3.6428571428571433E-7</v>
      </c>
      <c r="K77" s="3051" t="s">
        <v>199</v>
      </c>
    </row>
    <row r="78" spans="2:11" ht="18" customHeight="1" x14ac:dyDescent="0.2">
      <c r="B78" s="160" t="s">
        <v>246</v>
      </c>
      <c r="C78" s="3014">
        <v>408529.24068492663</v>
      </c>
      <c r="D78" s="3055" t="s">
        <v>97</v>
      </c>
      <c r="E78" s="1938">
        <f t="shared" si="41"/>
        <v>51.411918339264986</v>
      </c>
      <c r="F78" s="1938">
        <f t="shared" si="40"/>
        <v>35.087742100366725</v>
      </c>
      <c r="G78" s="1938">
        <f t="shared" si="40"/>
        <v>0.8868143310563078</v>
      </c>
      <c r="H78" s="3014">
        <v>21003.271961295377</v>
      </c>
      <c r="I78" s="3014">
        <v>14.33436863761135</v>
      </c>
      <c r="J78" s="3014">
        <v>0.36228958529494459</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139215.86358604397</v>
      </c>
      <c r="D82" s="3056" t="s">
        <v>97</v>
      </c>
      <c r="E82" s="615"/>
      <c r="F82" s="615"/>
      <c r="G82" s="615"/>
      <c r="H82" s="3065">
        <f>IF(SUM(H83:H87)=0,"NO",SUM(H83:H87))</f>
        <v>9587.6045207560946</v>
      </c>
      <c r="I82" s="3065">
        <f t="shared" ref="I82:K82" si="42">IF(SUM(I83:I88)=0,"NO",SUM(I83:I88))</f>
        <v>0.49933148937152405</v>
      </c>
      <c r="J82" s="3065">
        <f t="shared" si="42"/>
        <v>0.47889071326450516</v>
      </c>
      <c r="K82" s="3048" t="str">
        <f t="shared" si="42"/>
        <v>NO</v>
      </c>
    </row>
    <row r="83" spans="2:11" ht="18" customHeight="1" x14ac:dyDescent="0.2">
      <c r="B83" s="282" t="s">
        <v>243</v>
      </c>
      <c r="C83" s="3014">
        <v>131558.59941429997</v>
      </c>
      <c r="D83" s="3055" t="s">
        <v>97</v>
      </c>
      <c r="E83" s="1938">
        <f>IFERROR(H83*1000/$C83,"NA")</f>
        <v>69.900826319990728</v>
      </c>
      <c r="F83" s="1938">
        <f t="shared" ref="F83:G88" si="43">IFERROR(I83*1000000/$C83,"NA")</f>
        <v>3.5965581280666608</v>
      </c>
      <c r="G83" s="1938">
        <f t="shared" si="43"/>
        <v>3.5863787646356102</v>
      </c>
      <c r="H83" s="3014">
        <v>9196.0548085602168</v>
      </c>
      <c r="I83" s="3014">
        <v>0.47315815004056638</v>
      </c>
      <c r="J83" s="3014">
        <v>0.47181896724464828</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7615.9327417439999</v>
      </c>
      <c r="D85" s="3055" t="s">
        <v>97</v>
      </c>
      <c r="E85" s="1938">
        <f t="shared" si="44"/>
        <v>51.411918339265021</v>
      </c>
      <c r="F85" s="1938">
        <f t="shared" si="43"/>
        <v>3.4171318266770463</v>
      </c>
      <c r="G85" s="1938">
        <f t="shared" si="43"/>
        <v>0.90907324382740762</v>
      </c>
      <c r="H85" s="3014">
        <v>391.54971219587725</v>
      </c>
      <c r="I85" s="3014">
        <v>2.6024646161645199E-2</v>
      </c>
      <c r="J85" s="3014">
        <v>6.9234406823085798E-3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41.331430000000005</v>
      </c>
      <c r="D88" s="3063" t="s">
        <v>97</v>
      </c>
      <c r="E88" s="2891">
        <f t="shared" si="44"/>
        <v>68.109668109668092</v>
      </c>
      <c r="F88" s="2891">
        <f t="shared" si="43"/>
        <v>3.5975810493976867</v>
      </c>
      <c r="G88" s="2891">
        <f t="shared" si="43"/>
        <v>3.5881975907510704</v>
      </c>
      <c r="H88" s="3021">
        <v>2.815069979797979</v>
      </c>
      <c r="I88" s="3021">
        <v>1.4869316931250706E-4</v>
      </c>
      <c r="J88" s="3021">
        <v>1.4830533754829652E-4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22914469.258034259</v>
      </c>
      <c r="G10" s="4346" t="s">
        <v>205</v>
      </c>
      <c r="H10" s="4347">
        <f t="shared" ref="H10:H13" si="0">IF(SUM($F10)=0,"NA",K10*1000/$F10)</f>
        <v>1.9189314812764788E-2</v>
      </c>
      <c r="I10" s="4348">
        <f t="shared" ref="I10:I13" si="1">IF(SUM($F10)=0,"NA",L10*1000/$F10)</f>
        <v>4.3658128787415047E-4</v>
      </c>
      <c r="J10" s="4349" t="str">
        <f>IF(SUM(J11,J25,J36,J48,J59,J70,J76)=0,"IE",SUM(J11,J25,J36,J48,J59,J70,J76))</f>
        <v>IE</v>
      </c>
      <c r="K10" s="4350">
        <f>IF(SUM(K11,K25,K36,K48,K59,K70,K76)=0,"NO",SUM(K11,K25,K36,K48,K59,K70,K76))</f>
        <v>439.71296435984016</v>
      </c>
      <c r="L10" s="4351">
        <f>IF(SUM(L11,L25,L36,L48,L59,L70,L76)=0,"NO",SUM(L11,L25,L36,L48,L59,L70,L76))</f>
        <v>10.004028499625226</v>
      </c>
    </row>
    <row r="11" spans="2:13" ht="18" customHeight="1" x14ac:dyDescent="0.2">
      <c r="B11" s="934" t="s">
        <v>1662</v>
      </c>
      <c r="C11" s="4352"/>
      <c r="D11" s="4353"/>
      <c r="E11" s="2866" t="s">
        <v>1661</v>
      </c>
      <c r="F11" s="4354">
        <f>IF(SUM(F12,F19)=0,"NO",SUM(F12,F19))</f>
        <v>6860507.1499903742</v>
      </c>
      <c r="G11" s="4355" t="s">
        <v>205</v>
      </c>
      <c r="H11" s="4356">
        <f t="shared" si="0"/>
        <v>3.0858883930205836E-2</v>
      </c>
      <c r="I11" s="4357">
        <f t="shared" si="1"/>
        <v>5.2554327161131727E-4</v>
      </c>
      <c r="J11" s="4358" t="str">
        <f>IF(SUM(J12,J19)=0,"IE",SUM(J12,J19))</f>
        <v>IE</v>
      </c>
      <c r="K11" s="4359">
        <f>IF(SUM(K12,K19)=0,"NO",SUM(K12,K19))</f>
        <v>211.70759384390018</v>
      </c>
      <c r="L11" s="4360">
        <f>IF(SUM(L12,L19)=0,"NO",SUM(L12,L19))</f>
        <v>3.6054933725187754</v>
      </c>
      <c r="M11" s="472"/>
    </row>
    <row r="12" spans="2:13" ht="18" customHeight="1" x14ac:dyDescent="0.2">
      <c r="B12" s="906" t="s">
        <v>1663</v>
      </c>
      <c r="C12" s="4361"/>
      <c r="D12" s="4362"/>
      <c r="E12" s="4363" t="s">
        <v>1661</v>
      </c>
      <c r="F12" s="4364">
        <f>IF(SUM(F13,F17)=0,"NO",SUM(F13,F17))</f>
        <v>6851581.0754507324</v>
      </c>
      <c r="G12" s="4365" t="str">
        <f>IFERROR(IF(SUM($F12)=0,"NA",J12*1000/$F12),"NA")</f>
        <v>NA</v>
      </c>
      <c r="H12" s="4366">
        <f t="shared" si="0"/>
        <v>2.9583462333464382E-2</v>
      </c>
      <c r="I12" s="4367">
        <f t="shared" si="1"/>
        <v>5.0924344895926261E-4</v>
      </c>
      <c r="J12" s="4170" t="str">
        <f>IF(SUM(J13,J17)=0,"IE",SUM(J13,J17))</f>
        <v>IE</v>
      </c>
      <c r="K12" s="3057">
        <f>IF(SUM(K13,K17)=0,"NO",SUM(K13,K17))</f>
        <v>202.69349067027412</v>
      </c>
      <c r="L12" s="3106">
        <f>IF(SUM(L13,L17)=0,"NO",SUM(L13,L17))</f>
        <v>3.4891227776865446</v>
      </c>
    </row>
    <row r="13" spans="2:13" ht="18" customHeight="1" x14ac:dyDescent="0.2">
      <c r="B13" s="926" t="s">
        <v>1664</v>
      </c>
      <c r="C13" s="4361"/>
      <c r="D13" s="4362"/>
      <c r="E13" s="4363" t="s">
        <v>1661</v>
      </c>
      <c r="F13" s="4368">
        <f>IF(SUM(F14:F16)=0,"NO",SUM(F14:F16))</f>
        <v>6613659.6682164576</v>
      </c>
      <c r="G13" s="4369" t="str">
        <f t="shared" ref="G13:G76" si="2">IFERROR(IF(SUM($F13)=0,"NA",J13*1000/$F13),"NA")</f>
        <v>NA</v>
      </c>
      <c r="H13" s="4370">
        <f t="shared" si="0"/>
        <v>2.2640229265065811E-2</v>
      </c>
      <c r="I13" s="4371">
        <f t="shared" si="1"/>
        <v>4.5293788840772503E-4</v>
      </c>
      <c r="J13" s="4170" t="str">
        <f>IF(SUM(J14:J16)=0,"IE",SUM(J14:J16))</f>
        <v>IE</v>
      </c>
      <c r="K13" s="4170">
        <f>IF(SUM(K14:K16)=0,"NO",SUM(K14:K16))</f>
        <v>149.7347711695397</v>
      </c>
      <c r="L13" s="4372">
        <f>IF(SUM(L14:L16)=0,"NO",SUM(L14:L16))</f>
        <v>2.9955770447692975</v>
      </c>
      <c r="M13" s="472"/>
    </row>
    <row r="14" spans="2:13" ht="18" customHeight="1" x14ac:dyDescent="0.2">
      <c r="B14" s="926"/>
      <c r="C14" s="2864" t="s">
        <v>1665</v>
      </c>
      <c r="D14" s="4373" t="s">
        <v>1219</v>
      </c>
      <c r="E14" s="4374" t="s">
        <v>1661</v>
      </c>
      <c r="F14" s="4375">
        <v>295175.80740738136</v>
      </c>
      <c r="G14" s="4369" t="str">
        <f t="shared" si="2"/>
        <v>NA</v>
      </c>
      <c r="H14" s="4370">
        <f>IF(SUM($F14)=0,"NA",K14*1000/$F14)</f>
        <v>8.4883477009177533E-2</v>
      </c>
      <c r="I14" s="4371">
        <f>IF(SUM($F14)=0,"NA",L14*1000/$F14)</f>
        <v>8.7716379529021522E-4</v>
      </c>
      <c r="J14" s="4376" t="s">
        <v>274</v>
      </c>
      <c r="K14" s="4377">
        <v>25.055548861729871</v>
      </c>
      <c r="L14" s="4378">
        <v>0.25891753150331226</v>
      </c>
      <c r="M14" s="472"/>
    </row>
    <row r="15" spans="2:13" ht="18" customHeight="1" x14ac:dyDescent="0.2">
      <c r="B15" s="926"/>
      <c r="C15" s="2864" t="s">
        <v>1666</v>
      </c>
      <c r="D15" s="4373" t="s">
        <v>1219</v>
      </c>
      <c r="E15" s="4379" t="s">
        <v>1661</v>
      </c>
      <c r="F15" s="4380">
        <v>1938.5446643492023</v>
      </c>
      <c r="G15" s="4369" t="str">
        <f t="shared" si="2"/>
        <v>NA</v>
      </c>
      <c r="H15" s="4370">
        <f t="shared" ref="H15:H77" si="3">IF(SUM($F15)=0,"NA",K15*1000/$F15)</f>
        <v>3.365774550955587</v>
      </c>
      <c r="I15" s="4371">
        <f t="shared" ref="I15:I77" si="4">IF(SUM($F15)=0,"NA",L15*1000/$F15)</f>
        <v>6.2220082323915078E-2</v>
      </c>
      <c r="J15" s="4376" t="s">
        <v>274</v>
      </c>
      <c r="K15" s="4377">
        <v>6.5247042971572853</v>
      </c>
      <c r="L15" s="4381">
        <v>0.1206164086043937</v>
      </c>
      <c r="M15" s="472"/>
    </row>
    <row r="16" spans="2:13" ht="18" customHeight="1" x14ac:dyDescent="0.2">
      <c r="B16" s="926"/>
      <c r="C16" s="2864" t="s">
        <v>1342</v>
      </c>
      <c r="D16" s="4373" t="s">
        <v>1219</v>
      </c>
      <c r="E16" s="4379" t="s">
        <v>1661</v>
      </c>
      <c r="F16" s="4380">
        <v>6316545.3161447272</v>
      </c>
      <c r="G16" s="4369" t="str">
        <f t="shared" si="2"/>
        <v>NA</v>
      </c>
      <c r="H16" s="4370">
        <f t="shared" si="3"/>
        <v>1.870556009606333E-2</v>
      </c>
      <c r="I16" s="4371">
        <f t="shared" si="4"/>
        <v>4.1415726061129265E-4</v>
      </c>
      <c r="J16" s="4376" t="s">
        <v>274</v>
      </c>
      <c r="K16" s="4377">
        <v>118.15451801065254</v>
      </c>
      <c r="L16" s="4381">
        <v>2.6160431046615917</v>
      </c>
      <c r="M16" s="472"/>
    </row>
    <row r="17" spans="2:13" ht="18" customHeight="1" x14ac:dyDescent="0.2">
      <c r="B17" s="926" t="s">
        <v>1667</v>
      </c>
      <c r="C17" s="4361"/>
      <c r="D17" s="4362"/>
      <c r="E17" s="4382" t="s">
        <v>1661</v>
      </c>
      <c r="F17" s="4368">
        <f>F18</f>
        <v>237921.40723427458</v>
      </c>
      <c r="G17" s="4369" t="str">
        <f t="shared" si="2"/>
        <v>NA</v>
      </c>
      <c r="H17" s="4370">
        <f t="shared" si="3"/>
        <v>0.22258913191694196</v>
      </c>
      <c r="I17" s="4371">
        <f t="shared" si="4"/>
        <v>2.0744065809566521E-3</v>
      </c>
      <c r="J17" s="4170" t="str">
        <f>J18</f>
        <v>IE</v>
      </c>
      <c r="K17" s="4170">
        <f>K18</f>
        <v>52.958719500734411</v>
      </c>
      <c r="L17" s="4372">
        <f>L18</f>
        <v>0.49354573291724679</v>
      </c>
      <c r="M17" s="472"/>
    </row>
    <row r="18" spans="2:13" ht="18" customHeight="1" x14ac:dyDescent="0.2">
      <c r="B18" s="926"/>
      <c r="C18" s="2864" t="s">
        <v>1668</v>
      </c>
      <c r="D18" s="4373" t="s">
        <v>1219</v>
      </c>
      <c r="E18" s="4379" t="s">
        <v>1661</v>
      </c>
      <c r="F18" s="4375">
        <v>237921.40723427458</v>
      </c>
      <c r="G18" s="4369" t="str">
        <f t="shared" si="2"/>
        <v>NA</v>
      </c>
      <c r="H18" s="4370">
        <f t="shared" si="3"/>
        <v>0.22258913191694196</v>
      </c>
      <c r="I18" s="4371">
        <f t="shared" si="4"/>
        <v>2.0744065809566521E-3</v>
      </c>
      <c r="J18" s="4376" t="s">
        <v>274</v>
      </c>
      <c r="K18" s="4377">
        <v>52.958719500734411</v>
      </c>
      <c r="L18" s="4378">
        <v>0.49354573291724679</v>
      </c>
      <c r="M18" s="472"/>
    </row>
    <row r="19" spans="2:13" ht="18" customHeight="1" x14ac:dyDescent="0.2">
      <c r="B19" s="906" t="s">
        <v>1669</v>
      </c>
      <c r="C19" s="4361"/>
      <c r="D19" s="4362"/>
      <c r="E19" s="4382" t="s">
        <v>1661</v>
      </c>
      <c r="F19" s="4383">
        <f>IF(SUM(F20,F23)=0,"NO",SUM(F20,F23))</f>
        <v>8926.074539641806</v>
      </c>
      <c r="G19" s="4365" t="s">
        <v>205</v>
      </c>
      <c r="H19" s="4366">
        <f t="shared" si="3"/>
        <v>1.009861964920113</v>
      </c>
      <c r="I19" s="4367">
        <f t="shared" si="4"/>
        <v>1.303715248124074E-2</v>
      </c>
      <c r="J19" s="4170" t="str">
        <f>IF(SUM(J20,J23)=0,"IE",SUM(J20,J23))</f>
        <v>IE</v>
      </c>
      <c r="K19" s="3057">
        <f>IF(SUM(K20,K23)=0,"NO",SUM(K20,K23))</f>
        <v>9.0141031736260686</v>
      </c>
      <c r="L19" s="3106">
        <f>IF(SUM(L20,L23)=0,"NO",SUM(L20,L23))</f>
        <v>0.11637059483223096</v>
      </c>
    </row>
    <row r="20" spans="2:13" ht="18" customHeight="1" x14ac:dyDescent="0.2">
      <c r="B20" s="926" t="s">
        <v>1670</v>
      </c>
      <c r="C20" s="4361"/>
      <c r="D20" s="4362"/>
      <c r="E20" s="4382" t="s">
        <v>1661</v>
      </c>
      <c r="F20" s="4368">
        <f>IF(SUM(F21:F22)=0,"NO",SUM(F21:F22))</f>
        <v>4571.3793313683518</v>
      </c>
      <c r="G20" s="4369" t="str">
        <f t="shared" si="2"/>
        <v>NA</v>
      </c>
      <c r="H20" s="4370">
        <f t="shared" si="3"/>
        <v>0.75885529712130639</v>
      </c>
      <c r="I20" s="4371">
        <f t="shared" si="4"/>
        <v>1.4104468499904368E-2</v>
      </c>
      <c r="J20" s="4170" t="str">
        <f>IF(SUM(J21:J22)=0,"IE",SUM(J21:J22))</f>
        <v>IE</v>
      </c>
      <c r="K20" s="4170">
        <f>IF(SUM(K21:K22)=0,"NO",SUM(K21:K22))</f>
        <v>3.4690154207597299</v>
      </c>
      <c r="L20" s="4372">
        <f>IF(SUM(L21:L22)=0,"NO",SUM(L21:L22))</f>
        <v>6.4476875780398818E-2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3.3921834044649017</v>
      </c>
      <c r="L21" s="4378">
        <v>6.2708279324205335E-2</v>
      </c>
      <c r="M21" s="472"/>
    </row>
    <row r="22" spans="2:13" ht="18" customHeight="1" x14ac:dyDescent="0.2">
      <c r="B22" s="926"/>
      <c r="C22" s="2864" t="s">
        <v>1342</v>
      </c>
      <c r="D22" s="4373" t="s">
        <v>1219</v>
      </c>
      <c r="E22" s="4379" t="s">
        <v>1661</v>
      </c>
      <c r="F22" s="4380">
        <v>4571.3793313683518</v>
      </c>
      <c r="G22" s="4369" t="str">
        <f t="shared" si="2"/>
        <v>NA</v>
      </c>
      <c r="H22" s="4370">
        <f t="shared" si="3"/>
        <v>1.6807184599102173E-2</v>
      </c>
      <c r="I22" s="4371">
        <f t="shared" si="4"/>
        <v>3.8688464202862237E-4</v>
      </c>
      <c r="J22" s="4376" t="s">
        <v>274</v>
      </c>
      <c r="K22" s="4377">
        <v>7.6832016294828151E-2</v>
      </c>
      <c r="L22" s="4381">
        <v>1.768596456193488E-3</v>
      </c>
      <c r="M22" s="472"/>
    </row>
    <row r="23" spans="2:13" ht="18" customHeight="1" x14ac:dyDescent="0.2">
      <c r="B23" s="926" t="s">
        <v>1671</v>
      </c>
      <c r="C23" s="4361"/>
      <c r="D23" s="4362"/>
      <c r="E23" s="4382" t="s">
        <v>1661</v>
      </c>
      <c r="F23" s="4368">
        <f>F24</f>
        <v>4354.6952082734551</v>
      </c>
      <c r="G23" s="4369" t="str">
        <f t="shared" si="2"/>
        <v>NA</v>
      </c>
      <c r="H23" s="4370">
        <f t="shared" si="3"/>
        <v>1.2733584068825907</v>
      </c>
      <c r="I23" s="4371">
        <f t="shared" si="4"/>
        <v>1.1916728168079278E-2</v>
      </c>
      <c r="J23" s="4170" t="str">
        <f>J24</f>
        <v>IE</v>
      </c>
      <c r="K23" s="4170">
        <f>K24</f>
        <v>5.5450877528663387</v>
      </c>
      <c r="L23" s="4372">
        <f>L24</f>
        <v>5.1893719051832141E-2</v>
      </c>
      <c r="M23" s="472"/>
    </row>
    <row r="24" spans="2:13" ht="18" customHeight="1" thickBot="1" x14ac:dyDescent="0.25">
      <c r="B24" s="936"/>
      <c r="C24" s="2865" t="s">
        <v>1672</v>
      </c>
      <c r="D24" s="4384" t="s">
        <v>1219</v>
      </c>
      <c r="E24" s="4385" t="s">
        <v>1661</v>
      </c>
      <c r="F24" s="4386">
        <v>4354.6952082734551</v>
      </c>
      <c r="G24" s="4387" t="str">
        <f t="shared" si="2"/>
        <v>NA</v>
      </c>
      <c r="H24" s="4388">
        <f t="shared" si="3"/>
        <v>1.2733584068825907</v>
      </c>
      <c r="I24" s="4389">
        <f t="shared" si="4"/>
        <v>1.1916728168079278E-2</v>
      </c>
      <c r="J24" s="4390" t="s">
        <v>274</v>
      </c>
      <c r="K24" s="4391">
        <v>5.5450877528663387</v>
      </c>
      <c r="L24" s="4392">
        <v>5.1893719051832141E-2</v>
      </c>
      <c r="M24" s="472"/>
    </row>
    <row r="25" spans="2:13" ht="18" customHeight="1" x14ac:dyDescent="0.2">
      <c r="B25" s="934" t="s">
        <v>1673</v>
      </c>
      <c r="C25" s="4352"/>
      <c r="D25" s="4353"/>
      <c r="E25" s="4393" t="s">
        <v>1661</v>
      </c>
      <c r="F25" s="4394">
        <f>IF(SUM(F26,F31)=0,"IE",SUM(F26,F31))</f>
        <v>10404.822071208837</v>
      </c>
      <c r="G25" s="4355" t="str">
        <f t="shared" si="2"/>
        <v>NA</v>
      </c>
      <c r="H25" s="4356">
        <f t="shared" si="3"/>
        <v>5.694579151255947E-2</v>
      </c>
      <c r="I25" s="4357">
        <f t="shared" si="4"/>
        <v>1.0527062292113427E-3</v>
      </c>
      <c r="J25" s="4358" t="str">
        <f>IF(SUM(J26,J31)=0,"IE",SUM(J26,J31))</f>
        <v>IE</v>
      </c>
      <c r="K25" s="4359">
        <f>IF(SUM(K26,K31)=0,"IE",SUM(K26,K31))</f>
        <v>0.5925108283923356</v>
      </c>
      <c r="L25" s="4360">
        <f>IF(SUM(L26,L31)=0,"IE",SUM(L26,L31))</f>
        <v>1.0953221008197208E-2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10404.822071208837</v>
      </c>
      <c r="G31" s="4365" t="str">
        <f t="shared" si="2"/>
        <v>NA</v>
      </c>
      <c r="H31" s="4366">
        <f t="shared" si="3"/>
        <v>5.694579151255947E-2</v>
      </c>
      <c r="I31" s="4367">
        <f t="shared" si="4"/>
        <v>1.0527062292113427E-3</v>
      </c>
      <c r="J31" s="4170" t="str">
        <f>IF(SUM(J32,J34)=0,"IE",SUM(J32,J34))</f>
        <v>IE</v>
      </c>
      <c r="K31" s="4170">
        <f t="shared" ref="K31:L31" si="6">IF(SUM(K32,K34)=0,"IE",SUM(K32,K34))</f>
        <v>0.5925108283923356</v>
      </c>
      <c r="L31" s="4372">
        <f t="shared" si="6"/>
        <v>1.0953221008197208E-2</v>
      </c>
    </row>
    <row r="32" spans="2:13" ht="18" customHeight="1" x14ac:dyDescent="0.2">
      <c r="B32" s="926" t="s">
        <v>1678</v>
      </c>
      <c r="C32" s="4361"/>
      <c r="D32" s="4362"/>
      <c r="E32" s="4382" t="s">
        <v>1661</v>
      </c>
      <c r="F32" s="4368">
        <f>F33</f>
        <v>10404.822071208837</v>
      </c>
      <c r="G32" s="4365" t="str">
        <f t="shared" si="2"/>
        <v>NA</v>
      </c>
      <c r="H32" s="4366">
        <f t="shared" si="3"/>
        <v>5.694579151255947E-2</v>
      </c>
      <c r="I32" s="4367">
        <f t="shared" si="4"/>
        <v>1.0527062292113427E-3</v>
      </c>
      <c r="J32" s="4170" t="str">
        <f>J33</f>
        <v>IE</v>
      </c>
      <c r="K32" s="4170">
        <f>K33</f>
        <v>0.5925108283923356</v>
      </c>
      <c r="L32" s="4372">
        <f>L33</f>
        <v>1.0953221008197208E-2</v>
      </c>
      <c r="M32" s="472"/>
    </row>
    <row r="33" spans="2:13" ht="18" customHeight="1" x14ac:dyDescent="0.2">
      <c r="B33" s="926"/>
      <c r="C33" s="2864" t="s">
        <v>1679</v>
      </c>
      <c r="D33" s="4373" t="s">
        <v>1219</v>
      </c>
      <c r="E33" s="4379" t="s">
        <v>1661</v>
      </c>
      <c r="F33" s="4375">
        <v>10404.822071208837</v>
      </c>
      <c r="G33" s="4369" t="str">
        <f t="shared" si="2"/>
        <v>NA</v>
      </c>
      <c r="H33" s="4370">
        <f t="shared" si="3"/>
        <v>5.694579151255947E-2</v>
      </c>
      <c r="I33" s="4371">
        <f t="shared" si="4"/>
        <v>1.0527062292113427E-3</v>
      </c>
      <c r="J33" s="4376" t="s">
        <v>274</v>
      </c>
      <c r="K33" s="4377">
        <v>0.5925108283923356</v>
      </c>
      <c r="L33" s="4378">
        <v>1.0953221008197208E-2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15413710.043834146</v>
      </c>
      <c r="G36" s="4355" t="str">
        <f t="shared" si="2"/>
        <v>NA</v>
      </c>
      <c r="H36" s="4356">
        <f t="shared" ref="H36" si="7">IF(SUM($F36)=0,"NA",K36*1000/$F36)</f>
        <v>1.3828873519792085E-2</v>
      </c>
      <c r="I36" s="4357">
        <f t="shared" ref="I36" si="8">IF(SUM($F36)=0,"NA",L36*1000/$F36)</f>
        <v>3.9401794498339441E-4</v>
      </c>
      <c r="J36" s="4358" t="str">
        <f>IF(SUM(J37,J42)=0,"IE",SUM(J37,J42))</f>
        <v>IE</v>
      </c>
      <c r="K36" s="4359">
        <f>IF(SUM(K37,K42)=0,"NO",SUM(K37,K42))</f>
        <v>213.15424666693133</v>
      </c>
      <c r="L36" s="4360">
        <f>IF(SUM(L37,L42)=0,"NO",SUM(L37,L42))</f>
        <v>6.0732783560414365</v>
      </c>
      <c r="M36" s="472"/>
    </row>
    <row r="37" spans="2:13" ht="18" customHeight="1" x14ac:dyDescent="0.2">
      <c r="B37" s="906" t="s">
        <v>1682</v>
      </c>
      <c r="C37" s="4361"/>
      <c r="D37" s="4362"/>
      <c r="E37" s="4382" t="s">
        <v>1661</v>
      </c>
      <c r="F37" s="4364">
        <f>IF(SUM(F38,F40)=0,"NO",SUM(F38,F40))</f>
        <v>15066918.375665635</v>
      </c>
      <c r="G37" s="4369" t="str">
        <f t="shared" si="2"/>
        <v>NA</v>
      </c>
      <c r="H37" s="4366">
        <f t="shared" si="3"/>
        <v>1.2018171000016325E-2</v>
      </c>
      <c r="I37" s="4367">
        <f t="shared" si="4"/>
        <v>3.6346842678340011E-4</v>
      </c>
      <c r="J37" s="4170" t="str">
        <f>IF(SUM(J38,J40)=0,"IE",SUM(J38,J40))</f>
        <v>IE</v>
      </c>
      <c r="K37" s="3057">
        <f>IF(SUM(K38,K40)=0,"NO",SUM(K38,K40))</f>
        <v>181.07680148203781</v>
      </c>
      <c r="L37" s="3106">
        <f>IF(SUM(L38,L40)=0,"NO",SUM(L38,L40))</f>
        <v>5.4763491184770903</v>
      </c>
    </row>
    <row r="38" spans="2:13" ht="18" customHeight="1" x14ac:dyDescent="0.2">
      <c r="B38" s="926" t="s">
        <v>1683</v>
      </c>
      <c r="C38" s="4361"/>
      <c r="D38" s="4362"/>
      <c r="E38" s="4382" t="s">
        <v>1661</v>
      </c>
      <c r="F38" s="4368">
        <f>F39</f>
        <v>15066918.375665635</v>
      </c>
      <c r="G38" s="4369" t="str">
        <f t="shared" si="2"/>
        <v>NA</v>
      </c>
      <c r="H38" s="4370">
        <f t="shared" si="3"/>
        <v>1.2018171000016325E-2</v>
      </c>
      <c r="I38" s="4371">
        <f t="shared" si="4"/>
        <v>3.6346842678340011E-4</v>
      </c>
      <c r="J38" s="4170" t="str">
        <f>J39</f>
        <v>IE</v>
      </c>
      <c r="K38" s="4170">
        <f>K39</f>
        <v>181.07680148203781</v>
      </c>
      <c r="L38" s="4372">
        <f>L39</f>
        <v>5.4763491184770903</v>
      </c>
      <c r="M38" s="472"/>
    </row>
    <row r="39" spans="2:13" ht="18" customHeight="1" x14ac:dyDescent="0.2">
      <c r="B39" s="926"/>
      <c r="C39" s="2864" t="s">
        <v>1342</v>
      </c>
      <c r="D39" s="4373" t="s">
        <v>1219</v>
      </c>
      <c r="E39" s="4379" t="s">
        <v>1661</v>
      </c>
      <c r="F39" s="4380">
        <v>15066918.375665635</v>
      </c>
      <c r="G39" s="4369" t="str">
        <f t="shared" si="2"/>
        <v>NA</v>
      </c>
      <c r="H39" s="4370">
        <f t="shared" ref="H39:H40" si="9">IF(SUM($F39)=0,"NA",K39*1000/$F39)</f>
        <v>1.2018171000016325E-2</v>
      </c>
      <c r="I39" s="4371">
        <f t="shared" ref="I39:I40" si="10">IF(SUM($F39)=0,"NA",L39*1000/$F39)</f>
        <v>3.6346842678340011E-4</v>
      </c>
      <c r="J39" s="4376" t="s">
        <v>274</v>
      </c>
      <c r="K39" s="4377">
        <v>181.07680148203781</v>
      </c>
      <c r="L39" s="4381">
        <v>5.4763491184770903</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346791.66816851177</v>
      </c>
      <c r="G42" s="4365" t="str">
        <f t="shared" si="2"/>
        <v>NA</v>
      </c>
      <c r="H42" s="4366">
        <f t="shared" si="11"/>
        <v>9.2497738928683196E-2</v>
      </c>
      <c r="I42" s="4367">
        <f t="shared" si="12"/>
        <v>1.7212905970805748E-3</v>
      </c>
      <c r="J42" s="4170" t="str">
        <f>IF(SUM(J43,J46)=0,"IE",SUM(J43,J46))</f>
        <v>IE</v>
      </c>
      <c r="K42" s="3057">
        <f>IF(SUM(K43,K46)=0,"NO",SUM(K43,K46))</f>
        <v>32.077445184893534</v>
      </c>
      <c r="L42" s="3106">
        <f>IF(SUM(L43,L46)=0,"NO",SUM(L43,L46))</f>
        <v>0.59692923756434613</v>
      </c>
    </row>
    <row r="43" spans="2:13" ht="18" customHeight="1" x14ac:dyDescent="0.2">
      <c r="B43" s="926" t="s">
        <v>1686</v>
      </c>
      <c r="C43" s="4361"/>
      <c r="D43" s="4362"/>
      <c r="E43" s="4382" t="s">
        <v>1661</v>
      </c>
      <c r="F43" s="4368">
        <f>IF(SUM(F44:F45)=0,"NO",SUM(F44:F45))</f>
        <v>346791.66816851177</v>
      </c>
      <c r="G43" s="4369" t="str">
        <f t="shared" si="2"/>
        <v>NA</v>
      </c>
      <c r="H43" s="4370">
        <f t="shared" ref="H43" si="13">IF(SUM($F43)=0,"NA",K43*1000/$F43)</f>
        <v>9.2497738928683196E-2</v>
      </c>
      <c r="I43" s="4371">
        <f t="shared" ref="I43" si="14">IF(SUM($F43)=0,"NA",L43*1000/$F43)</f>
        <v>1.7212905970805748E-3</v>
      </c>
      <c r="J43" s="4170" t="str">
        <f>IF(SUM(J44:J45)=0,"IE",SUM(J44:J45))</f>
        <v>IE</v>
      </c>
      <c r="K43" s="4170">
        <f>IF(SUM(K44:K45)=0,"NO",SUM(K44:K45))</f>
        <v>32.077445184893534</v>
      </c>
      <c r="L43" s="4372">
        <f>IF(SUM(L44:L45)=0,"NO",SUM(L44:L45))</f>
        <v>0.59692923756434613</v>
      </c>
      <c r="M43" s="472"/>
    </row>
    <row r="44" spans="2:13" ht="18" customHeight="1" x14ac:dyDescent="0.2">
      <c r="B44" s="926"/>
      <c r="C44" s="2864" t="s">
        <v>1679</v>
      </c>
      <c r="D44" s="4373" t="s">
        <v>1219</v>
      </c>
      <c r="E44" s="4379" t="s">
        <v>1661</v>
      </c>
      <c r="F44" s="4380">
        <v>299140.23329917761</v>
      </c>
      <c r="G44" s="4369" t="str">
        <f t="shared" si="2"/>
        <v>NA</v>
      </c>
      <c r="H44" s="4370">
        <f t="shared" ref="H44:H46" si="15">IF(SUM($F44)=0,"NA",K44*1000/$F44)</f>
        <v>0.10431376142159064</v>
      </c>
      <c r="I44" s="4371">
        <f t="shared" ref="I44:I46" si="16">IF(SUM($F44)=0,"NA",L44*1000/$F44)</f>
        <v>1.9283557840574601E-3</v>
      </c>
      <c r="J44" s="4376" t="s">
        <v>274</v>
      </c>
      <c r="K44" s="4377">
        <v>31.204442927969374</v>
      </c>
      <c r="L44" s="4381">
        <v>0.57684879912676712</v>
      </c>
      <c r="M44" s="472"/>
    </row>
    <row r="45" spans="2:13" ht="18" customHeight="1" x14ac:dyDescent="0.2">
      <c r="B45" s="926"/>
      <c r="C45" s="2864" t="s">
        <v>1342</v>
      </c>
      <c r="D45" s="4373" t="s">
        <v>1219</v>
      </c>
      <c r="E45" s="4379" t="s">
        <v>1661</v>
      </c>
      <c r="F45" s="4380">
        <v>47651.434869334167</v>
      </c>
      <c r="G45" s="4369" t="str">
        <f t="shared" si="2"/>
        <v>NA</v>
      </c>
      <c r="H45" s="4370">
        <f t="shared" si="15"/>
        <v>1.8320586973257669E-2</v>
      </c>
      <c r="I45" s="4371">
        <f t="shared" si="16"/>
        <v>4.2140259768970153E-4</v>
      </c>
      <c r="J45" s="4376" t="s">
        <v>274</v>
      </c>
      <c r="K45" s="4377">
        <v>0.87300225692415978</v>
      </c>
      <c r="L45" s="4381">
        <v>2.0080438437579042E-2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623928.3315437946</v>
      </c>
      <c r="G48" s="4355" t="str">
        <f t="shared" si="2"/>
        <v>NA</v>
      </c>
      <c r="H48" s="4356">
        <f t="shared" si="17"/>
        <v>2.1871849171227611E-2</v>
      </c>
      <c r="I48" s="4357">
        <f t="shared" si="18"/>
        <v>4.8561240702842481E-4</v>
      </c>
      <c r="J48" s="4358" t="str">
        <f>IF(SUM(J49,J54)=0,"IE",SUM(J49,J54))</f>
        <v>IE</v>
      </c>
      <c r="K48" s="4359">
        <f>IF(SUM(K49,K54)=0,"NO",SUM(K49,K54))</f>
        <v>13.64646636118157</v>
      </c>
      <c r="L48" s="4360">
        <f>IF(SUM(L49,L54)=0,"NO",SUM(L49,L54))</f>
        <v>0.3029873388942112</v>
      </c>
      <c r="M48" s="472"/>
    </row>
    <row r="49" spans="2:13" ht="18" customHeight="1" x14ac:dyDescent="0.2">
      <c r="B49" s="906" t="s">
        <v>1689</v>
      </c>
      <c r="C49" s="4361"/>
      <c r="D49" s="4362"/>
      <c r="E49" s="4382" t="s">
        <v>1661</v>
      </c>
      <c r="F49" s="4364">
        <f>IF(SUM(F50,F52)=0,"NO",SUM(F50,F52))</f>
        <v>623928.3315437946</v>
      </c>
      <c r="G49" s="4365" t="str">
        <f t="shared" si="2"/>
        <v>NA</v>
      </c>
      <c r="H49" s="4366">
        <f t="shared" si="17"/>
        <v>2.1871849171227611E-2</v>
      </c>
      <c r="I49" s="4367">
        <f t="shared" si="18"/>
        <v>4.8561240702842481E-4</v>
      </c>
      <c r="J49" s="4170" t="str">
        <f>IF(SUM(J50,J52)=0,"IE",SUM(J50,J52))</f>
        <v>IE</v>
      </c>
      <c r="K49" s="3057">
        <f>IF(SUM(K50,K52)=0,"NO",SUM(K50,K52))</f>
        <v>13.64646636118157</v>
      </c>
      <c r="L49" s="3106">
        <f>IF(SUM(L50,L52)=0,"NO",SUM(L50,L52))</f>
        <v>0.3029873388942112</v>
      </c>
    </row>
    <row r="50" spans="2:13" ht="18" customHeight="1" x14ac:dyDescent="0.2">
      <c r="B50" s="926" t="s">
        <v>1690</v>
      </c>
      <c r="C50" s="4361"/>
      <c r="D50" s="4362"/>
      <c r="E50" s="4382" t="s">
        <v>1661</v>
      </c>
      <c r="F50" s="4368">
        <f>F51</f>
        <v>623928.3315437946</v>
      </c>
      <c r="G50" s="4369" t="str">
        <f t="shared" si="2"/>
        <v>NA</v>
      </c>
      <c r="H50" s="4370">
        <f t="shared" si="17"/>
        <v>2.1871849171227611E-2</v>
      </c>
      <c r="I50" s="4371">
        <f t="shared" si="18"/>
        <v>4.8561240702842481E-4</v>
      </c>
      <c r="J50" s="4170" t="str">
        <f>J51</f>
        <v>IE</v>
      </c>
      <c r="K50" s="4170">
        <f>K51</f>
        <v>13.64646636118157</v>
      </c>
      <c r="L50" s="4372">
        <f>L51</f>
        <v>0.3029873388942112</v>
      </c>
      <c r="M50" s="472"/>
    </row>
    <row r="51" spans="2:13" ht="18" customHeight="1" x14ac:dyDescent="0.2">
      <c r="B51" s="926"/>
      <c r="C51" s="2864" t="s">
        <v>1342</v>
      </c>
      <c r="D51" s="4373" t="s">
        <v>1219</v>
      </c>
      <c r="E51" s="4379" t="s">
        <v>1661</v>
      </c>
      <c r="F51" s="4380">
        <v>623928.3315437946</v>
      </c>
      <c r="G51" s="4369" t="str">
        <f t="shared" si="2"/>
        <v>NA</v>
      </c>
      <c r="H51" s="4370">
        <f t="shared" si="17"/>
        <v>2.1871849171227611E-2</v>
      </c>
      <c r="I51" s="4371">
        <f t="shared" si="18"/>
        <v>4.8561240702842481E-4</v>
      </c>
      <c r="J51" s="4376" t="s">
        <v>274</v>
      </c>
      <c r="K51" s="4377">
        <v>13.64646636118157</v>
      </c>
      <c r="L51" s="4381">
        <v>0.3029873388942112</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5918.9105947337621</v>
      </c>
      <c r="G59" s="4355" t="str">
        <f t="shared" si="2"/>
        <v>NA</v>
      </c>
      <c r="H59" s="4356">
        <f t="shared" si="3"/>
        <v>0.10342218380175548</v>
      </c>
      <c r="I59" s="4357">
        <f t="shared" si="4"/>
        <v>1.911873981113008E-3</v>
      </c>
      <c r="J59" s="4358" t="str">
        <f>IF(SUM(J60,J65)=0,"IE",SUM(J60,J65))</f>
        <v>IE</v>
      </c>
      <c r="K59" s="4359">
        <f>IF(SUM(K60,K65)=0,"NO",SUM(K60,K65))</f>
        <v>0.61214665943471303</v>
      </c>
      <c r="L59" s="4360">
        <f>IF(SUM(L60,L65)=0,"NO",SUM(L60,L65))</f>
        <v>1.1316211162605599E-2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5918.9105947337621</v>
      </c>
      <c r="G65" s="4365" t="str">
        <f t="shared" si="2"/>
        <v>NA</v>
      </c>
      <c r="H65" s="4366">
        <f t="shared" si="3"/>
        <v>0.10342218380175548</v>
      </c>
      <c r="I65" s="4367">
        <f t="shared" si="4"/>
        <v>1.911873981113008E-3</v>
      </c>
      <c r="J65" s="4170" t="str">
        <f>IF(SUM(J66,J68)=0,"IE",SUM(J66,J68))</f>
        <v>IE</v>
      </c>
      <c r="K65" s="3057">
        <f>IF(SUM(K66,K68)=0,"NO",SUM(K66,K68))</f>
        <v>0.61214665943471303</v>
      </c>
      <c r="L65" s="3106">
        <f>IF(SUM(L66,L68)=0,"NO",SUM(L66,L68))</f>
        <v>1.1316211162605599E-2</v>
      </c>
    </row>
    <row r="66" spans="2:13" ht="18" customHeight="1" x14ac:dyDescent="0.2">
      <c r="B66" s="926" t="s">
        <v>1700</v>
      </c>
      <c r="C66" s="4361"/>
      <c r="D66" s="4362"/>
      <c r="E66" s="4382" t="s">
        <v>1661</v>
      </c>
      <c r="F66" s="4368">
        <f>F67</f>
        <v>5918.9105947337621</v>
      </c>
      <c r="G66" s="4369" t="str">
        <f t="shared" si="2"/>
        <v>NA</v>
      </c>
      <c r="H66" s="4370">
        <f t="shared" si="3"/>
        <v>0.10342218380175548</v>
      </c>
      <c r="I66" s="4371">
        <f t="shared" si="4"/>
        <v>1.911873981113008E-3</v>
      </c>
      <c r="J66" s="4170" t="str">
        <f>J67</f>
        <v>IE</v>
      </c>
      <c r="K66" s="4170">
        <f>K67</f>
        <v>0.61214665943471303</v>
      </c>
      <c r="L66" s="4372">
        <f>L67</f>
        <v>1.1316211162605599E-2</v>
      </c>
      <c r="M66" s="472"/>
    </row>
    <row r="67" spans="2:13" ht="18" customHeight="1" x14ac:dyDescent="0.2">
      <c r="B67" s="926"/>
      <c r="C67" s="2864" t="s">
        <v>1679</v>
      </c>
      <c r="D67" s="4373" t="s">
        <v>1219</v>
      </c>
      <c r="E67" s="4379" t="s">
        <v>1661</v>
      </c>
      <c r="F67" s="4380">
        <v>5918.9105947337621</v>
      </c>
      <c r="G67" s="4369" t="str">
        <f t="shared" si="2"/>
        <v>NA</v>
      </c>
      <c r="H67" s="4370">
        <f t="shared" ref="H67:H68" si="23">IF(SUM($F67)=0,"NA",K67*1000/$F67)</f>
        <v>0.10342218380175548</v>
      </c>
      <c r="I67" s="4371">
        <f t="shared" ref="I67:I68" si="24">IF(SUM($F67)=0,"NA",L67*1000/$F67)</f>
        <v>1.911873981113008E-3</v>
      </c>
      <c r="J67" s="4376" t="s">
        <v>274</v>
      </c>
      <c r="K67" s="4377">
        <v>0.61214665943471303</v>
      </c>
      <c r="L67" s="4381">
        <v>1.1316211162605599E-2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6" t="s">
        <v>1707</v>
      </c>
      <c r="C95" s="4507"/>
      <c r="D95" s="4507"/>
      <c r="E95" s="4507"/>
      <c r="F95" s="4507"/>
      <c r="G95" s="4507"/>
      <c r="H95" s="4507"/>
      <c r="I95" s="4507"/>
      <c r="J95" s="4507"/>
      <c r="K95" s="4507"/>
      <c r="L95" s="4508"/>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4059.8788934301106</v>
      </c>
      <c r="D10" s="3463">
        <f>IF(SUM(D11,D16:D17)=0,"NO",SUM(D11,D16:D17))</f>
        <v>-2714.978086163233</v>
      </c>
      <c r="E10" s="3464"/>
      <c r="F10" s="3465">
        <f>IF(SUM(F11,F16:F17)=0,"NO",SUM(F11,F16:F17))</f>
        <v>1344.9008072668776</v>
      </c>
      <c r="G10" s="3466">
        <f>IF(SUM(G11,G16:G17)=0,"NO",SUM(G11,G16:G17))</f>
        <v>-4931.3029599785514</v>
      </c>
      <c r="H10" s="226"/>
      <c r="I10" s="2"/>
      <c r="J10" s="2"/>
    </row>
    <row r="11" spans="1:10" ht="18" customHeight="1" x14ac:dyDescent="0.2">
      <c r="B11" s="592" t="s">
        <v>1722</v>
      </c>
      <c r="C11" s="3467">
        <f>IF(SUM(C13:C15)=0,"NO",SUM(C13:C15))</f>
        <v>1778.5988483776578</v>
      </c>
      <c r="D11" s="3468">
        <f>IF(SUM(D13:D15)=0,"NO",SUM(D13:D15))</f>
        <v>-699.13318990635116</v>
      </c>
      <c r="E11" s="3469"/>
      <c r="F11" s="3470">
        <f>IF(SUM(F13:F15)=0,"NO",SUM(F13:F15))</f>
        <v>1079.4656584713066</v>
      </c>
      <c r="G11" s="3471">
        <f>IF(SUM(G13:G15)=0,"NO",SUM(G13:G15))</f>
        <v>-3958.0407477281242</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1178.3432533749549</v>
      </c>
      <c r="D13" s="3476">
        <f>F13-C13</f>
        <v>-420.48644993379662</v>
      </c>
      <c r="E13" s="3477" t="s">
        <v>205</v>
      </c>
      <c r="F13" s="3478">
        <f>G13/(-44/12)</f>
        <v>757.85680344115826</v>
      </c>
      <c r="G13" s="3479">
        <v>-2778.808279284247</v>
      </c>
      <c r="H13" s="226"/>
      <c r="I13" s="2"/>
      <c r="J13" s="2"/>
    </row>
    <row r="14" spans="1:10" ht="18" customHeight="1" x14ac:dyDescent="0.2">
      <c r="B14" s="1192" t="s">
        <v>1724</v>
      </c>
      <c r="C14" s="3480">
        <v>600.25559500270288</v>
      </c>
      <c r="D14" s="3481">
        <f>F14-C14</f>
        <v>-278.64673997255454</v>
      </c>
      <c r="E14" s="3202" t="s">
        <v>205</v>
      </c>
      <c r="F14" s="3482">
        <f>G14/(-44/12)</f>
        <v>321.60885503014833</v>
      </c>
      <c r="G14" s="3479">
        <v>-1179.2324684438772</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1539.165199743338</v>
      </c>
      <c r="D16" s="3481">
        <f>F16-C16</f>
        <v>-1594.3091345586461</v>
      </c>
      <c r="E16" s="3202" t="s">
        <v>205</v>
      </c>
      <c r="F16" s="3482">
        <f>G16/(-44/12)</f>
        <v>-55.143934815308057</v>
      </c>
      <c r="G16" s="3479">
        <v>202.19442765612953</v>
      </c>
      <c r="H16" s="226"/>
      <c r="I16" s="2"/>
      <c r="J16" s="2"/>
    </row>
    <row r="17" spans="2:10" ht="18" customHeight="1" x14ac:dyDescent="0.2">
      <c r="B17" s="1196" t="s">
        <v>1727</v>
      </c>
      <c r="C17" s="3484">
        <f>C18</f>
        <v>742.11484530911503</v>
      </c>
      <c r="D17" s="3485">
        <f t="shared" ref="D17:F17" si="0">D18</f>
        <v>-421.53576169823606</v>
      </c>
      <c r="E17" s="3486"/>
      <c r="F17" s="3193">
        <f t="shared" si="0"/>
        <v>320.57908361087897</v>
      </c>
      <c r="G17" s="3479">
        <f>-F17*44/12</f>
        <v>-1175.4566399065563</v>
      </c>
      <c r="H17" s="226"/>
      <c r="I17" s="2"/>
      <c r="J17" s="2"/>
    </row>
    <row r="18" spans="2:10" ht="18" customHeight="1" thickBot="1" x14ac:dyDescent="0.25">
      <c r="B18" s="547" t="s">
        <v>1728</v>
      </c>
      <c r="C18" s="3487">
        <v>742.11484530911503</v>
      </c>
      <c r="D18" s="3488">
        <f>F18-C18</f>
        <v>-421.53576169823606</v>
      </c>
      <c r="E18" s="3205" t="s">
        <v>205</v>
      </c>
      <c r="F18" s="3489">
        <f>G18/(-44/12)</f>
        <v>320.57908361087897</v>
      </c>
      <c r="G18" s="3490">
        <v>-1175.4566399065561</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1" t="s">
        <v>1764</v>
      </c>
      <c r="C99" s="4532"/>
      <c r="D99" s="4532"/>
      <c r="E99" s="4532"/>
      <c r="F99" s="4532"/>
      <c r="G99" s="4533"/>
      <c r="H99" s="2"/>
      <c r="I99" s="2"/>
    </row>
    <row r="100" spans="2:10" ht="26.25" customHeight="1" thickBot="1" x14ac:dyDescent="0.25">
      <c r="B100" s="4534"/>
      <c r="C100" s="4535"/>
      <c r="D100" s="4535"/>
      <c r="E100" s="4535"/>
      <c r="F100" s="4535"/>
      <c r="G100" s="4536"/>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1" t="s">
        <v>1793</v>
      </c>
      <c r="C85" s="4532"/>
      <c r="D85" s="4532"/>
      <c r="E85" s="4532"/>
      <c r="F85" s="4532"/>
      <c r="G85" s="4532"/>
      <c r="H85" s="4532"/>
      <c r="I85" s="4532"/>
      <c r="J85" s="4532"/>
      <c r="K85" s="4532"/>
      <c r="L85" s="4532"/>
      <c r="M85" s="4532"/>
      <c r="N85" s="4533"/>
    </row>
    <row r="86" spans="2:14" ht="13.5" thickBot="1" x14ac:dyDescent="0.25">
      <c r="B86" s="4534"/>
      <c r="C86" s="4535"/>
      <c r="D86" s="4535"/>
      <c r="E86" s="4535"/>
      <c r="F86" s="4535"/>
      <c r="G86" s="4535"/>
      <c r="H86" s="4535"/>
      <c r="I86" s="4535"/>
      <c r="J86" s="4535"/>
      <c r="K86" s="4535"/>
      <c r="L86" s="4535"/>
      <c r="M86" s="4535"/>
      <c r="N86" s="4536"/>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7"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38"/>
      <c r="C9" s="1879" t="s">
        <v>171</v>
      </c>
      <c r="D9" s="1880"/>
      <c r="E9" s="1880"/>
      <c r="F9" s="1880"/>
      <c r="G9" s="1880"/>
      <c r="H9" s="1880"/>
      <c r="I9" s="1881"/>
      <c r="J9" s="1803" t="s">
        <v>921</v>
      </c>
    </row>
    <row r="10" spans="1:10" ht="18" customHeight="1" thickTop="1" thickBot="1" x14ac:dyDescent="0.25">
      <c r="B10" s="1502" t="s">
        <v>1799</v>
      </c>
      <c r="C10" s="1882">
        <f>IF(SUM(C11,C15,C18,C21)=0,"NO",SUM(C11,C15,C18,C21))</f>
        <v>32.297548304455532</v>
      </c>
      <c r="D10" s="1882">
        <f t="shared" ref="D10:I10" si="0">IF(SUM(D11,D15,D18,D21)=0,"NO",SUM(D11,D15,D18,D21))</f>
        <v>466.49602898941259</v>
      </c>
      <c r="E10" s="1882">
        <f t="shared" si="0"/>
        <v>1.329665523768472</v>
      </c>
      <c r="F10" s="1882" t="str">
        <f t="shared" si="0"/>
        <v>NO</v>
      </c>
      <c r="G10" s="1882" t="str">
        <f t="shared" si="0"/>
        <v>NO</v>
      </c>
      <c r="H10" s="1882">
        <f t="shared" si="0"/>
        <v>226.10767157211677</v>
      </c>
      <c r="I10" s="1883" t="str">
        <f t="shared" si="0"/>
        <v>NO</v>
      </c>
      <c r="J10" s="4487">
        <f>IF(SUM(C10:E10)=0,"NO",SUM(C10,IFERROR(28*D10,0),IFERROR(265*E10,0)))</f>
        <v>13446.547723806654</v>
      </c>
    </row>
    <row r="11" spans="1:10" ht="18" customHeight="1" x14ac:dyDescent="0.2">
      <c r="B11" s="1503" t="s">
        <v>1800</v>
      </c>
      <c r="C11" s="2893"/>
      <c r="D11" s="2894">
        <f>IF(SUM(D12:D14)=0,"NO",SUM(D12:D14))</f>
        <v>359.96831684179671</v>
      </c>
      <c r="E11" s="2893"/>
      <c r="F11" s="1886" t="str">
        <f>IF(SUM(F12:F14)=0,"NO",SUM(F12:F14))</f>
        <v>NO</v>
      </c>
      <c r="G11" s="1886" t="str">
        <f t="shared" ref="G11:H11" si="1">IF(SUM(G12:G14)=0,"NO",SUM(G12:G14))</f>
        <v>NO</v>
      </c>
      <c r="H11" s="1886">
        <f t="shared" si="1"/>
        <v>3.0341627200476018</v>
      </c>
      <c r="I11" s="2994"/>
      <c r="J11" s="1886">
        <f t="shared" ref="J11:J18" si="2">IF(SUM(C11:E11)=0,"NO",SUM(C11,IFERROR(28*D11,0),IFERROR(265*E11,0)))</f>
        <v>10079.112871570307</v>
      </c>
    </row>
    <row r="12" spans="1:10" ht="18" customHeight="1" x14ac:dyDescent="0.2">
      <c r="B12" s="1269" t="s">
        <v>1801</v>
      </c>
      <c r="C12" s="1885"/>
      <c r="D12" s="1884">
        <f>IF(SUM(Table5.A!F10:H10)=0,"NO",SUM(Table5.A!F10))</f>
        <v>359.96831684179671</v>
      </c>
      <c r="E12" s="1885"/>
      <c r="F12" s="2916" t="s">
        <v>205</v>
      </c>
      <c r="G12" s="2916" t="s">
        <v>205</v>
      </c>
      <c r="H12" s="2916">
        <v>3.0341627200476018</v>
      </c>
      <c r="I12" s="2940"/>
      <c r="J12" s="1887">
        <f t="shared" si="2"/>
        <v>10079.112871570307</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4.5622696188806646</v>
      </c>
      <c r="E15" s="2892">
        <f t="shared" ref="E15" si="3">IF(SUM(E16:E17)=0,"NO",SUM(E16:E17))</f>
        <v>0.58397051121672516</v>
      </c>
      <c r="F15" s="2892" t="s">
        <v>1805</v>
      </c>
      <c r="G15" s="2892" t="s">
        <v>1805</v>
      </c>
      <c r="H15" s="2892" t="s">
        <v>1805</v>
      </c>
      <c r="I15" s="2997"/>
      <c r="J15" s="2884">
        <f t="shared" si="2"/>
        <v>282.49573480109075</v>
      </c>
    </row>
    <row r="16" spans="1:10" ht="18" customHeight="1" x14ac:dyDescent="0.2">
      <c r="B16" s="1891" t="s">
        <v>1806</v>
      </c>
      <c r="C16" s="2998"/>
      <c r="D16" s="1884">
        <f>Table5.B!F10</f>
        <v>4.5622696188806646</v>
      </c>
      <c r="E16" s="1884">
        <f>Table5.B!G10</f>
        <v>0.58397051121672516</v>
      </c>
      <c r="F16" s="699" t="s">
        <v>205</v>
      </c>
      <c r="G16" s="699" t="s">
        <v>205</v>
      </c>
      <c r="H16" s="699" t="s">
        <v>205</v>
      </c>
      <c r="I16" s="2940"/>
      <c r="J16" s="1887">
        <f t="shared" si="2"/>
        <v>282.49573480109075</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32.297548304455532</v>
      </c>
      <c r="D18" s="2883" t="str">
        <f>IF(SUM(D19:D20)=0,"NO,NE",SUM(D19:D20))</f>
        <v>NO,NE</v>
      </c>
      <c r="E18" s="2883" t="str">
        <f>IF(SUM(E19:E20)=0,"NO,NE",SUM(E19:E20))</f>
        <v>NO,NE</v>
      </c>
      <c r="F18" s="2883" t="s">
        <v>205</v>
      </c>
      <c r="G18" s="2883" t="s">
        <v>205</v>
      </c>
      <c r="H18" s="2883" t="s">
        <v>205</v>
      </c>
      <c r="I18" s="2883" t="s">
        <v>205</v>
      </c>
      <c r="J18" s="2885">
        <f t="shared" si="2"/>
        <v>32.297548304455532</v>
      </c>
    </row>
    <row r="19" spans="2:12" ht="18" customHeight="1" x14ac:dyDescent="0.2">
      <c r="B19" s="1269" t="s">
        <v>1809</v>
      </c>
      <c r="C19" s="1884">
        <f>Table5.C!G10</f>
        <v>32.297548304455532</v>
      </c>
      <c r="D19" s="1884" t="str">
        <f>Table5.C!H10</f>
        <v>NO,NE</v>
      </c>
      <c r="E19" s="1884" t="str">
        <f>Table5.C!I10</f>
        <v>NO,NE</v>
      </c>
      <c r="F19" s="700" t="s">
        <v>205</v>
      </c>
      <c r="G19" s="700" t="s">
        <v>205</v>
      </c>
      <c r="H19" s="700" t="s">
        <v>205</v>
      </c>
      <c r="I19" s="700" t="s">
        <v>205</v>
      </c>
      <c r="J19" s="1887">
        <f>IF(SUM(C19:E19)=0,"NO",SUM(C19,IFERROR(28*D19,0),IFERROR(265*E19,0)))</f>
        <v>32.297548304455532</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101.9654425287352</v>
      </c>
      <c r="E21" s="2883">
        <f t="shared" ref="E21:H21" si="5">IF(SUM(E22:E24)=0,"NO",SUM(E22:E24))</f>
        <v>0.74569501255174675</v>
      </c>
      <c r="F21" s="2883" t="str">
        <f t="shared" si="5"/>
        <v>NO</v>
      </c>
      <c r="G21" s="2883" t="str">
        <f t="shared" si="5"/>
        <v>NO</v>
      </c>
      <c r="H21" s="2883">
        <f t="shared" si="5"/>
        <v>223.07350885206918</v>
      </c>
      <c r="I21" s="3000"/>
      <c r="J21" s="2885">
        <f t="shared" si="4"/>
        <v>3052.6415691307984</v>
      </c>
    </row>
    <row r="22" spans="2:12" ht="18" customHeight="1" x14ac:dyDescent="0.2">
      <c r="B22" s="1269" t="s">
        <v>1812</v>
      </c>
      <c r="C22" s="1894"/>
      <c r="D22" s="1884">
        <f>IF(SUM(Table5.D!H10)=0,"NO",SUM(Table5.D!H10))</f>
        <v>57.201645396792941</v>
      </c>
      <c r="E22" s="1884">
        <f>IF(SUM(Table5.D!I10:J10)=0,"NO",SUM(Table5.D!I10:J10))</f>
        <v>0.74569501255174675</v>
      </c>
      <c r="F22" s="2916" t="s">
        <v>205</v>
      </c>
      <c r="G22" s="2916" t="s">
        <v>205</v>
      </c>
      <c r="H22" s="2916">
        <v>8.5115868980526024</v>
      </c>
      <c r="I22" s="2940"/>
      <c r="J22" s="1887">
        <f t="shared" si="4"/>
        <v>1799.2552494364152</v>
      </c>
    </row>
    <row r="23" spans="2:12" ht="18" customHeight="1" x14ac:dyDescent="0.2">
      <c r="B23" s="1269" t="s">
        <v>1813</v>
      </c>
      <c r="C23" s="1894"/>
      <c r="D23" s="1884">
        <f>IF(SUM(Table5.D!H11)=0,"NO",SUM(Table5.D!H11))</f>
        <v>44.763797131942255</v>
      </c>
      <c r="E23" s="1884" t="str">
        <f>IF(SUM(Table5.D!I11:J11)=0,"IE",SUM(Table5.D!I11:J11))</f>
        <v>IE</v>
      </c>
      <c r="F23" s="2916" t="s">
        <v>205</v>
      </c>
      <c r="G23" s="2916" t="s">
        <v>205</v>
      </c>
      <c r="H23" s="2916">
        <v>214.56192195401658</v>
      </c>
      <c r="I23" s="2940"/>
      <c r="J23" s="1887">
        <f t="shared" si="4"/>
        <v>1253.386319694383</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323256.03024599818</v>
      </c>
      <c r="D28" s="1903"/>
      <c r="E28" s="1903"/>
      <c r="F28" s="1903"/>
      <c r="G28" s="1903"/>
      <c r="H28" s="1903"/>
      <c r="I28" s="1904"/>
      <c r="J28" s="1907"/>
      <c r="K28"/>
      <c r="L28"/>
    </row>
    <row r="29" spans="2:12" ht="18" customHeight="1" x14ac:dyDescent="0.2">
      <c r="B29" s="4215" t="s">
        <v>1819</v>
      </c>
      <c r="C29" s="1905">
        <v>4312.792494851943</v>
      </c>
      <c r="D29" s="1906"/>
      <c r="E29" s="1906"/>
      <c r="F29" s="1906"/>
      <c r="G29" s="1906"/>
      <c r="H29" s="1906"/>
      <c r="I29" s="1907"/>
      <c r="J29" s="1907"/>
      <c r="K29"/>
      <c r="L29"/>
    </row>
    <row r="30" spans="2:12" ht="18" customHeight="1" thickBot="1" x14ac:dyDescent="0.25">
      <c r="B30" s="4216" t="s">
        <v>1820</v>
      </c>
      <c r="C30" s="1899">
        <v>1686.4061388195478</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0" sqref="J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19399.986617596671</v>
      </c>
      <c r="D10" s="3678"/>
      <c r="E10" s="4121">
        <f>IF(SUM(C10)=0,"NA",(F10-G10-H10)/C10)</f>
        <v>3.5190055821558298E-2</v>
      </c>
      <c r="F10" s="3679">
        <f>F11</f>
        <v>359.96831684179671</v>
      </c>
      <c r="G10" s="3679">
        <f>G11</f>
        <v>-78.194046774404711</v>
      </c>
      <c r="H10" s="3680">
        <f>H11</f>
        <v>-244.52424839450927</v>
      </c>
      <c r="I10" s="44"/>
    </row>
    <row r="11" spans="1:13" ht="18" customHeight="1" x14ac:dyDescent="0.2">
      <c r="B11" s="1753" t="s">
        <v>1834</v>
      </c>
      <c r="C11" s="3681">
        <f>IF(SUM(C13:C16)=0,"NO",SUM(C13:C16))</f>
        <v>19399.986617596671</v>
      </c>
      <c r="D11" s="3681">
        <v>1</v>
      </c>
      <c r="E11" s="4121">
        <f>IF(SUM(C11)=0,"NA",(F11-G11-H11)/C11)</f>
        <v>3.5190055821558298E-2</v>
      </c>
      <c r="F11" s="4227">
        <f>IF(SUM(F13:F16)=0,"NO",SUM(F13:F16))</f>
        <v>359.96831684179671</v>
      </c>
      <c r="G11" s="3682">
        <v>-78.194046774404711</v>
      </c>
      <c r="H11" s="3683">
        <v>-244.52424839450927</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10677.814772754884</v>
      </c>
      <c r="D13" s="3688">
        <v>1</v>
      </c>
      <c r="E13" s="4218" t="s">
        <v>274</v>
      </c>
      <c r="F13" s="3688">
        <v>14.731386839339516</v>
      </c>
      <c r="G13" s="3689"/>
      <c r="H13" s="3690"/>
      <c r="I13" s="44"/>
    </row>
    <row r="14" spans="1:13" ht="18" customHeight="1" x14ac:dyDescent="0.2">
      <c r="B14" s="1754" t="s">
        <v>1837</v>
      </c>
      <c r="C14" s="3688">
        <v>1936.3372765459044</v>
      </c>
      <c r="D14" s="3688">
        <v>1</v>
      </c>
      <c r="E14" s="3681" t="s">
        <v>274</v>
      </c>
      <c r="F14" s="3688">
        <v>125.60421091766051</v>
      </c>
      <c r="G14" s="3689"/>
      <c r="H14" s="3690"/>
      <c r="I14" s="44"/>
    </row>
    <row r="15" spans="1:13" ht="18" customHeight="1" x14ac:dyDescent="0.2">
      <c r="B15" s="1754" t="s">
        <v>1838</v>
      </c>
      <c r="C15" s="3688">
        <v>6785.8345682958834</v>
      </c>
      <c r="D15" s="3688">
        <v>1</v>
      </c>
      <c r="E15" s="4121" t="s">
        <v>274</v>
      </c>
      <c r="F15" s="3688">
        <v>219.63271908479669</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6083.0261585075514</v>
      </c>
      <c r="D10" s="1938">
        <f>IF(SUM($C10)=0,"NA",F10*1000/$C10)</f>
        <v>0.75000000000000022</v>
      </c>
      <c r="E10" s="1938">
        <f>IF(SUM($C10)=0,"NA",G10*1000/$C10)</f>
        <v>9.6000000000000044E-2</v>
      </c>
      <c r="F10" s="1934">
        <f>IF(SUM(F11:F12)=0,"NO",SUM(F11:F12))</f>
        <v>4.5622696188806646</v>
      </c>
      <c r="G10" s="1934">
        <f>IF(SUM(G11:G12)=0,"NO",SUM(G11:G12))</f>
        <v>0.58397051121672516</v>
      </c>
      <c r="H10" s="1935"/>
      <c r="I10" s="1936"/>
    </row>
    <row r="11" spans="1:9" ht="18" customHeight="1" x14ac:dyDescent="0.2">
      <c r="B11" s="1525" t="s">
        <v>1851</v>
      </c>
      <c r="C11" s="1937">
        <v>6083.0261585075514</v>
      </c>
      <c r="D11" s="1938">
        <f>IF(SUM($C11)=0,"NA",F11*1000/$C11)</f>
        <v>0.75000000000000022</v>
      </c>
      <c r="E11" s="1938">
        <f>IF(SUM($C11)=0,"NA",G11*1000/$C11)</f>
        <v>9.6000000000000044E-2</v>
      </c>
      <c r="F11" s="1937">
        <v>4.5622696188806646</v>
      </c>
      <c r="G11" s="1937">
        <v>0.58397051121672516</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22.750172781063544</v>
      </c>
      <c r="D10" s="2898">
        <f t="shared" ref="D10:D20" si="0">IF(SUM(G10)=0,"NA",G10*1000/$C10)</f>
        <v>1419.6616709363586</v>
      </c>
      <c r="E10" s="2898" t="str">
        <f t="shared" ref="E10:E20" si="1">IF(SUM(H10)=0,"NA",H10*1000/$C10)</f>
        <v>NA</v>
      </c>
      <c r="F10" s="2898" t="str">
        <f t="shared" ref="F10:F20" si="2">IF(SUM(I10)=0,"NA",I10*1000/$C10)</f>
        <v>NA</v>
      </c>
      <c r="G10" s="2898">
        <f>IF(SUM(G11,G21)=0,"NO",SUM(G11,G21))</f>
        <v>32.297548304455532</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22.750172781063544</v>
      </c>
      <c r="D21" s="116">
        <f>IF(SUM(G21)=0,"NA",G21*1000/$C21)</f>
        <v>1419.6616709363586</v>
      </c>
      <c r="E21" s="116" t="str">
        <f t="shared" ref="E21:F21" si="3">IF(SUM(H21)=0,"NA",H21*1000/$C21)</f>
        <v>NA</v>
      </c>
      <c r="F21" s="116" t="str">
        <f t="shared" si="3"/>
        <v>NA</v>
      </c>
      <c r="G21" s="2900">
        <f>IF(SUM(G22:G23)=0,"NO",SUM(G22:G23))</f>
        <v>32.297548304455532</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22.750172781063544</v>
      </c>
      <c r="D23" s="116">
        <f t="shared" si="4"/>
        <v>1419.6616709363586</v>
      </c>
      <c r="E23" s="151" t="str">
        <f t="shared" si="5"/>
        <v>NA</v>
      </c>
      <c r="F23" s="151" t="str">
        <f t="shared" si="6"/>
        <v>NA</v>
      </c>
      <c r="G23" s="151">
        <f>IF(SUM(G25:G30)=0,"NO",SUM(G25:G30))</f>
        <v>32.297548304455532</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17.135852195221396</v>
      </c>
      <c r="D27" s="116">
        <f t="shared" si="4"/>
        <v>880.00000000000011</v>
      </c>
      <c r="E27" s="116" t="str">
        <f t="shared" si="5"/>
        <v>NA</v>
      </c>
      <c r="F27" s="116" t="str">
        <f t="shared" si="6"/>
        <v>NA</v>
      </c>
      <c r="G27" s="2908">
        <v>15.07954993179483</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25766.605</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30.1593338866092</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1637.2684368654709</v>
      </c>
      <c r="D10" s="3399">
        <v>1214.0250817348435</v>
      </c>
      <c r="E10" s="3399">
        <v>118.82449543268638</v>
      </c>
      <c r="F10" s="3400">
        <f>(SUM(H10)-SUM(K10:L10))/C10</f>
        <v>7.792158166742276E-2</v>
      </c>
      <c r="G10" s="3400">
        <f>SUM(I10:J10)/E10/(44/28)</f>
        <v>3.9935636846400776E-3</v>
      </c>
      <c r="H10" s="3398">
        <v>57.201645396792941</v>
      </c>
      <c r="I10" s="3190">
        <v>0.74569501255174675</v>
      </c>
      <c r="J10" s="3190" t="s">
        <v>274</v>
      </c>
      <c r="K10" s="3401">
        <v>-16.975366981428564</v>
      </c>
      <c r="L10" s="2921">
        <v>-53.401533836484894</v>
      </c>
      <c r="M10"/>
      <c r="N10" s="1773" t="s">
        <v>1910</v>
      </c>
      <c r="O10" s="3403">
        <v>1</v>
      </c>
    </row>
    <row r="11" spans="1:15" ht="18" customHeight="1" x14ac:dyDescent="0.2">
      <c r="A11"/>
      <c r="B11" s="1752" t="s">
        <v>1813</v>
      </c>
      <c r="C11" s="3399">
        <v>715.20640651338863</v>
      </c>
      <c r="D11" s="3399">
        <v>111.30490553820417</v>
      </c>
      <c r="E11" s="699" t="s">
        <v>274</v>
      </c>
      <c r="F11" s="3134">
        <f>(SUM(H11)-SUM(K11:L11))/C11</f>
        <v>9.0219869493283603E-2</v>
      </c>
      <c r="G11" s="3134" t="s">
        <v>205</v>
      </c>
      <c r="H11" s="699">
        <v>44.763797131942255</v>
      </c>
      <c r="I11" s="699" t="s">
        <v>274</v>
      </c>
      <c r="J11" s="699" t="s">
        <v>274</v>
      </c>
      <c r="K11" s="3125" t="s">
        <v>274</v>
      </c>
      <c r="L11" s="2921">
        <v>-19.76203152445601</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39"/>
      <c r="C33" s="4540"/>
      <c r="D33" s="4540"/>
      <c r="E33" s="4540"/>
      <c r="F33" s="4540"/>
      <c r="G33" s="4540"/>
      <c r="H33" s="4540"/>
      <c r="I33" s="4540"/>
      <c r="J33" s="4540"/>
      <c r="K33" s="4540"/>
      <c r="L33" s="4541"/>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283374.20069172984</v>
      </c>
      <c r="D10" s="3798">
        <f t="shared" si="0"/>
        <v>4420.181575202525</v>
      </c>
      <c r="E10" s="3798">
        <f t="shared" si="0"/>
        <v>74.27963247059084</v>
      </c>
      <c r="F10" s="3798">
        <f t="shared" si="0"/>
        <v>11437.453695274007</v>
      </c>
      <c r="G10" s="3798">
        <f t="shared" si="0"/>
        <v>291.483</v>
      </c>
      <c r="H10" s="3798" t="str">
        <f>IF(SUM(H11,H22,H31,H42,H51)=0,"NO",SUM(H11,H22,H31,H42,H51))</f>
        <v>NO</v>
      </c>
      <c r="I10" s="3798">
        <f t="shared" ref="I10:N10" si="1">IF(SUM(I11,I22,I31,I42,I51)=0,"NO",SUM(I11,I22,I31,I42,I51))</f>
        <v>8.2014234343733942E-3</v>
      </c>
      <c r="J10" s="3826" t="str">
        <f t="shared" si="1"/>
        <v>NO</v>
      </c>
      <c r="K10" s="3798">
        <f t="shared" si="1"/>
        <v>3442.8319687313196</v>
      </c>
      <c r="L10" s="3798">
        <f t="shared" si="1"/>
        <v>19489.577463298301</v>
      </c>
      <c r="M10" s="3798">
        <f t="shared" si="1"/>
        <v>1628.4354499599126</v>
      </c>
      <c r="N10" s="3799">
        <f t="shared" si="1"/>
        <v>2224.1307616919912</v>
      </c>
      <c r="O10" s="3800">
        <f>IF(SUM(C10:J10)=0,"NO",SUM(C10,F10:H10)+28*SUM(D10)+265*SUM(E10)+23500*SUM(I10)+16100*SUM(J10))</f>
        <v>438745.05754808889</v>
      </c>
    </row>
    <row r="11" spans="1:15" ht="18" customHeight="1" x14ac:dyDescent="0.25">
      <c r="B11" s="1116" t="s">
        <v>1921</v>
      </c>
      <c r="C11" s="2572">
        <f>Table1!C10</f>
        <v>366499.16482696496</v>
      </c>
      <c r="D11" s="3766">
        <f>Table1!D10</f>
        <v>1260.8156287804902</v>
      </c>
      <c r="E11" s="3766">
        <f>Table1!E10</f>
        <v>9.542442567239048</v>
      </c>
      <c r="F11" s="1553"/>
      <c r="G11" s="1553"/>
      <c r="H11" s="3714"/>
      <c r="I11" s="1553"/>
      <c r="J11" s="98"/>
      <c r="K11" s="3766">
        <f>Table1!F10</f>
        <v>2755.6309541475657</v>
      </c>
      <c r="L11" s="3713">
        <f>Table1!G10</f>
        <v>2081.7391086284415</v>
      </c>
      <c r="M11" s="3713">
        <f>Table1!H10</f>
        <v>713.95083413119642</v>
      </c>
      <c r="N11" s="960">
        <f>Table1!I10</f>
        <v>591.73274884536977</v>
      </c>
      <c r="O11" s="3715">
        <f t="shared" ref="O11:O58" si="2">IF(SUM(C11:J11)=0,"NO",SUM(C11,F11:H11)+28*SUM(D11)+265*SUM(E11)+23500*SUM(I11)+16100*SUM(J11))</f>
        <v>404330.74971313705</v>
      </c>
    </row>
    <row r="12" spans="1:15" ht="18" customHeight="1" x14ac:dyDescent="0.25">
      <c r="B12" s="1369" t="s">
        <v>1922</v>
      </c>
      <c r="C12" s="3794">
        <f>Table1!C11</f>
        <v>351082.75792210409</v>
      </c>
      <c r="D12" s="617">
        <f>Table1!D11</f>
        <v>76.113121959423395</v>
      </c>
      <c r="E12" s="617">
        <f>Table1!E11</f>
        <v>9.3648894676856997</v>
      </c>
      <c r="F12" s="69"/>
      <c r="G12" s="69"/>
      <c r="H12" s="69"/>
      <c r="I12" s="69"/>
      <c r="J12" s="69"/>
      <c r="K12" s="617">
        <f>Table1!F11</f>
        <v>2752.8370398136353</v>
      </c>
      <c r="L12" s="617">
        <f>Table1!G11</f>
        <v>2065.7035765166447</v>
      </c>
      <c r="M12" s="617">
        <f>Table1!H11</f>
        <v>511.94797838660691</v>
      </c>
      <c r="N12" s="619">
        <f>Table1!I11</f>
        <v>591.73274884536977</v>
      </c>
      <c r="O12" s="3716">
        <f t="shared" si="2"/>
        <v>355695.62104590464</v>
      </c>
    </row>
    <row r="13" spans="1:15" ht="18" customHeight="1" x14ac:dyDescent="0.25">
      <c r="B13" s="1370" t="s">
        <v>1923</v>
      </c>
      <c r="C13" s="3794">
        <f>Table1!C12</f>
        <v>196331.17641434306</v>
      </c>
      <c r="D13" s="617">
        <f>Table1!D12</f>
        <v>26.567916881834325</v>
      </c>
      <c r="E13" s="617">
        <f>Table1!E12</f>
        <v>2.9391729861273053</v>
      </c>
      <c r="F13" s="69"/>
      <c r="G13" s="69"/>
      <c r="H13" s="69"/>
      <c r="I13" s="69"/>
      <c r="J13" s="69"/>
      <c r="K13" s="617">
        <f>Table1!F12</f>
        <v>1163.9951096888442</v>
      </c>
      <c r="L13" s="617">
        <f>Table1!G12</f>
        <v>289.86497394576293</v>
      </c>
      <c r="M13" s="617">
        <f>Table1!H12</f>
        <v>80.366413640649995</v>
      </c>
      <c r="N13" s="619">
        <f>Table1!I12</f>
        <v>491.8880711755433</v>
      </c>
      <c r="O13" s="3717">
        <f t="shared" si="2"/>
        <v>197853.95892835816</v>
      </c>
    </row>
    <row r="14" spans="1:15" ht="18" customHeight="1" x14ac:dyDescent="0.25">
      <c r="B14" s="1370" t="s">
        <v>1924</v>
      </c>
      <c r="C14" s="3794">
        <f>Table1!C16</f>
        <v>42689.716069213391</v>
      </c>
      <c r="D14" s="3718">
        <f>Table1!D16</f>
        <v>2.4658721679156788</v>
      </c>
      <c r="E14" s="3718">
        <f>Table1!E16</f>
        <v>1.5876443226408976</v>
      </c>
      <c r="F14" s="3719"/>
      <c r="G14" s="3719"/>
      <c r="H14" s="3719"/>
      <c r="I14" s="3719"/>
      <c r="J14" s="69"/>
      <c r="K14" s="3718">
        <f>Table1!F16</f>
        <v>857.13172275511045</v>
      </c>
      <c r="L14" s="3718">
        <f>Table1!G16</f>
        <v>271.31539272968001</v>
      </c>
      <c r="M14" s="3718">
        <f>Table1!H16</f>
        <v>111.43280045153993</v>
      </c>
      <c r="N14" s="3720">
        <f>Table1!I16</f>
        <v>61.759941517785762</v>
      </c>
      <c r="O14" s="3721">
        <f t="shared" si="2"/>
        <v>43179.486235414872</v>
      </c>
    </row>
    <row r="15" spans="1:15" ht="18" customHeight="1" x14ac:dyDescent="0.25">
      <c r="B15" s="1370" t="s">
        <v>1925</v>
      </c>
      <c r="C15" s="3794">
        <f>Table1!C24</f>
        <v>88692.181352404077</v>
      </c>
      <c r="D15" s="617">
        <f>Table1!D24</f>
        <v>11.627075175791759</v>
      </c>
      <c r="E15" s="617">
        <f>Table1!E24</f>
        <v>4.0735815519180418</v>
      </c>
      <c r="F15" s="69"/>
      <c r="G15" s="69"/>
      <c r="H15" s="69"/>
      <c r="I15" s="69"/>
      <c r="J15" s="69"/>
      <c r="K15" s="617">
        <f>Table1!F24</f>
        <v>280.18520135248019</v>
      </c>
      <c r="L15" s="617">
        <f>Table1!G24</f>
        <v>850.1902912156205</v>
      </c>
      <c r="M15" s="617">
        <f>Table1!H24</f>
        <v>198.88141968498951</v>
      </c>
      <c r="N15" s="619">
        <f>Table1!I24</f>
        <v>29.123787710747305</v>
      </c>
      <c r="O15" s="3717">
        <f t="shared" si="2"/>
        <v>90097.238568584522</v>
      </c>
    </row>
    <row r="16" spans="1:15" ht="18" customHeight="1" x14ac:dyDescent="0.25">
      <c r="B16" s="1370" t="s">
        <v>1926</v>
      </c>
      <c r="C16" s="3794">
        <f>Table1!C30</f>
        <v>22560.268192552965</v>
      </c>
      <c r="D16" s="617">
        <f>Table1!D30</f>
        <v>35.427280177340101</v>
      </c>
      <c r="E16" s="617">
        <f>Table1!E30</f>
        <v>0.74166403458600705</v>
      </c>
      <c r="F16" s="69"/>
      <c r="G16" s="69"/>
      <c r="H16" s="69"/>
      <c r="I16" s="69"/>
      <c r="J16" s="69"/>
      <c r="K16" s="617">
        <f>Table1!F30</f>
        <v>444.98310275308808</v>
      </c>
      <c r="L16" s="617">
        <f>Table1!G30</f>
        <v>651.81706391857915</v>
      </c>
      <c r="M16" s="617">
        <f>Table1!H30</f>
        <v>120.87884718106548</v>
      </c>
      <c r="N16" s="619">
        <f>Table1!I30</f>
        <v>8.7081623130802548</v>
      </c>
      <c r="O16" s="3717">
        <f t="shared" si="2"/>
        <v>23748.773006683779</v>
      </c>
    </row>
    <row r="17" spans="2:15" ht="18" customHeight="1" x14ac:dyDescent="0.25">
      <c r="B17" s="1370" t="s">
        <v>1927</v>
      </c>
      <c r="C17" s="3794">
        <f>Table1!C34</f>
        <v>809.41589359057934</v>
      </c>
      <c r="D17" s="617">
        <f>Table1!D34</f>
        <v>2.4977556541527311E-2</v>
      </c>
      <c r="E17" s="617">
        <f>Table1!E34</f>
        <v>2.2826572413449233E-2</v>
      </c>
      <c r="F17" s="69"/>
      <c r="G17" s="69"/>
      <c r="H17" s="69"/>
      <c r="I17" s="69"/>
      <c r="J17" s="69"/>
      <c r="K17" s="617">
        <f>Table1!F34</f>
        <v>6.5419032641121424</v>
      </c>
      <c r="L17" s="617">
        <f>Table1!G34</f>
        <v>2.5158547070023403</v>
      </c>
      <c r="M17" s="617">
        <f>Table1!H34</f>
        <v>0.38849742836202938</v>
      </c>
      <c r="N17" s="619">
        <f>Table1!I34</f>
        <v>0.2527861282131339</v>
      </c>
      <c r="O17" s="3717">
        <f t="shared" si="2"/>
        <v>816.16430686330625</v>
      </c>
    </row>
    <row r="18" spans="2:15" ht="18" customHeight="1" x14ac:dyDescent="0.25">
      <c r="B18" s="1369" t="s">
        <v>201</v>
      </c>
      <c r="C18" s="3711">
        <f>Table1!C37</f>
        <v>15414.161904860886</v>
      </c>
      <c r="D18" s="3795">
        <f>Table1!D37</f>
        <v>1184.7025068210669</v>
      </c>
      <c r="E18" s="3795">
        <f>Table1!E37</f>
        <v>0.17755309955334869</v>
      </c>
      <c r="F18" s="69"/>
      <c r="G18" s="69"/>
      <c r="H18" s="69"/>
      <c r="I18" s="69"/>
      <c r="J18" s="69"/>
      <c r="K18" s="3795">
        <f>Table1!F37</f>
        <v>2.7939143339305019</v>
      </c>
      <c r="L18" s="617">
        <f>Table1!G37</f>
        <v>16.035532111796911</v>
      </c>
      <c r="M18" s="617">
        <f>Table1!H37</f>
        <v>202.00285574458951</v>
      </c>
      <c r="N18" s="619" t="str">
        <f>Table1!I37</f>
        <v>NO</v>
      </c>
      <c r="O18" s="3717">
        <f t="shared" si="2"/>
        <v>48632.883667232389</v>
      </c>
    </row>
    <row r="19" spans="2:15" ht="18" customHeight="1" x14ac:dyDescent="0.25">
      <c r="B19" s="1370" t="s">
        <v>1928</v>
      </c>
      <c r="C19" s="3712">
        <f>Table1!C38</f>
        <v>2087.8740202040094</v>
      </c>
      <c r="D19" s="3722">
        <f>Table1!D38</f>
        <v>915.12773141730565</v>
      </c>
      <c r="E19" s="3795">
        <f>Table1!E38</f>
        <v>1.9761010269859756E-3</v>
      </c>
      <c r="F19" s="69"/>
      <c r="G19" s="69"/>
      <c r="H19" s="69"/>
      <c r="I19" s="69"/>
      <c r="J19" s="69"/>
      <c r="K19" s="3795" t="str">
        <f>Table1!F38</f>
        <v>NO</v>
      </c>
      <c r="L19" s="617" t="str">
        <f>Table1!G38</f>
        <v>NO</v>
      </c>
      <c r="M19" s="617" t="str">
        <f>Table1!H38</f>
        <v>NO</v>
      </c>
      <c r="N19" s="619" t="str">
        <f>Table1!I38</f>
        <v>NO</v>
      </c>
      <c r="O19" s="3717">
        <f t="shared" si="2"/>
        <v>27711.974166660719</v>
      </c>
    </row>
    <row r="20" spans="2:15" ht="18" customHeight="1" x14ac:dyDescent="0.25">
      <c r="B20" s="1371" t="s">
        <v>1929</v>
      </c>
      <c r="C20" s="3712">
        <f>Table1!C42</f>
        <v>13326.287884656876</v>
      </c>
      <c r="D20" s="3796">
        <f>Table1!D42</f>
        <v>269.57477540376118</v>
      </c>
      <c r="E20" s="3795">
        <f>Table1!E42</f>
        <v>0.17557699852636272</v>
      </c>
      <c r="F20" s="3719"/>
      <c r="G20" s="3719"/>
      <c r="H20" s="3719"/>
      <c r="I20" s="3719"/>
      <c r="J20" s="69"/>
      <c r="K20" s="3795">
        <f>Table1!F42</f>
        <v>2.7939143339305019</v>
      </c>
      <c r="L20" s="3718">
        <f>Table1!G42</f>
        <v>16.035532111796911</v>
      </c>
      <c r="M20" s="3718">
        <f>Table1!H42</f>
        <v>202.00285574458951</v>
      </c>
      <c r="N20" s="3720" t="str">
        <f>Table1!I42</f>
        <v>NO</v>
      </c>
      <c r="O20" s="3721">
        <f t="shared" si="2"/>
        <v>20920.909500571677</v>
      </c>
    </row>
    <row r="21" spans="2:15" ht="18" customHeight="1" thickBot="1" x14ac:dyDescent="0.3">
      <c r="B21" s="1372" t="s">
        <v>1930</v>
      </c>
      <c r="C21" s="3710">
        <f>Table1!C47</f>
        <v>2.2450000000000001</v>
      </c>
      <c r="D21" s="3723"/>
      <c r="E21" s="3723"/>
      <c r="F21" s="3719"/>
      <c r="G21" s="3719"/>
      <c r="H21" s="3719"/>
      <c r="I21" s="3719"/>
      <c r="J21" s="3719"/>
      <c r="K21" s="3724"/>
      <c r="L21" s="3724"/>
      <c r="M21" s="3724"/>
      <c r="N21" s="3725"/>
      <c r="O21" s="3721">
        <f t="shared" si="2"/>
        <v>2.2450000000000001</v>
      </c>
    </row>
    <row r="22" spans="2:15" ht="18" customHeight="1" x14ac:dyDescent="0.25">
      <c r="B22" s="1373" t="s">
        <v>1931</v>
      </c>
      <c r="C22" s="3726">
        <f>'Table2(I)'!C10</f>
        <v>19404.684886846499</v>
      </c>
      <c r="D22" s="3727">
        <f>'Table2(I)'!D10</f>
        <v>2.9333302277832134</v>
      </c>
      <c r="E22" s="3728">
        <f>'Table2(I)'!E10</f>
        <v>5.5593193492675885</v>
      </c>
      <c r="F22" s="3713">
        <f>'Table2(I)'!F10</f>
        <v>11437.453695274007</v>
      </c>
      <c r="G22" s="3713">
        <f>'Table2(I)'!G10</f>
        <v>291.483</v>
      </c>
      <c r="H22" s="3713" t="str">
        <f>'Table2(I)'!H10</f>
        <v>NO</v>
      </c>
      <c r="I22" s="3713">
        <f>'Table2(I)'!I10</f>
        <v>8.2014234343733942E-3</v>
      </c>
      <c r="J22" s="3713" t="str">
        <f>'Table2(I)'!J10</f>
        <v>NO</v>
      </c>
      <c r="K22" s="3713">
        <f>'Table2(I)'!K10</f>
        <v>7.0815582702461786</v>
      </c>
      <c r="L22" s="3713">
        <f>'Table2(I)'!L10</f>
        <v>16.841987951577483</v>
      </c>
      <c r="M22" s="3713">
        <f>'Table2(I)'!M10</f>
        <v>250.1909219878026</v>
      </c>
      <c r="N22" s="960">
        <f>'Table2(I)'!N10</f>
        <v>1632.3980128466217</v>
      </c>
      <c r="O22" s="3715">
        <f t="shared" si="2"/>
        <v>32881.707906762116</v>
      </c>
    </row>
    <row r="23" spans="2:15" ht="18" customHeight="1" x14ac:dyDescent="0.25">
      <c r="B23" s="1129" t="s">
        <v>1932</v>
      </c>
      <c r="C23" s="3729">
        <f>'Table2(I)'!C11</f>
        <v>5613.9712902377578</v>
      </c>
      <c r="D23" s="3730"/>
      <c r="E23" s="98"/>
      <c r="F23" s="98"/>
      <c r="G23" s="98"/>
      <c r="H23" s="98"/>
      <c r="I23" s="98"/>
      <c r="J23" s="69"/>
      <c r="K23" s="620" t="str">
        <f>'Table2(I)'!K11</f>
        <v>NO</v>
      </c>
      <c r="L23" s="620" t="str">
        <f>'Table2(I)'!L11</f>
        <v>NO</v>
      </c>
      <c r="M23" s="620" t="str">
        <f>'Table2(I)'!M11</f>
        <v>NO</v>
      </c>
      <c r="N23" s="622" t="str">
        <f>'Table2(I)'!N11</f>
        <v>NO</v>
      </c>
      <c r="O23" s="3716">
        <f t="shared" si="2"/>
        <v>5613.9712902377578</v>
      </c>
    </row>
    <row r="24" spans="2:15" ht="18" customHeight="1" x14ac:dyDescent="0.25">
      <c r="B24" s="1129" t="s">
        <v>846</v>
      </c>
      <c r="C24" s="3729">
        <f>'Table2(I)'!C16</f>
        <v>3104.4552540351287</v>
      </c>
      <c r="D24" s="3731">
        <f>'Table2(I)'!D16</f>
        <v>0.43359999999999999</v>
      </c>
      <c r="E24" s="3732">
        <f>'Table2(I)'!E16</f>
        <v>5.5046915439456097</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4575.3393131807152</v>
      </c>
    </row>
    <row r="25" spans="2:15" ht="18" customHeight="1" x14ac:dyDescent="0.25">
      <c r="B25" s="1129" t="s">
        <v>637</v>
      </c>
      <c r="C25" s="3729">
        <f>'Table2(I)'!C27</f>
        <v>10297.766614924123</v>
      </c>
      <c r="D25" s="3731">
        <f>'Table2(I)'!D27</f>
        <v>2.4997302277832136</v>
      </c>
      <c r="E25" s="3732">
        <f>'Table2(I)'!E27</f>
        <v>5.4627805321978577E-2</v>
      </c>
      <c r="F25" s="617" t="str">
        <f>'Table2(I)'!F27</f>
        <v>NO</v>
      </c>
      <c r="G25" s="617">
        <f>'Table2(I)'!G27</f>
        <v>291.483</v>
      </c>
      <c r="H25" s="617" t="str">
        <f>'Table2(I)'!H27</f>
        <v>NO</v>
      </c>
      <c r="I25" s="617" t="str">
        <f>'Table2(I)'!I27</f>
        <v>NO</v>
      </c>
      <c r="J25" s="617" t="str">
        <f>'Table2(I)'!J27</f>
        <v>NO</v>
      </c>
      <c r="K25" s="617">
        <f>'Table2(I)'!K27</f>
        <v>7.0815582702461786</v>
      </c>
      <c r="L25" s="617">
        <f>'Table2(I)'!L27</f>
        <v>16.841987951577483</v>
      </c>
      <c r="M25" s="617">
        <f>'Table2(I)'!M27</f>
        <v>6.6532775187460702E-2</v>
      </c>
      <c r="N25" s="619">
        <f>'Table2(I)'!N27</f>
        <v>1632.3980128466217</v>
      </c>
      <c r="O25" s="3717">
        <f t="shared" si="2"/>
        <v>10673.718429712377</v>
      </c>
    </row>
    <row r="26" spans="2:15" ht="18" customHeight="1" x14ac:dyDescent="0.25">
      <c r="B26" s="1129" t="s">
        <v>1933</v>
      </c>
      <c r="C26" s="3729">
        <f>'Table2(I)'!C35</f>
        <v>162.71317983</v>
      </c>
      <c r="D26" s="3733" t="str">
        <f>'Table2(I)'!D35</f>
        <v>NO</v>
      </c>
      <c r="E26" s="602" t="str">
        <f>'Table2(I)'!E35</f>
        <v>NO</v>
      </c>
      <c r="F26" s="69"/>
      <c r="G26" s="69"/>
      <c r="H26" s="69"/>
      <c r="I26" s="69"/>
      <c r="J26" s="69"/>
      <c r="K26" s="602" t="str">
        <f>'Table2(I)'!K35</f>
        <v>NO</v>
      </c>
      <c r="L26" s="3732" t="str">
        <f>'Table2(I)'!L35</f>
        <v>NO</v>
      </c>
      <c r="M26" s="3732">
        <f>'Table2(I)'!M35</f>
        <v>195.28755553921931</v>
      </c>
      <c r="N26" s="3734" t="str">
        <f>'Table2(I)'!N35</f>
        <v>NO</v>
      </c>
      <c r="O26" s="3717">
        <f t="shared" si="2"/>
        <v>162.71317983</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11437.453695274007</v>
      </c>
      <c r="G28" s="3718" t="str">
        <f>'Table2(I)'!G45</f>
        <v>NO</v>
      </c>
      <c r="H28" s="3718" t="str">
        <f>'Table2(I)'!H45</f>
        <v>NO</v>
      </c>
      <c r="I28" s="3718" t="str">
        <f>'Table2(I)'!I45</f>
        <v>NO</v>
      </c>
      <c r="J28" s="3718" t="str">
        <f>'Table2(I)'!J45</f>
        <v>NO</v>
      </c>
      <c r="K28" s="3719"/>
      <c r="L28" s="3719"/>
      <c r="M28" s="3719"/>
      <c r="N28" s="3738"/>
      <c r="O28" s="3721">
        <f t="shared" si="2"/>
        <v>11437.453695274007</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8.2014234343733942E-3</v>
      </c>
      <c r="J29" s="602" t="str">
        <f>'Table2(I)'!J52</f>
        <v>NO</v>
      </c>
      <c r="K29" s="3741" t="str">
        <f>'Table2(I)'!K52</f>
        <v>NO</v>
      </c>
      <c r="L29" s="3741" t="str">
        <f>'Table2(I)'!L52</f>
        <v>NO</v>
      </c>
      <c r="M29" s="3741" t="str">
        <f>'Table2(I)'!M52</f>
        <v>NO</v>
      </c>
      <c r="N29" s="3742" t="str">
        <f>'Table2(I)'!N52</f>
        <v>NO</v>
      </c>
      <c r="O29" s="3721">
        <f t="shared" si="2"/>
        <v>192.73345070777478</v>
      </c>
    </row>
    <row r="30" spans="2:15" ht="18" customHeight="1" thickBot="1" x14ac:dyDescent="0.3">
      <c r="B30" s="1374" t="s">
        <v>1936</v>
      </c>
      <c r="C30" s="3743">
        <f>'Table2(I)'!C57</f>
        <v>225.77854781948912</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51.994272992695819</v>
      </c>
      <c r="N30" s="3746" t="str">
        <f>'Table2(I)'!N57</f>
        <v>NA</v>
      </c>
      <c r="O30" s="3747">
        <f t="shared" si="2"/>
        <v>225.77854781948912</v>
      </c>
    </row>
    <row r="31" spans="2:15" ht="18" customHeight="1" x14ac:dyDescent="0.25">
      <c r="B31" s="1130" t="s">
        <v>1937</v>
      </c>
      <c r="C31" s="3789">
        <f>Table3!C10</f>
        <v>3083.3902291881086</v>
      </c>
      <c r="D31" s="3748">
        <f>Table3!D10</f>
        <v>2192.06804562664</v>
      </c>
      <c r="E31" s="3749">
        <f>Table3!E10</f>
        <v>45.871067593386485</v>
      </c>
      <c r="F31" s="3750"/>
      <c r="G31" s="3750"/>
      <c r="H31" s="3750"/>
      <c r="I31" s="3750"/>
      <c r="J31" s="3750"/>
      <c r="K31" s="3751">
        <f>Table3!F10</f>
        <v>29.615496776943218</v>
      </c>
      <c r="L31" s="3751">
        <f>Table3!G10</f>
        <v>471.32860008354407</v>
      </c>
      <c r="M31" s="3751">
        <f>Table3!H10</f>
        <v>27.494168338206737</v>
      </c>
      <c r="N31" s="3752" t="str">
        <f>Table3!I10</f>
        <v>NO</v>
      </c>
      <c r="O31" s="3716">
        <f t="shared" si="2"/>
        <v>76617.128418981447</v>
      </c>
    </row>
    <row r="32" spans="2:15" ht="18" customHeight="1" x14ac:dyDescent="0.25">
      <c r="B32" s="1131" t="s">
        <v>1938</v>
      </c>
      <c r="C32" s="3735"/>
      <c r="D32" s="3753">
        <f>Table3!D11</f>
        <v>1938.4604272450067</v>
      </c>
      <c r="E32" s="98"/>
      <c r="F32" s="3754"/>
      <c r="G32" s="3754"/>
      <c r="H32" s="3730"/>
      <c r="I32" s="3754"/>
      <c r="J32" s="3730"/>
      <c r="K32" s="98"/>
      <c r="L32" s="98"/>
      <c r="M32" s="98"/>
      <c r="N32" s="3755"/>
      <c r="O32" s="3716">
        <f t="shared" si="2"/>
        <v>54276.891962860187</v>
      </c>
    </row>
    <row r="33" spans="2:15" ht="18" customHeight="1" x14ac:dyDescent="0.25">
      <c r="B33" s="1131" t="s">
        <v>1939</v>
      </c>
      <c r="C33" s="3735"/>
      <c r="D33" s="3722">
        <f>Table3!D21</f>
        <v>234.03120177982962</v>
      </c>
      <c r="E33" s="3722">
        <f>Table3!E21</f>
        <v>2.3876339583751296</v>
      </c>
      <c r="F33" s="3754"/>
      <c r="G33" s="3754"/>
      <c r="H33" s="3754"/>
      <c r="I33" s="3754"/>
      <c r="J33" s="3754"/>
      <c r="K33" s="69"/>
      <c r="L33" s="69"/>
      <c r="M33" s="3756" t="str">
        <f>Table3!H21</f>
        <v>NE</v>
      </c>
      <c r="N33" s="3757"/>
      <c r="O33" s="3717">
        <f t="shared" si="2"/>
        <v>7185.5966488046388</v>
      </c>
    </row>
    <row r="34" spans="2:15" ht="18" customHeight="1" x14ac:dyDescent="0.25">
      <c r="B34" s="1131" t="s">
        <v>1940</v>
      </c>
      <c r="C34" s="3735"/>
      <c r="D34" s="3722">
        <f>Table3!D32</f>
        <v>7.4910678817133576</v>
      </c>
      <c r="E34" s="69"/>
      <c r="F34" s="3754"/>
      <c r="G34" s="3754"/>
      <c r="H34" s="3754"/>
      <c r="I34" s="3754"/>
      <c r="J34" s="3754"/>
      <c r="K34" s="69"/>
      <c r="L34" s="69"/>
      <c r="M34" s="3756" t="str">
        <f>Table3!H32</f>
        <v>NE</v>
      </c>
      <c r="N34" s="3757"/>
      <c r="O34" s="3717">
        <f t="shared" si="2"/>
        <v>209.74990068797402</v>
      </c>
    </row>
    <row r="35" spans="2:15" ht="18" customHeight="1" x14ac:dyDescent="0.25">
      <c r="B35" s="1131" t="s">
        <v>1941</v>
      </c>
      <c r="C35" s="3758"/>
      <c r="D35" s="3722" t="str">
        <f>Table3!D33</f>
        <v>NE</v>
      </c>
      <c r="E35" s="3722">
        <f>Table3!E33</f>
        <v>42.970834146284133</v>
      </c>
      <c r="F35" s="3754"/>
      <c r="G35" s="3754"/>
      <c r="H35" s="3754"/>
      <c r="I35" s="3754"/>
      <c r="J35" s="3754"/>
      <c r="K35" s="3756" t="str">
        <f>Table3!F33</f>
        <v>NO</v>
      </c>
      <c r="L35" s="3756" t="str">
        <f>Table3!G33</f>
        <v>NO</v>
      </c>
      <c r="M35" s="3756" t="str">
        <f>Table3!H33</f>
        <v>NO</v>
      </c>
      <c r="N35" s="3757"/>
      <c r="O35" s="3717">
        <f t="shared" si="2"/>
        <v>11387.271048765295</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12.08534872009087</v>
      </c>
      <c r="E37" s="3722">
        <f>Table3!E44</f>
        <v>0.51259948872721606</v>
      </c>
      <c r="F37" s="3754"/>
      <c r="G37" s="3754"/>
      <c r="H37" s="3754"/>
      <c r="I37" s="3754"/>
      <c r="J37" s="3754"/>
      <c r="K37" s="3756">
        <f>Table3!F44</f>
        <v>29.615496776943218</v>
      </c>
      <c r="L37" s="3756">
        <f>Table3!G44</f>
        <v>471.32860008354407</v>
      </c>
      <c r="M37" s="3756">
        <f>Table3!H44</f>
        <v>27.494168338206737</v>
      </c>
      <c r="N37" s="3756" t="str">
        <f>Table3!I44</f>
        <v>NO</v>
      </c>
      <c r="O37" s="3717">
        <f t="shared" si="2"/>
        <v>474.22862867525657</v>
      </c>
    </row>
    <row r="38" spans="2:15" ht="18" customHeight="1" x14ac:dyDescent="0.25">
      <c r="B38" s="1132" t="s">
        <v>955</v>
      </c>
      <c r="C38" s="3739">
        <f>Table3!C45</f>
        <v>1318.3866247265748</v>
      </c>
      <c r="D38" s="3759"/>
      <c r="E38" s="3759"/>
      <c r="F38" s="3736"/>
      <c r="G38" s="3736"/>
      <c r="H38" s="3736"/>
      <c r="I38" s="3736"/>
      <c r="J38" s="3736"/>
      <c r="K38" s="3760"/>
      <c r="L38" s="3760"/>
      <c r="M38" s="3760"/>
      <c r="N38" s="3738"/>
      <c r="O38" s="3721">
        <f t="shared" si="2"/>
        <v>1318.3866247265748</v>
      </c>
    </row>
    <row r="39" spans="2:15" ht="18" customHeight="1" x14ac:dyDescent="0.25">
      <c r="B39" s="1132" t="s">
        <v>956</v>
      </c>
      <c r="C39" s="3761">
        <f>Table3!C46</f>
        <v>1765.0036044615335</v>
      </c>
      <c r="D39" s="3759"/>
      <c r="E39" s="3759"/>
      <c r="F39" s="3736"/>
      <c r="G39" s="3736"/>
      <c r="H39" s="3736"/>
      <c r="I39" s="3736"/>
      <c r="J39" s="3736"/>
      <c r="K39" s="3760"/>
      <c r="L39" s="3760"/>
      <c r="M39" s="3760"/>
      <c r="N39" s="3738"/>
      <c r="O39" s="3721">
        <f t="shared" si="2"/>
        <v>1765.0036044615335</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-105645.33679957413</v>
      </c>
      <c r="D42" s="3765">
        <f>Table4!D10</f>
        <v>497.86854157819948</v>
      </c>
      <c r="E42" s="3766">
        <f>Table4!E10</f>
        <v>11.977137436929262</v>
      </c>
      <c r="F42" s="3750"/>
      <c r="G42" s="3750"/>
      <c r="H42" s="3750"/>
      <c r="I42" s="3750"/>
      <c r="J42" s="3750"/>
      <c r="K42" s="3767">
        <f>Table4!F10</f>
        <v>650.50395953656459</v>
      </c>
      <c r="L42" s="3767">
        <f>Table4!G10</f>
        <v>16919.667766634739</v>
      </c>
      <c r="M42" s="3767">
        <f>Table4!H10</f>
        <v>410.69185393059024</v>
      </c>
      <c r="N42" s="3768" t="str">
        <f>N50</f>
        <v>NO</v>
      </c>
      <c r="O42" s="3715">
        <f t="shared" si="2"/>
        <v>-88531.076214598288</v>
      </c>
    </row>
    <row r="43" spans="2:15" ht="18" customHeight="1" x14ac:dyDescent="0.25">
      <c r="B43" s="1131" t="s">
        <v>1947</v>
      </c>
      <c r="C43" s="3769">
        <f>Table4!C11</f>
        <v>-83849.429630125625</v>
      </c>
      <c r="D43" s="3770">
        <f>Table4!D11</f>
        <v>211.70759384390018</v>
      </c>
      <c r="E43" s="3771">
        <f>Table4!E11</f>
        <v>4.925934776137983</v>
      </c>
      <c r="F43" s="3736"/>
      <c r="G43" s="3736"/>
      <c r="H43" s="3736"/>
      <c r="I43" s="3736"/>
      <c r="J43" s="3736"/>
      <c r="K43" s="3756">
        <f>Table4!F11</f>
        <v>228.97815109666536</v>
      </c>
      <c r="L43" s="3756">
        <f>Table4!G11</f>
        <v>6102.7781713096165</v>
      </c>
      <c r="M43" s="3756">
        <f>Table4!H11</f>
        <v>193.72877449558064</v>
      </c>
      <c r="N43" s="3772"/>
      <c r="O43" s="3773">
        <f t="shared" si="2"/>
        <v>-76616.244286819856</v>
      </c>
    </row>
    <row r="44" spans="2:15" ht="18" customHeight="1" x14ac:dyDescent="0.25">
      <c r="B44" s="1131" t="s">
        <v>1948</v>
      </c>
      <c r="C44" s="3769">
        <f>Table4!C14</f>
        <v>-9931.8201906091617</v>
      </c>
      <c r="D44" s="3774">
        <f>Table4!D14</f>
        <v>0.5925108283923356</v>
      </c>
      <c r="E44" s="3774">
        <f>Table4!E14</f>
        <v>0.1076188664559501</v>
      </c>
      <c r="F44" s="3754"/>
      <c r="G44" s="3754"/>
      <c r="H44" s="3754"/>
      <c r="I44" s="3754"/>
      <c r="J44" s="3754"/>
      <c r="K44" s="3756">
        <f>Table4!F14</f>
        <v>0.44614654637875273</v>
      </c>
      <c r="L44" s="3756">
        <f>Table4!G14</f>
        <v>17.473583226199899</v>
      </c>
      <c r="M44" s="3756">
        <f>Table4!H14</f>
        <v>2.1121913789911964</v>
      </c>
      <c r="N44" s="3775"/>
      <c r="O44" s="3717">
        <f t="shared" si="2"/>
        <v>-9886.7108878033487</v>
      </c>
    </row>
    <row r="45" spans="2:15" ht="18" customHeight="1" x14ac:dyDescent="0.25">
      <c r="B45" s="1131" t="s">
        <v>1949</v>
      </c>
      <c r="C45" s="3769">
        <f>Table4!C17</f>
        <v>-8524.2810160450099</v>
      </c>
      <c r="D45" s="3774">
        <f>Table4!D17</f>
        <v>213.15424666693133</v>
      </c>
      <c r="E45" s="3774">
        <f>Table4!E17</f>
        <v>6.3209860170774705</v>
      </c>
      <c r="F45" s="3754"/>
      <c r="G45" s="3754"/>
      <c r="H45" s="3754"/>
      <c r="I45" s="3754"/>
      <c r="J45" s="3754"/>
      <c r="K45" s="3756">
        <f>Table4!F17</f>
        <v>398.88376017167309</v>
      </c>
      <c r="L45" s="3756">
        <f>Table4!G17</f>
        <v>10260.182258159964</v>
      </c>
      <c r="M45" s="3756">
        <f>Table4!H17</f>
        <v>212.33427403934047</v>
      </c>
      <c r="N45" s="3775"/>
      <c r="O45" s="3717">
        <f t="shared" si="2"/>
        <v>-880.90081484540315</v>
      </c>
    </row>
    <row r="46" spans="2:15" ht="18" customHeight="1" x14ac:dyDescent="0.25">
      <c r="B46" s="1131" t="s">
        <v>1950</v>
      </c>
      <c r="C46" s="3769">
        <f>Table4!C20</f>
        <v>-709.86503669737328</v>
      </c>
      <c r="D46" s="3774">
        <f>Table4!D20</f>
        <v>71.802043579540893</v>
      </c>
      <c r="E46" s="3774">
        <f>Table4!E20</f>
        <v>0.3029873388942112</v>
      </c>
      <c r="F46" s="3754"/>
      <c r="G46" s="3754"/>
      <c r="H46" s="3754"/>
      <c r="I46" s="3754"/>
      <c r="J46" s="3754"/>
      <c r="K46" s="3756">
        <f>Table4!F20</f>
        <v>21.734969862213529</v>
      </c>
      <c r="L46" s="3756">
        <f>Table4!G20</f>
        <v>521.18109551025861</v>
      </c>
      <c r="M46" s="3756">
        <f>Table4!H20</f>
        <v>0.3344245362857492</v>
      </c>
      <c r="N46" s="3775"/>
      <c r="O46" s="3717">
        <f t="shared" si="2"/>
        <v>1380.8838283367377</v>
      </c>
    </row>
    <row r="47" spans="2:15" ht="18" customHeight="1" x14ac:dyDescent="0.25">
      <c r="B47" s="1131" t="s">
        <v>1951</v>
      </c>
      <c r="C47" s="3769">
        <f>Table4!C23</f>
        <v>2301.3620338815936</v>
      </c>
      <c r="D47" s="3774">
        <f>Table4!D23</f>
        <v>0.61214665943471303</v>
      </c>
      <c r="E47" s="3776">
        <f>Table4!E23</f>
        <v>3.1535356947076112E-2</v>
      </c>
      <c r="F47" s="3754"/>
      <c r="G47" s="3754"/>
      <c r="H47" s="3754"/>
      <c r="I47" s="3754"/>
      <c r="J47" s="3754"/>
      <c r="K47" s="3756">
        <f>Table4!F23</f>
        <v>0.46093185963387623</v>
      </c>
      <c r="L47" s="3756">
        <f>Table4!G23</f>
        <v>18.05265842869964</v>
      </c>
      <c r="M47" s="3756">
        <f>Table4!H23</f>
        <v>2.1821894803922643</v>
      </c>
      <c r="N47" s="1842"/>
      <c r="O47" s="3717">
        <f t="shared" si="2"/>
        <v>2326.8590099367407</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-4931.3029599785514</v>
      </c>
      <c r="D49" s="3736"/>
      <c r="E49" s="3736"/>
      <c r="F49" s="3736"/>
      <c r="G49" s="3736"/>
      <c r="H49" s="3736"/>
      <c r="I49" s="3736"/>
      <c r="J49" s="3736"/>
      <c r="K49" s="3736"/>
      <c r="L49" s="3736"/>
      <c r="M49" s="3736"/>
      <c r="N49" s="3781"/>
      <c r="O49" s="3721">
        <f t="shared" si="2"/>
        <v>-4931.3029599785514</v>
      </c>
    </row>
    <row r="50" spans="2:15" ht="18" customHeight="1" thickBot="1" x14ac:dyDescent="0.3">
      <c r="B50" s="1375" t="s">
        <v>1954</v>
      </c>
      <c r="C50" s="3782" t="str">
        <f>Table4!C30</f>
        <v>NO</v>
      </c>
      <c r="D50" s="3783" t="str">
        <f>Table4!D30</f>
        <v>NO</v>
      </c>
      <c r="E50" s="3783">
        <f>Table4!E30</f>
        <v>0.28807508141657151</v>
      </c>
      <c r="F50" s="3762"/>
      <c r="G50" s="3762"/>
      <c r="H50" s="3762"/>
      <c r="I50" s="3762"/>
      <c r="J50" s="3762"/>
      <c r="K50" s="3784" t="str">
        <f>Table4!F30</f>
        <v>NO</v>
      </c>
      <c r="L50" s="3784" t="str">
        <f>Table4!G30</f>
        <v>NO</v>
      </c>
      <c r="M50" s="3784" t="str">
        <f>Table4!H30</f>
        <v>NO</v>
      </c>
      <c r="N50" s="3785" t="s">
        <v>199</v>
      </c>
      <c r="O50" s="3747">
        <f t="shared" si="2"/>
        <v>76.33989657539145</v>
      </c>
    </row>
    <row r="51" spans="2:15" ht="18" customHeight="1" x14ac:dyDescent="0.25">
      <c r="B51" s="1376" t="s">
        <v>1955</v>
      </c>
      <c r="C51" s="3786">
        <f>Table5!C10</f>
        <v>32.297548304455532</v>
      </c>
      <c r="D51" s="3748">
        <f>Table5!D10</f>
        <v>466.49602898941259</v>
      </c>
      <c r="E51" s="3749">
        <f>Table5!E10</f>
        <v>1.329665523768472</v>
      </c>
      <c r="F51" s="3750"/>
      <c r="G51" s="3750"/>
      <c r="H51" s="3750"/>
      <c r="I51" s="3750"/>
      <c r="J51" s="3750"/>
      <c r="K51" s="3751" t="str">
        <f>Table5!F10</f>
        <v>NO</v>
      </c>
      <c r="L51" s="3751" t="str">
        <f>Table5!G10</f>
        <v>NO</v>
      </c>
      <c r="M51" s="3751">
        <f>Table5!H10</f>
        <v>226.10767157211677</v>
      </c>
      <c r="N51" s="3752" t="str">
        <f>Table5!I10</f>
        <v>NO</v>
      </c>
      <c r="O51" s="3787">
        <f t="shared" si="2"/>
        <v>13446.547723806654</v>
      </c>
    </row>
    <row r="52" spans="2:15" ht="18" customHeight="1" x14ac:dyDescent="0.25">
      <c r="B52" s="1131" t="s">
        <v>1956</v>
      </c>
      <c r="C52" s="3758"/>
      <c r="D52" s="3753">
        <f>Table5!D11</f>
        <v>359.96831684179671</v>
      </c>
      <c r="E52" s="3788"/>
      <c r="F52" s="3750"/>
      <c r="G52" s="3750"/>
      <c r="H52" s="3750"/>
      <c r="I52" s="3750"/>
      <c r="J52" s="3750"/>
      <c r="K52" s="3756" t="str">
        <f>Table5!F11</f>
        <v>NO</v>
      </c>
      <c r="L52" s="3756" t="str">
        <f>Table5!G11</f>
        <v>NO</v>
      </c>
      <c r="M52" s="3756">
        <f>Table5!H11</f>
        <v>3.0341627200476018</v>
      </c>
      <c r="N52" s="3755"/>
      <c r="O52" s="3787">
        <f t="shared" si="2"/>
        <v>10079.112871570307</v>
      </c>
    </row>
    <row r="53" spans="2:15" ht="18" customHeight="1" x14ac:dyDescent="0.25">
      <c r="B53" s="1131" t="s">
        <v>1957</v>
      </c>
      <c r="C53" s="3758"/>
      <c r="D53" s="3753">
        <f>Table5!D15</f>
        <v>4.5622696188806646</v>
      </c>
      <c r="E53" s="3753">
        <f>Table5!E15</f>
        <v>0.58397051121672516</v>
      </c>
      <c r="F53" s="3754"/>
      <c r="G53" s="3754"/>
      <c r="H53" s="3754"/>
      <c r="I53" s="3754"/>
      <c r="J53" s="3754"/>
      <c r="K53" s="3756" t="str">
        <f>Table5!F15</f>
        <v>NA,NE</v>
      </c>
      <c r="L53" s="3756" t="str">
        <f>Table5!G15</f>
        <v>NA,NE</v>
      </c>
      <c r="M53" s="3756" t="str">
        <f>Table5!H15</f>
        <v>NA,NE</v>
      </c>
      <c r="N53" s="3755"/>
      <c r="O53" s="3716">
        <f t="shared" si="2"/>
        <v>282.49573480109075</v>
      </c>
    </row>
    <row r="54" spans="2:15" ht="18" customHeight="1" x14ac:dyDescent="0.25">
      <c r="B54" s="1131" t="s">
        <v>1958</v>
      </c>
      <c r="C54" s="3817">
        <f>Table5!C18</f>
        <v>32.297548304455532</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32.297548304455532</v>
      </c>
    </row>
    <row r="55" spans="2:15" ht="18" customHeight="1" x14ac:dyDescent="0.25">
      <c r="B55" s="1131" t="s">
        <v>1959</v>
      </c>
      <c r="C55" s="3735"/>
      <c r="D55" s="3722">
        <f>Table5!D21</f>
        <v>101.9654425287352</v>
      </c>
      <c r="E55" s="3722">
        <f>Table5!E21</f>
        <v>0.74569501255174675</v>
      </c>
      <c r="F55" s="3754"/>
      <c r="G55" s="3754"/>
      <c r="H55" s="3754"/>
      <c r="I55" s="3754"/>
      <c r="J55" s="3754"/>
      <c r="K55" s="3756" t="str">
        <f>Table5!F21</f>
        <v>NO</v>
      </c>
      <c r="L55" s="3756" t="str">
        <f>Table5!G21</f>
        <v>NO</v>
      </c>
      <c r="M55" s="3756">
        <f>Table5!H21</f>
        <v>223.07350885206918</v>
      </c>
      <c r="N55" s="3755"/>
      <c r="O55" s="3791">
        <f t="shared" si="2"/>
        <v>3052.6415691307984</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5098.2721709400003</v>
      </c>
      <c r="D61" s="3802">
        <f>Table1!D52</f>
        <v>0.12857781991428571</v>
      </c>
      <c r="E61" s="3802">
        <f>Table1!E52</f>
        <v>5.2466657696916712E-2</v>
      </c>
      <c r="F61" s="615"/>
      <c r="G61" s="615"/>
      <c r="H61" s="615"/>
      <c r="I61" s="615"/>
      <c r="J61" s="615"/>
      <c r="K61" s="3802">
        <f>Table1!F52</f>
        <v>53.743449854472694</v>
      </c>
      <c r="L61" s="3802">
        <f>Table1!G52</f>
        <v>7.0094408124869272</v>
      </c>
      <c r="M61" s="3802">
        <f>Table1!H52</f>
        <v>4.0512865448913224</v>
      </c>
      <c r="N61" s="3803">
        <f>Table1!I52</f>
        <v>20.139141412465428</v>
      </c>
      <c r="O61" s="3787">
        <f t="shared" ref="O61:O67" si="4">IF(SUM(C61:J61)=0,"NO",SUM(C61,F61:H61)+28*SUM(D61)+265*SUM(E61)+23500*SUM(I61)+16100*SUM(J61))</f>
        <v>5115.7760141872832</v>
      </c>
    </row>
    <row r="62" spans="2:15" ht="18" customHeight="1" x14ac:dyDescent="0.25">
      <c r="B62" s="1370" t="s">
        <v>218</v>
      </c>
      <c r="C62" s="3804">
        <f>Table1!C53</f>
        <v>3840.5573990400003</v>
      </c>
      <c r="D62" s="620">
        <f>Table1!D53</f>
        <v>8.2845657142857146E-3</v>
      </c>
      <c r="E62" s="620">
        <f>Table1!E53</f>
        <v>1.8097156496916712E-2</v>
      </c>
      <c r="F62" s="615"/>
      <c r="G62" s="615"/>
      <c r="H62" s="615"/>
      <c r="I62" s="615"/>
      <c r="J62" s="2161"/>
      <c r="K62" s="620">
        <f>Table1!F53</f>
        <v>20.177950370472693</v>
      </c>
      <c r="L62" s="620">
        <f>Table1!G53</f>
        <v>6.0255112998869276</v>
      </c>
      <c r="M62" s="620">
        <f>Table1!H53</f>
        <v>3.001190183691322</v>
      </c>
      <c r="N62" s="622">
        <f>Table1!I53</f>
        <v>0.45247946368000008</v>
      </c>
      <c r="O62" s="3716">
        <f t="shared" si="4"/>
        <v>3845.585113351683</v>
      </c>
    </row>
    <row r="63" spans="2:15" ht="18" customHeight="1" x14ac:dyDescent="0.25">
      <c r="B63" s="1379" t="s">
        <v>1963</v>
      </c>
      <c r="C63" s="3804">
        <f>Table1!C54</f>
        <v>1257.7147719</v>
      </c>
      <c r="D63" s="617">
        <f>Table1!D54</f>
        <v>0.1202932542</v>
      </c>
      <c r="E63" s="617">
        <f>Table1!E54</f>
        <v>3.4369501199999999E-2</v>
      </c>
      <c r="F63" s="615"/>
      <c r="G63" s="615"/>
      <c r="H63" s="615"/>
      <c r="I63" s="615"/>
      <c r="J63" s="615"/>
      <c r="K63" s="617">
        <f>Table1!F54</f>
        <v>33.565499484</v>
      </c>
      <c r="L63" s="617">
        <f>Table1!G54</f>
        <v>0.98392951260000006</v>
      </c>
      <c r="M63" s="617">
        <f>Table1!H54</f>
        <v>1.0500963612000001</v>
      </c>
      <c r="N63" s="619">
        <f>Table1!I54</f>
        <v>19.686661948785428</v>
      </c>
      <c r="O63" s="3717">
        <f t="shared" si="4"/>
        <v>1270.1909008355999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17038.838972092974</v>
      </c>
      <c r="D65" s="3806"/>
      <c r="E65" s="3806"/>
      <c r="F65" s="3807"/>
      <c r="G65" s="3807"/>
      <c r="H65" s="3807"/>
      <c r="I65" s="3807"/>
      <c r="J65" s="3806"/>
      <c r="K65" s="3806"/>
      <c r="L65" s="3806"/>
      <c r="M65" s="3806"/>
      <c r="N65" s="3808"/>
      <c r="O65" s="3773">
        <f t="shared" si="4"/>
        <v>17038.838972092974</v>
      </c>
    </row>
    <row r="66" spans="2:15" ht="18" customHeight="1" x14ac:dyDescent="0.25">
      <c r="B66" s="1382" t="s">
        <v>1964</v>
      </c>
      <c r="C66" s="3809">
        <f>Table1!C57</f>
        <v>2720.328</v>
      </c>
      <c r="D66" s="3317"/>
      <c r="E66" s="3317"/>
      <c r="F66" s="3317"/>
      <c r="G66" s="3317"/>
      <c r="H66" s="3317"/>
      <c r="I66" s="3317"/>
      <c r="J66" s="3317"/>
      <c r="K66" s="3317"/>
      <c r="L66" s="3317"/>
      <c r="M66" s="3317"/>
      <c r="N66" s="3810"/>
      <c r="O66" s="3717">
        <f t="shared" si="4"/>
        <v>2720.328</v>
      </c>
    </row>
    <row r="67" spans="2:15" ht="18" customHeight="1" thickBot="1" x14ac:dyDescent="0.3">
      <c r="B67" s="1383" t="s">
        <v>1965</v>
      </c>
      <c r="C67" s="3809">
        <f>Table5!C28</f>
        <v>323256.03024599818</v>
      </c>
      <c r="D67" s="3807"/>
      <c r="E67" s="3807"/>
      <c r="F67" s="3811"/>
      <c r="G67" s="3807"/>
      <c r="H67" s="3807"/>
      <c r="I67" s="3807"/>
      <c r="J67" s="3807"/>
      <c r="K67" s="3807"/>
      <c r="L67" s="3807"/>
      <c r="M67" s="3807"/>
      <c r="N67" s="3812"/>
      <c r="O67" s="3721">
        <f t="shared" si="4"/>
        <v>323256.03024599818</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283374.20069172984</v>
      </c>
      <c r="D10" s="3798">
        <f>IFERROR(Summary1!D10*28,Summary1!D10)</f>
        <v>123765.0841056707</v>
      </c>
      <c r="E10" s="3798">
        <f>IFERROR(Summary1!E10*265,Summary1!E10)</f>
        <v>19684.102604706572</v>
      </c>
      <c r="F10" s="3798">
        <f>Summary1!F10</f>
        <v>11437.453695274007</v>
      </c>
      <c r="G10" s="3798">
        <f>Summary1!G10</f>
        <v>291.483</v>
      </c>
      <c r="H10" s="3798" t="str">
        <f>Summary1!H10</f>
        <v>NO</v>
      </c>
      <c r="I10" s="3827">
        <f>IFERROR(Summary1!I10*23500,Summary1!I10)</f>
        <v>192.73345070777478</v>
      </c>
      <c r="J10" s="4181" t="str">
        <f>IFERROR(Summary1!J10*16100,Summary1!J10)</f>
        <v>NO</v>
      </c>
      <c r="K10" s="3799">
        <f>IF(SUM(C10:J10)=0,"NO",SUM(C10:J10))</f>
        <v>438745.05754808889</v>
      </c>
    </row>
    <row r="11" spans="2:12" ht="18" customHeight="1" x14ac:dyDescent="0.2">
      <c r="B11" s="1549" t="s">
        <v>1921</v>
      </c>
      <c r="C11" s="3767">
        <f>Summary1!C11</f>
        <v>366499.16482696496</v>
      </c>
      <c r="D11" s="3767">
        <f>IFERROR(Summary1!D11*28,Summary1!D11)</f>
        <v>35302.837605853725</v>
      </c>
      <c r="E11" s="3767">
        <f>IFERROR(Summary1!E11*265,Summary1!E11)</f>
        <v>2528.7472803183477</v>
      </c>
      <c r="F11" s="1550"/>
      <c r="G11" s="1550"/>
      <c r="H11" s="1551"/>
      <c r="I11" s="1551"/>
      <c r="J11" s="613"/>
      <c r="K11" s="3828">
        <f t="shared" ref="K11:K55" si="0">IF(SUM(C11:J11)=0,"NO",SUM(C11:J11))</f>
        <v>404330.74971313705</v>
      </c>
      <c r="L11" s="19"/>
    </row>
    <row r="12" spans="2:12" ht="18" customHeight="1" x14ac:dyDescent="0.2">
      <c r="B12" s="606" t="s">
        <v>242</v>
      </c>
      <c r="C12" s="3756">
        <f>Summary1!C12</f>
        <v>351082.75792210409</v>
      </c>
      <c r="D12" s="3756">
        <f>IFERROR(Summary1!D12*28,Summary1!D12)</f>
        <v>2131.1674148638549</v>
      </c>
      <c r="E12" s="3756">
        <f>IFERROR(Summary1!E12*265,Summary1!E12)</f>
        <v>2481.6957089367106</v>
      </c>
      <c r="F12" s="615"/>
      <c r="G12" s="615"/>
      <c r="H12" s="615"/>
      <c r="I12" s="69"/>
      <c r="J12" s="69"/>
      <c r="K12" s="3829">
        <f t="shared" si="0"/>
        <v>355695.62104590464</v>
      </c>
      <c r="L12" s="19"/>
    </row>
    <row r="13" spans="2:12" ht="18" customHeight="1" x14ac:dyDescent="0.2">
      <c r="B13" s="1391" t="s">
        <v>1923</v>
      </c>
      <c r="C13" s="3756">
        <f>Summary1!C13</f>
        <v>196331.17641434306</v>
      </c>
      <c r="D13" s="3756">
        <f>IFERROR(Summary1!D13*28,Summary1!D13)</f>
        <v>743.90167269136111</v>
      </c>
      <c r="E13" s="3756">
        <f>IFERROR(Summary1!E13*265,Summary1!E13)</f>
        <v>778.88084132373592</v>
      </c>
      <c r="F13" s="615"/>
      <c r="G13" s="615"/>
      <c r="H13" s="615"/>
      <c r="I13" s="69"/>
      <c r="J13" s="69"/>
      <c r="K13" s="3829">
        <f t="shared" si="0"/>
        <v>197853.95892835816</v>
      </c>
      <c r="L13" s="19"/>
    </row>
    <row r="14" spans="2:12" ht="18" customHeight="1" x14ac:dyDescent="0.2">
      <c r="B14" s="1391" t="s">
        <v>1976</v>
      </c>
      <c r="C14" s="3756">
        <f>Summary1!C14</f>
        <v>42689.716069213391</v>
      </c>
      <c r="D14" s="3756">
        <f>IFERROR(Summary1!D14*28,Summary1!D14)</f>
        <v>69.044420701639012</v>
      </c>
      <c r="E14" s="3756">
        <f>IFERROR(Summary1!E14*265,Summary1!E14)</f>
        <v>420.72574549983784</v>
      </c>
      <c r="F14" s="615"/>
      <c r="G14" s="615"/>
      <c r="H14" s="615"/>
      <c r="I14" s="69"/>
      <c r="J14" s="69"/>
      <c r="K14" s="3829">
        <f t="shared" si="0"/>
        <v>43179.486235414872</v>
      </c>
      <c r="L14" s="19"/>
    </row>
    <row r="15" spans="2:12" ht="18" customHeight="1" x14ac:dyDescent="0.2">
      <c r="B15" s="1391" t="s">
        <v>1925</v>
      </c>
      <c r="C15" s="3756">
        <f>Summary1!C15</f>
        <v>88692.181352404077</v>
      </c>
      <c r="D15" s="3756">
        <f>IFERROR(Summary1!D15*28,Summary1!D15)</f>
        <v>325.55810492216926</v>
      </c>
      <c r="E15" s="3756">
        <f>IFERROR(Summary1!E15*265,Summary1!E15)</f>
        <v>1079.4991112582811</v>
      </c>
      <c r="F15" s="615"/>
      <c r="G15" s="615"/>
      <c r="H15" s="615"/>
      <c r="I15" s="69"/>
      <c r="J15" s="69"/>
      <c r="K15" s="3829">
        <f t="shared" si="0"/>
        <v>90097.238568584522</v>
      </c>
      <c r="L15" s="19"/>
    </row>
    <row r="16" spans="2:12" ht="18" customHeight="1" x14ac:dyDescent="0.2">
      <c r="B16" s="1391" t="s">
        <v>1926</v>
      </c>
      <c r="C16" s="3756">
        <f>Summary1!C16</f>
        <v>22560.268192552965</v>
      </c>
      <c r="D16" s="3756">
        <f>IFERROR(Summary1!D16*28,Summary1!D16)</f>
        <v>991.96384496552287</v>
      </c>
      <c r="E16" s="3756">
        <f>IFERROR(Summary1!E16*265,Summary1!E16)</f>
        <v>196.54096916529187</v>
      </c>
      <c r="F16" s="615"/>
      <c r="G16" s="615"/>
      <c r="H16" s="615"/>
      <c r="I16" s="69"/>
      <c r="J16" s="69"/>
      <c r="K16" s="3829">
        <f t="shared" si="0"/>
        <v>23748.773006683779</v>
      </c>
      <c r="L16" s="19"/>
    </row>
    <row r="17" spans="2:12" ht="18" customHeight="1" x14ac:dyDescent="0.2">
      <c r="B17" s="1391" t="s">
        <v>1927</v>
      </c>
      <c r="C17" s="3756">
        <f>Summary1!C17</f>
        <v>809.41589359057934</v>
      </c>
      <c r="D17" s="3756">
        <f>IFERROR(Summary1!D17*28,Summary1!D17)</f>
        <v>0.69937158316276471</v>
      </c>
      <c r="E17" s="3756">
        <f>IFERROR(Summary1!E17*265,Summary1!E17)</f>
        <v>6.0490416895640466</v>
      </c>
      <c r="F17" s="615"/>
      <c r="G17" s="615"/>
      <c r="H17" s="615"/>
      <c r="I17" s="69"/>
      <c r="J17" s="69"/>
      <c r="K17" s="3829">
        <f t="shared" si="0"/>
        <v>816.16430686330625</v>
      </c>
      <c r="L17" s="19"/>
    </row>
    <row r="18" spans="2:12" ht="18" customHeight="1" x14ac:dyDescent="0.2">
      <c r="B18" s="606" t="s">
        <v>201</v>
      </c>
      <c r="C18" s="3756">
        <f>Summary1!C18</f>
        <v>15414.161904860886</v>
      </c>
      <c r="D18" s="3756">
        <f>IFERROR(Summary1!D18*28,Summary1!D18)</f>
        <v>33171.670190989869</v>
      </c>
      <c r="E18" s="3756">
        <f>IFERROR(Summary1!E18*265,Summary1!E18)</f>
        <v>47.051571381637402</v>
      </c>
      <c r="F18" s="615"/>
      <c r="G18" s="615"/>
      <c r="H18" s="615"/>
      <c r="I18" s="69"/>
      <c r="J18" s="69"/>
      <c r="K18" s="3829">
        <f t="shared" si="0"/>
        <v>48632.883667232389</v>
      </c>
      <c r="L18" s="19"/>
    </row>
    <row r="19" spans="2:12" ht="18" customHeight="1" x14ac:dyDescent="0.2">
      <c r="B19" s="1391" t="s">
        <v>1928</v>
      </c>
      <c r="C19" s="3756">
        <f>Summary1!C19</f>
        <v>2087.8740202040094</v>
      </c>
      <c r="D19" s="3756">
        <f>IFERROR(Summary1!D19*28,Summary1!D19)</f>
        <v>25623.576479684558</v>
      </c>
      <c r="E19" s="3756">
        <f>IFERROR(Summary1!E19*265,Summary1!E19)</f>
        <v>0.52366677215128354</v>
      </c>
      <c r="F19" s="615"/>
      <c r="G19" s="615"/>
      <c r="H19" s="615"/>
      <c r="I19" s="69"/>
      <c r="J19" s="69"/>
      <c r="K19" s="3829">
        <f t="shared" si="0"/>
        <v>27711.974166660719</v>
      </c>
      <c r="L19" s="19"/>
    </row>
    <row r="20" spans="2:12" ht="18" customHeight="1" x14ac:dyDescent="0.2">
      <c r="B20" s="1392" t="s">
        <v>1929</v>
      </c>
      <c r="C20" s="3756">
        <f>Summary1!C20</f>
        <v>13326.287884656876</v>
      </c>
      <c r="D20" s="3756">
        <f>IFERROR(Summary1!D20*28,Summary1!D20)</f>
        <v>7548.0937113053133</v>
      </c>
      <c r="E20" s="3756">
        <f>IFERROR(Summary1!E20*265,Summary1!E20)</f>
        <v>46.527904609486122</v>
      </c>
      <c r="F20" s="615"/>
      <c r="G20" s="615"/>
      <c r="H20" s="615"/>
      <c r="I20" s="69"/>
      <c r="J20" s="69"/>
      <c r="K20" s="3829">
        <f t="shared" si="0"/>
        <v>20920.909500571677</v>
      </c>
      <c r="L20" s="19"/>
    </row>
    <row r="21" spans="2:12" ht="18" customHeight="1" thickBot="1" x14ac:dyDescent="0.25">
      <c r="B21" s="1406" t="s">
        <v>1977</v>
      </c>
      <c r="C21" s="3784">
        <f>Summary1!C21</f>
        <v>2.2450000000000001</v>
      </c>
      <c r="D21" s="1948"/>
      <c r="E21" s="1948"/>
      <c r="F21" s="1948"/>
      <c r="G21" s="1948"/>
      <c r="H21" s="1948"/>
      <c r="I21" s="87"/>
      <c r="J21" s="87"/>
      <c r="K21" s="3830">
        <f t="shared" si="0"/>
        <v>2.2450000000000001</v>
      </c>
      <c r="L21" s="19"/>
    </row>
    <row r="22" spans="2:12" ht="18" customHeight="1" x14ac:dyDescent="0.2">
      <c r="B22" s="1552" t="s">
        <v>1931</v>
      </c>
      <c r="C22" s="3767">
        <f>Summary1!C22</f>
        <v>19404.684886846499</v>
      </c>
      <c r="D22" s="3767">
        <f>IFERROR(Summary1!D22*28,Summary1!D22)</f>
        <v>82.133246377929979</v>
      </c>
      <c r="E22" s="3767">
        <f>IFERROR(Summary1!E22*265,Summary1!E22)</f>
        <v>1473.2196275559108</v>
      </c>
      <c r="F22" s="3767">
        <f>Summary1!F22</f>
        <v>11437.453695274007</v>
      </c>
      <c r="G22" s="3767">
        <f>Summary1!G22</f>
        <v>291.483</v>
      </c>
      <c r="H22" s="3767" t="str">
        <f>Summary1!H22</f>
        <v>NO</v>
      </c>
      <c r="I22" s="3767">
        <f>IFERROR(Summary1!I22*23500,Summary1!I22)</f>
        <v>192.73345070777478</v>
      </c>
      <c r="J22" s="3831" t="str">
        <f>IFERROR(Summary1!J22*16100,Summary1!J22)</f>
        <v>NO</v>
      </c>
      <c r="K22" s="3828">
        <f t="shared" si="0"/>
        <v>32881.707906762123</v>
      </c>
      <c r="L22" s="19"/>
    </row>
    <row r="23" spans="2:12" ht="18" customHeight="1" x14ac:dyDescent="0.2">
      <c r="B23" s="1393" t="s">
        <v>1932</v>
      </c>
      <c r="C23" s="3756">
        <f>Summary1!C23</f>
        <v>5613.9712902377578</v>
      </c>
      <c r="D23" s="615"/>
      <c r="E23" s="615"/>
      <c r="F23" s="615"/>
      <c r="G23" s="615"/>
      <c r="H23" s="615"/>
      <c r="I23" s="69"/>
      <c r="J23" s="69"/>
      <c r="K23" s="3829">
        <f t="shared" si="0"/>
        <v>5613.9712902377578</v>
      </c>
      <c r="L23" s="19"/>
    </row>
    <row r="24" spans="2:12" ht="18" customHeight="1" x14ac:dyDescent="0.2">
      <c r="B24" s="1393" t="s">
        <v>846</v>
      </c>
      <c r="C24" s="3756">
        <f>Summary1!C24</f>
        <v>3104.4552540351287</v>
      </c>
      <c r="D24" s="3756">
        <f>IFERROR(Summary1!D24*28,Summary1!D24)</f>
        <v>12.140799999999999</v>
      </c>
      <c r="E24" s="3756">
        <f>IFERROR(Summary1!E24*265,Summary1!E24)</f>
        <v>1458.7432591455865</v>
      </c>
      <c r="F24" s="1949" t="str">
        <f>Summary1!F24</f>
        <v>NO</v>
      </c>
      <c r="G24" s="1949" t="str">
        <f>Summary1!G24</f>
        <v>NO</v>
      </c>
      <c r="H24" s="1949" t="str">
        <f>Summary1!H24</f>
        <v>NO</v>
      </c>
      <c r="I24" s="602" t="str">
        <f>IFERROR(Summary1!I24*23500,Summary1!I24)</f>
        <v>NO</v>
      </c>
      <c r="J24" s="602" t="str">
        <f>IFERROR(Summary1!J24*16100,Summary1!J24)</f>
        <v>NO</v>
      </c>
      <c r="K24" s="3829">
        <f t="shared" si="0"/>
        <v>4575.3393131807152</v>
      </c>
      <c r="L24" s="19"/>
    </row>
    <row r="25" spans="2:12" ht="18" customHeight="1" x14ac:dyDescent="0.2">
      <c r="B25" s="1393" t="s">
        <v>637</v>
      </c>
      <c r="C25" s="3756">
        <f>Summary1!C25</f>
        <v>10297.766614924123</v>
      </c>
      <c r="D25" s="3756">
        <f>IFERROR(Summary1!D25*28,Summary1!D25)</f>
        <v>69.99244637792998</v>
      </c>
      <c r="E25" s="3756">
        <f>IFERROR(Summary1!E25*265,Summary1!E25)</f>
        <v>14.476368410324323</v>
      </c>
      <c r="F25" s="1949" t="str">
        <f>Summary1!F25</f>
        <v>NO</v>
      </c>
      <c r="G25" s="3756">
        <f>Summary1!G25</f>
        <v>291.483</v>
      </c>
      <c r="H25" s="3756" t="str">
        <f>Summary1!H25</f>
        <v>NO</v>
      </c>
      <c r="I25" s="3756" t="str">
        <f>IFERROR(Summary1!I25*23500,Summary1!I25)</f>
        <v>NO</v>
      </c>
      <c r="J25" s="3756" t="str">
        <f>IFERROR(Summary1!J25*16100,Summary1!J25)</f>
        <v>NO</v>
      </c>
      <c r="K25" s="3829">
        <f t="shared" si="0"/>
        <v>10673.718429712377</v>
      </c>
      <c r="L25" s="19"/>
    </row>
    <row r="26" spans="2:12" ht="18" customHeight="1" x14ac:dyDescent="0.2">
      <c r="B26" s="1394" t="s">
        <v>1978</v>
      </c>
      <c r="C26" s="3756">
        <f>Summary1!C26</f>
        <v>162.71317983</v>
      </c>
      <c r="D26" s="3756" t="str">
        <f>IFERROR(Summary1!D26*28,Summary1!D26)</f>
        <v>NO</v>
      </c>
      <c r="E26" s="3756" t="str">
        <f>IFERROR(Summary1!E26*265,Summary1!E26)</f>
        <v>NO</v>
      </c>
      <c r="F26" s="615"/>
      <c r="G26" s="615"/>
      <c r="H26" s="615"/>
      <c r="I26" s="69"/>
      <c r="J26" s="69"/>
      <c r="K26" s="3829">
        <f t="shared" si="0"/>
        <v>162.71317983</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11437.453695274007</v>
      </c>
      <c r="G28" s="3756" t="str">
        <f>Summary1!G28</f>
        <v>NO</v>
      </c>
      <c r="H28" s="3756" t="str">
        <f>Summary1!H28</f>
        <v>NO</v>
      </c>
      <c r="I28" s="3756" t="str">
        <f>IFERROR(Summary1!I28*23500,Summary1!I28)</f>
        <v>NO</v>
      </c>
      <c r="J28" s="3756" t="str">
        <f>IFERROR(Summary1!J28*16100,Summary1!J28)</f>
        <v>NO</v>
      </c>
      <c r="K28" s="3829">
        <f t="shared" si="0"/>
        <v>11437.453695274007</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192.73345070777478</v>
      </c>
      <c r="J29" s="3756" t="str">
        <f>IFERROR(Summary1!J29*16100,Summary1!J29)</f>
        <v>NO</v>
      </c>
      <c r="K29" s="3829">
        <f t="shared" si="0"/>
        <v>192.73345070777478</v>
      </c>
      <c r="L29" s="19"/>
    </row>
    <row r="30" spans="2:12" ht="18" customHeight="1" thickBot="1" x14ac:dyDescent="0.25">
      <c r="B30" s="1406" t="s">
        <v>1982</v>
      </c>
      <c r="C30" s="3784">
        <f>Summary1!C30</f>
        <v>225.77854781948912</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225.77854781948912</v>
      </c>
      <c r="L30" s="19"/>
    </row>
    <row r="31" spans="2:12" ht="18" customHeight="1" x14ac:dyDescent="0.2">
      <c r="B31" s="780" t="s">
        <v>1937</v>
      </c>
      <c r="C31" s="3767">
        <f>Summary1!C31</f>
        <v>3083.3902291881086</v>
      </c>
      <c r="D31" s="3767">
        <f>IFERROR(Summary1!D31*28,Summary1!D31)</f>
        <v>61377.90527754592</v>
      </c>
      <c r="E31" s="3767">
        <f>IFERROR(Summary1!E31*265,Summary1!E31)</f>
        <v>12155.832912247419</v>
      </c>
      <c r="F31" s="1550"/>
      <c r="G31" s="1550"/>
      <c r="H31" s="1550"/>
      <c r="I31" s="1553"/>
      <c r="J31" s="613"/>
      <c r="K31" s="3828">
        <f t="shared" si="0"/>
        <v>76617.128418981447</v>
      </c>
      <c r="L31" s="19"/>
    </row>
    <row r="32" spans="2:12" ht="18" customHeight="1" x14ac:dyDescent="0.2">
      <c r="B32" s="606" t="s">
        <v>1938</v>
      </c>
      <c r="C32" s="615"/>
      <c r="D32" s="3756">
        <f>IFERROR(Summary1!D32*28,Summary1!D32)</f>
        <v>54276.891962860187</v>
      </c>
      <c r="E32" s="615"/>
      <c r="F32" s="615"/>
      <c r="G32" s="615"/>
      <c r="H32" s="615"/>
      <c r="I32" s="69"/>
      <c r="J32" s="69"/>
      <c r="K32" s="3829">
        <f t="shared" si="0"/>
        <v>54276.891962860187</v>
      </c>
      <c r="L32" s="19"/>
    </row>
    <row r="33" spans="2:12" ht="18" customHeight="1" x14ac:dyDescent="0.2">
      <c r="B33" s="606" t="s">
        <v>1939</v>
      </c>
      <c r="C33" s="615"/>
      <c r="D33" s="3756">
        <f>IFERROR(Summary1!D33*28,Summary1!D33)</f>
        <v>6552.8736498352291</v>
      </c>
      <c r="E33" s="3756">
        <f>IFERROR(Summary1!E33*265,Summary1!E33)</f>
        <v>632.72299896940933</v>
      </c>
      <c r="F33" s="615"/>
      <c r="G33" s="615"/>
      <c r="H33" s="615"/>
      <c r="I33" s="69"/>
      <c r="J33" s="69"/>
      <c r="K33" s="3829">
        <f t="shared" si="0"/>
        <v>7185.5966488046388</v>
      </c>
      <c r="L33" s="19"/>
    </row>
    <row r="34" spans="2:12" ht="18" customHeight="1" x14ac:dyDescent="0.2">
      <c r="B34" s="606" t="s">
        <v>1940</v>
      </c>
      <c r="C34" s="615"/>
      <c r="D34" s="3756">
        <f>IFERROR(Summary1!D34*28,Summary1!D34)</f>
        <v>209.74990068797402</v>
      </c>
      <c r="E34" s="615"/>
      <c r="F34" s="615"/>
      <c r="G34" s="615"/>
      <c r="H34" s="615"/>
      <c r="I34" s="69"/>
      <c r="J34" s="69"/>
      <c r="K34" s="3829">
        <f t="shared" si="0"/>
        <v>209.74990068797402</v>
      </c>
      <c r="L34" s="19"/>
    </row>
    <row r="35" spans="2:12" ht="18" customHeight="1" x14ac:dyDescent="0.2">
      <c r="B35" s="606" t="s">
        <v>1941</v>
      </c>
      <c r="C35" s="1950"/>
      <c r="D35" s="3756" t="str">
        <f>IFERROR(Summary1!D35*28,Summary1!D35)</f>
        <v>NE</v>
      </c>
      <c r="E35" s="3756">
        <f>IFERROR(Summary1!E35*265,Summary1!E35)</f>
        <v>11387.271048765295</v>
      </c>
      <c r="F35" s="615"/>
      <c r="G35" s="615"/>
      <c r="H35" s="615"/>
      <c r="I35" s="69"/>
      <c r="J35" s="69"/>
      <c r="K35" s="3829">
        <f t="shared" si="0"/>
        <v>11387.271048765295</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338.38976416254434</v>
      </c>
      <c r="E37" s="3756">
        <f>IFERROR(Summary1!E37*265,Summary1!E37)</f>
        <v>135.83886451271226</v>
      </c>
      <c r="F37" s="615"/>
      <c r="G37" s="615"/>
      <c r="H37" s="615"/>
      <c r="I37" s="69"/>
      <c r="J37" s="69"/>
      <c r="K37" s="3829">
        <f t="shared" si="0"/>
        <v>474.22862867525657</v>
      </c>
      <c r="L37" s="19"/>
    </row>
    <row r="38" spans="2:12" ht="18" customHeight="1" x14ac:dyDescent="0.2">
      <c r="B38" s="606" t="s">
        <v>955</v>
      </c>
      <c r="C38" s="1949">
        <f>Summary1!C38</f>
        <v>1318.3866247265748</v>
      </c>
      <c r="D38" s="3832"/>
      <c r="E38" s="3832"/>
      <c r="F38" s="615"/>
      <c r="G38" s="615"/>
      <c r="H38" s="615"/>
      <c r="I38" s="69"/>
      <c r="J38" s="69"/>
      <c r="K38" s="3829">
        <f t="shared" si="0"/>
        <v>1318.3866247265748</v>
      </c>
      <c r="L38" s="19"/>
    </row>
    <row r="39" spans="2:12" ht="18" customHeight="1" x14ac:dyDescent="0.2">
      <c r="B39" s="606" t="s">
        <v>956</v>
      </c>
      <c r="C39" s="1949">
        <f>Summary1!C39</f>
        <v>1765.0036044615335</v>
      </c>
      <c r="D39" s="3832"/>
      <c r="E39" s="3832"/>
      <c r="F39" s="615"/>
      <c r="G39" s="615"/>
      <c r="H39" s="615"/>
      <c r="I39" s="69"/>
      <c r="J39" s="69"/>
      <c r="K39" s="3829">
        <f t="shared" si="0"/>
        <v>1765.0036044615335</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-105645.33679957413</v>
      </c>
      <c r="D42" s="1952">
        <f>IFERROR(Summary1!D42*28,Summary1!D42)</f>
        <v>13940.319164189586</v>
      </c>
      <c r="E42" s="1952">
        <f>IFERROR(Summary1!E42*265,Summary1!E42)</f>
        <v>3173.9414207862542</v>
      </c>
      <c r="F42" s="1550"/>
      <c r="G42" s="1550"/>
      <c r="H42" s="1550"/>
      <c r="I42" s="1553"/>
      <c r="J42" s="613"/>
      <c r="K42" s="3828">
        <f t="shared" si="0"/>
        <v>-88531.076214598288</v>
      </c>
      <c r="L42" s="19"/>
    </row>
    <row r="43" spans="2:12" ht="18" customHeight="1" x14ac:dyDescent="0.2">
      <c r="B43" s="606" t="s">
        <v>1252</v>
      </c>
      <c r="C43" s="1949">
        <f>Summary1!C43</f>
        <v>-83849.429630125625</v>
      </c>
      <c r="D43" s="1949">
        <f>IFERROR(Summary1!D43*28,Summary1!D43)</f>
        <v>5927.8126276292051</v>
      </c>
      <c r="E43" s="1949">
        <f>IFERROR(Summary1!E43*265,Summary1!E43)</f>
        <v>1305.3727156765656</v>
      </c>
      <c r="F43" s="627"/>
      <c r="G43" s="627"/>
      <c r="H43" s="627"/>
      <c r="I43" s="614"/>
      <c r="J43" s="69"/>
      <c r="K43" s="3829">
        <f t="shared" si="0"/>
        <v>-76616.244286819856</v>
      </c>
      <c r="L43" s="19"/>
    </row>
    <row r="44" spans="2:12" ht="18" customHeight="1" x14ac:dyDescent="0.2">
      <c r="B44" s="606" t="s">
        <v>1255</v>
      </c>
      <c r="C44" s="1949">
        <f>Summary1!C44</f>
        <v>-9931.8201906091617</v>
      </c>
      <c r="D44" s="1949">
        <f>IFERROR(Summary1!D44*28,Summary1!D44)</f>
        <v>16.590303194985395</v>
      </c>
      <c r="E44" s="1949">
        <f>IFERROR(Summary1!E44*265,Summary1!E44)</f>
        <v>28.518999610826778</v>
      </c>
      <c r="F44" s="627"/>
      <c r="G44" s="627"/>
      <c r="H44" s="627"/>
      <c r="I44" s="614"/>
      <c r="J44" s="69"/>
      <c r="K44" s="3829">
        <f t="shared" si="0"/>
        <v>-9886.7108878033487</v>
      </c>
      <c r="L44" s="19"/>
    </row>
    <row r="45" spans="2:12" ht="18" customHeight="1" x14ac:dyDescent="0.2">
      <c r="B45" s="606" t="s">
        <v>1258</v>
      </c>
      <c r="C45" s="1949">
        <f>Summary1!C45</f>
        <v>-8524.2810160450099</v>
      </c>
      <c r="D45" s="1949">
        <f>IFERROR(Summary1!D45*28,Summary1!D45)</f>
        <v>5968.318906674077</v>
      </c>
      <c r="E45" s="1949">
        <f>IFERROR(Summary1!E45*265,Summary1!E45)</f>
        <v>1675.0612945255298</v>
      </c>
      <c r="F45" s="627"/>
      <c r="G45" s="627"/>
      <c r="H45" s="627"/>
      <c r="I45" s="614"/>
      <c r="J45" s="69"/>
      <c r="K45" s="3829">
        <f t="shared" si="0"/>
        <v>-880.90081484540315</v>
      </c>
      <c r="L45" s="19"/>
    </row>
    <row r="46" spans="2:12" ht="18" customHeight="1" x14ac:dyDescent="0.2">
      <c r="B46" s="606" t="s">
        <v>1984</v>
      </c>
      <c r="C46" s="1949">
        <f>Summary1!C46</f>
        <v>-709.86503669737328</v>
      </c>
      <c r="D46" s="1949">
        <f>IFERROR(Summary1!D46*28,Summary1!D46)</f>
        <v>2010.4572202271449</v>
      </c>
      <c r="E46" s="1949">
        <f>IFERROR(Summary1!E46*265,Summary1!E46)</f>
        <v>80.291644806965962</v>
      </c>
      <c r="F46" s="627"/>
      <c r="G46" s="627"/>
      <c r="H46" s="627"/>
      <c r="I46" s="614"/>
      <c r="J46" s="69"/>
      <c r="K46" s="3829">
        <f t="shared" si="0"/>
        <v>1380.8838283367377</v>
      </c>
      <c r="L46" s="19"/>
    </row>
    <row r="47" spans="2:12" ht="18" customHeight="1" x14ac:dyDescent="0.2">
      <c r="B47" s="606" t="s">
        <v>1985</v>
      </c>
      <c r="C47" s="1949">
        <f>Summary1!C47</f>
        <v>2301.3620338815936</v>
      </c>
      <c r="D47" s="1949">
        <f>IFERROR(Summary1!D47*28,Summary1!D47)</f>
        <v>17.140106464171964</v>
      </c>
      <c r="E47" s="1949">
        <f>IFERROR(Summary1!E47*265,Summary1!E47)</f>
        <v>8.3568695909751707</v>
      </c>
      <c r="F47" s="627"/>
      <c r="G47" s="627"/>
      <c r="H47" s="627"/>
      <c r="I47" s="614"/>
      <c r="J47" s="69"/>
      <c r="K47" s="3829">
        <f t="shared" si="0"/>
        <v>2326.8590099367407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-4931.3029599785514</v>
      </c>
      <c r="D49" s="3833"/>
      <c r="E49" s="3833"/>
      <c r="F49" s="627"/>
      <c r="G49" s="627"/>
      <c r="H49" s="627"/>
      <c r="I49" s="614"/>
      <c r="J49" s="69"/>
      <c r="K49" s="3829">
        <f t="shared" si="0"/>
        <v>-4931.3029599785514</v>
      </c>
      <c r="L49" s="19"/>
    </row>
    <row r="50" spans="2:12" ht="18" customHeight="1" thickBot="1" x14ac:dyDescent="0.25">
      <c r="B50" s="1554" t="s">
        <v>1988</v>
      </c>
      <c r="C50" s="1951" t="str">
        <f>Summary1!C50</f>
        <v>NO</v>
      </c>
      <c r="D50" s="1951" t="str">
        <f>IFERROR(Summary1!D50*28,Summary1!D50)</f>
        <v>NO</v>
      </c>
      <c r="E50" s="1951">
        <f>IFERROR(Summary1!E50*265,Summary1!E50)</f>
        <v>76.33989657539145</v>
      </c>
      <c r="F50" s="1953"/>
      <c r="G50" s="1953"/>
      <c r="H50" s="1953"/>
      <c r="I50" s="1555"/>
      <c r="J50" s="87"/>
      <c r="K50" s="3830">
        <f t="shared" si="0"/>
        <v>76.33989657539145</v>
      </c>
      <c r="L50" s="19"/>
    </row>
    <row r="51" spans="2:12" ht="18" customHeight="1" x14ac:dyDescent="0.2">
      <c r="B51" s="1549" t="s">
        <v>1955</v>
      </c>
      <c r="C51" s="1952">
        <f>Summary1!C51</f>
        <v>32.297548304455532</v>
      </c>
      <c r="D51" s="1952">
        <f>IFERROR(Summary1!D51*28,Summary1!D51)</f>
        <v>13061.888811703553</v>
      </c>
      <c r="E51" s="1952">
        <f>IFERROR(Summary1!E51*265,Summary1!E51)</f>
        <v>352.36136379864507</v>
      </c>
      <c r="F51" s="1550"/>
      <c r="G51" s="1550"/>
      <c r="H51" s="1550"/>
      <c r="I51" s="1553"/>
      <c r="J51" s="613"/>
      <c r="K51" s="3828">
        <f t="shared" si="0"/>
        <v>13446.547723806654</v>
      </c>
      <c r="L51" s="19"/>
    </row>
    <row r="52" spans="2:12" ht="18" customHeight="1" x14ac:dyDescent="0.2">
      <c r="B52" s="606" t="s">
        <v>1989</v>
      </c>
      <c r="C52" s="615"/>
      <c r="D52" s="1949">
        <f>IFERROR(Summary1!D52*28,Summary1!D52)</f>
        <v>10079.112871570307</v>
      </c>
      <c r="E52" s="627"/>
      <c r="F52" s="615"/>
      <c r="G52" s="615"/>
      <c r="H52" s="615"/>
      <c r="I52" s="69"/>
      <c r="J52" s="69"/>
      <c r="K52" s="3829">
        <f t="shared" si="0"/>
        <v>10079.112871570307</v>
      </c>
      <c r="L52" s="19"/>
    </row>
    <row r="53" spans="2:12" ht="18" customHeight="1" x14ac:dyDescent="0.2">
      <c r="B53" s="1395" t="s">
        <v>1990</v>
      </c>
      <c r="C53" s="615"/>
      <c r="D53" s="1949">
        <f>IFERROR(Summary1!D53*28,Summary1!D53)</f>
        <v>127.74354932865862</v>
      </c>
      <c r="E53" s="1949">
        <f>IFERROR(Summary1!E53*265,Summary1!E53)</f>
        <v>154.75218547243216</v>
      </c>
      <c r="F53" s="615"/>
      <c r="G53" s="615"/>
      <c r="H53" s="615"/>
      <c r="I53" s="69"/>
      <c r="J53" s="69"/>
      <c r="K53" s="3829">
        <f t="shared" si="0"/>
        <v>282.49573480109075</v>
      </c>
      <c r="L53" s="19"/>
    </row>
    <row r="54" spans="2:12" ht="18" customHeight="1" x14ac:dyDescent="0.2">
      <c r="B54" s="1396" t="s">
        <v>1991</v>
      </c>
      <c r="C54" s="1949">
        <f>Summary1!C54</f>
        <v>32.297548304455532</v>
      </c>
      <c r="D54" s="1949" t="str">
        <f>IFERROR(Summary1!D54*28,Summary1!D54)</f>
        <v>NO,NE</v>
      </c>
      <c r="E54" s="1949" t="str">
        <f>IFERROR(Summary1!E54*265,Summary1!E54)</f>
        <v>NO,NE</v>
      </c>
      <c r="F54" s="615"/>
      <c r="G54" s="615"/>
      <c r="H54" s="615"/>
      <c r="I54" s="69"/>
      <c r="J54" s="69"/>
      <c r="K54" s="3829">
        <f t="shared" si="0"/>
        <v>32.297548304455532</v>
      </c>
      <c r="L54" s="19"/>
    </row>
    <row r="55" spans="2:12" ht="18" customHeight="1" x14ac:dyDescent="0.2">
      <c r="B55" s="606" t="s">
        <v>1992</v>
      </c>
      <c r="C55" s="615"/>
      <c r="D55" s="1949">
        <f>IFERROR(Summary1!D55*28,Summary1!D55)</f>
        <v>2855.0323908045857</v>
      </c>
      <c r="E55" s="1949">
        <f>IFERROR(Summary1!E55*265,Summary1!E55)</f>
        <v>197.60917832621288</v>
      </c>
      <c r="F55" s="615"/>
      <c r="G55" s="615"/>
      <c r="H55" s="615"/>
      <c r="I55" s="69"/>
      <c r="J55" s="69"/>
      <c r="K55" s="3829">
        <f t="shared" si="0"/>
        <v>3052.6415691307984</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5098.2721709400003</v>
      </c>
      <c r="D60" s="617">
        <f>IFERROR(Summary1!D61*28,Summary1!D61)</f>
        <v>3.6001789575999998</v>
      </c>
      <c r="E60" s="617">
        <f>IFERROR(Summary1!E61*265,Summary1!E61)</f>
        <v>13.903664289682929</v>
      </c>
      <c r="F60" s="1957"/>
      <c r="G60" s="1957"/>
      <c r="H60" s="1958"/>
      <c r="I60" s="618"/>
      <c r="J60" s="618"/>
      <c r="K60" s="619">
        <f t="shared" ref="K60:K66" si="2">IF(SUM(C60:J60)=0,"NO",SUM(C60:J60))</f>
        <v>5115.7760141872832</v>
      </c>
    </row>
    <row r="61" spans="2:12" ht="18" customHeight="1" x14ac:dyDescent="0.2">
      <c r="B61" s="1385" t="s">
        <v>218</v>
      </c>
      <c r="C61" s="617">
        <f>Summary1!C62</f>
        <v>3840.5573990400003</v>
      </c>
      <c r="D61" s="617">
        <f>IFERROR(Summary1!D62*28,Summary1!D62)</f>
        <v>0.23196784000000001</v>
      </c>
      <c r="E61" s="617">
        <f>IFERROR(Summary1!E62*265,Summary1!E62)</f>
        <v>4.7957464716829286</v>
      </c>
      <c r="F61" s="615"/>
      <c r="G61" s="615"/>
      <c r="H61" s="615"/>
      <c r="I61" s="621"/>
      <c r="J61" s="621"/>
      <c r="K61" s="622">
        <f t="shared" si="2"/>
        <v>3845.585113351683</v>
      </c>
    </row>
    <row r="62" spans="2:12" ht="18" customHeight="1" x14ac:dyDescent="0.2">
      <c r="B62" s="1386" t="s">
        <v>1963</v>
      </c>
      <c r="C62" s="617">
        <f>Summary1!C63</f>
        <v>1257.7147719</v>
      </c>
      <c r="D62" s="617">
        <f>IFERROR(Summary1!D63*28,Summary1!D63)</f>
        <v>3.3682111176</v>
      </c>
      <c r="E62" s="617">
        <f>IFERROR(Summary1!E63*265,Summary1!E63)</f>
        <v>9.1079178180000007</v>
      </c>
      <c r="F62" s="615"/>
      <c r="G62" s="615"/>
      <c r="H62" s="615"/>
      <c r="I62" s="623"/>
      <c r="J62" s="623"/>
      <c r="K62" s="619">
        <f t="shared" si="2"/>
        <v>1270.1909008355999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17038.838972092974</v>
      </c>
      <c r="D64" s="627"/>
      <c r="E64" s="627"/>
      <c r="F64" s="627"/>
      <c r="G64" s="627"/>
      <c r="H64" s="627"/>
      <c r="I64" s="614"/>
      <c r="J64" s="614"/>
      <c r="K64" s="628">
        <f t="shared" si="2"/>
        <v>17038.838972092974</v>
      </c>
    </row>
    <row r="65" spans="2:14" ht="18" customHeight="1" x14ac:dyDescent="0.2">
      <c r="B65" s="1388" t="s">
        <v>1964</v>
      </c>
      <c r="C65" s="624">
        <f>Summary1!C66</f>
        <v>2720.328</v>
      </c>
      <c r="D65" s="627"/>
      <c r="E65" s="627"/>
      <c r="F65" s="627"/>
      <c r="G65" s="627"/>
      <c r="H65" s="627"/>
      <c r="I65" s="614"/>
      <c r="J65" s="614"/>
      <c r="K65" s="628">
        <f t="shared" si="2"/>
        <v>2720.328</v>
      </c>
    </row>
    <row r="66" spans="2:14" ht="18" customHeight="1" x14ac:dyDescent="0.2">
      <c r="B66" s="1389" t="s">
        <v>1965</v>
      </c>
      <c r="C66" s="629">
        <f>Summary1!C67</f>
        <v>323256.03024599818</v>
      </c>
      <c r="D66" s="631"/>
      <c r="E66" s="631"/>
      <c r="F66" s="631"/>
      <c r="G66" s="631"/>
      <c r="H66" s="631"/>
      <c r="I66" s="630"/>
      <c r="J66" s="630"/>
      <c r="K66" s="632">
        <f t="shared" si="2"/>
        <v>323256.03024599818</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527276.13376268721</v>
      </c>
      <c r="N71" s="1122"/>
    </row>
    <row r="72" spans="2:14" s="636" customFormat="1" ht="18" customHeight="1" x14ac:dyDescent="0.25">
      <c r="B72" s="640"/>
      <c r="C72" s="641"/>
      <c r="D72" s="641"/>
      <c r="E72" s="641"/>
      <c r="F72" s="641"/>
      <c r="G72" s="641"/>
      <c r="H72" s="641"/>
      <c r="I72" s="641"/>
      <c r="J72" s="2573" t="s">
        <v>1999</v>
      </c>
      <c r="K72" s="628">
        <f>K10</f>
        <v>438745.05754808889</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791428.9570587842</v>
      </c>
      <c r="D10" s="3055" t="s">
        <v>97</v>
      </c>
      <c r="E10" s="615"/>
      <c r="F10" s="615"/>
      <c r="G10" s="615"/>
      <c r="H10" s="4219">
        <f>IF(SUM(H11:H15)=0,"NO",SUM(H11:H15))</f>
        <v>42689.716069213391</v>
      </c>
      <c r="I10" s="4219">
        <f t="shared" ref="I10:K10" si="0">IF(SUM(I11:I16)=0,"NO",SUM(I11:I16))</f>
        <v>2.4658721679156788</v>
      </c>
      <c r="J10" s="4226">
        <f t="shared" si="0"/>
        <v>1.5876443226408976</v>
      </c>
      <c r="K10" s="3044" t="str">
        <f t="shared" si="0"/>
        <v>NO</v>
      </c>
    </row>
    <row r="11" spans="2:11" ht="18" customHeight="1" x14ac:dyDescent="0.2">
      <c r="B11" s="282" t="s">
        <v>243</v>
      </c>
      <c r="C11" s="1938">
        <f>IF(SUM(C18,C25,C32,C39,C46,C53,C68,C75,C82,C89,C96,C103,C120,C110:C113)=0,"NO",SUM(C18,C25,C32,C39,C46,C53,C68,C75,C82,C89,C96,C103,C120,C110:C113))</f>
        <v>249502.3972237081</v>
      </c>
      <c r="D11" s="3056" t="s">
        <v>97</v>
      </c>
      <c r="E11" s="1938">
        <f>IFERROR(H11*1000/$C11,"NA")</f>
        <v>69.04065633748894</v>
      </c>
      <c r="F11" s="1938">
        <f t="shared" ref="F11:G16" si="1">IFERROR(I11*1000000/$C11,"NA")</f>
        <v>4.0372506224687505</v>
      </c>
      <c r="G11" s="1938">
        <f t="shared" si="1"/>
        <v>2.6867895765570795</v>
      </c>
      <c r="H11" s="1938">
        <f>IF(SUM(H18,H25,H32,H39,H46,H53,H68,H75,H82,H89,H96,H103,H120,H110:H113)=0,"NO",SUM(H18,H25,H32,H39,H46,H53,H68,H75,H82,H89,H96,H103,H120,H110:H113))</f>
        <v>17225.809262101688</v>
      </c>
      <c r="I11" s="1938">
        <f>IF(SUM(I18,I25,I32,I39,I46,I53,I68,I75,I82,I89,I96,I103,I120,I110:I113)=0,"NO",SUM(I18,I25,I32,I39,I46,I53,I68,I75,I82,I89,I96,I103,I120,I110:I113))</f>
        <v>1.007303708498861</v>
      </c>
      <c r="J11" s="1938">
        <f>IF(SUM(J18,J25,J32,J39,J46,J53,J68,J75,J82,J89,J96,J103,J120,J110:J113)=0,"NO",SUM(J18,J25,J32,J39,J46,J53,J68,J75,J82,J89,J96,J103,J120,J110:J113))</f>
        <v>0.67036044018666296</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116867.06775058547</v>
      </c>
      <c r="D12" s="3056" t="s">
        <v>97</v>
      </c>
      <c r="E12" s="1938">
        <f t="shared" ref="E12:E16" si="2">IFERROR(H12*1000/$C12,"NA")</f>
        <v>82.047840126781296</v>
      </c>
      <c r="F12" s="1938">
        <f t="shared" si="1"/>
        <v>0.94369156127944898</v>
      </c>
      <c r="G12" s="1938">
        <f t="shared" si="1"/>
        <v>0.69404268826860993</v>
      </c>
      <c r="H12" s="1938">
        <f>IF(SUM(H19,H26,H33,H40,H47,H54,H69,H76,H83,H90,H97,H104,H121)=0,"NO",SUM(H19,H26,H33,H40,H47,H54,H69,H76,H83,H90,H97,H104,H121))</f>
        <v>9588.6904908857559</v>
      </c>
      <c r="I12" s="1938">
        <f>IF(SUM(I19,I26,I33,I40,I47,I54,I69,I76,I83,I90,I97,I104,I121)=0,"NO",SUM(I19,I26,I33,I40,I47,I54,I69,I76,I83,I90,I97,I104,I121))</f>
        <v>0.11028646562770114</v>
      </c>
      <c r="J12" s="1938">
        <f>IF(SUM(J19,J26,J33,J40,J47,J54,J69,J76,J83,J90,J97,J104,J121)=0,"NO",SUM(J19,J26,J33,J40,J47,J54,J69,J76,J83,J90,J97,J104,J121))</f>
        <v>8.1110733871686116E-2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308778.52489888831</v>
      </c>
      <c r="D13" s="3056" t="s">
        <v>97</v>
      </c>
      <c r="E13" s="1938">
        <f t="shared" si="2"/>
        <v>51.412954710579044</v>
      </c>
      <c r="F13" s="1938">
        <f t="shared" si="1"/>
        <v>0.97403930873020317</v>
      </c>
      <c r="G13" s="1938">
        <f t="shared" si="1"/>
        <v>0.54424692535251062</v>
      </c>
      <c r="H13" s="1938">
        <f t="shared" ref="H13:K14" si="3">IF(SUM(H20,H27,H34,H41,H48,H55,H70,H77,H84,H91,H98,H105,H122,H115)=0,"NO",SUM(H20,H27,H34,H41,H48,H55,H70,H77,H84,H91,H98,H105,H122,H115))</f>
        <v>15875.216316225948</v>
      </c>
      <c r="I13" s="1938">
        <f t="shared" si="3"/>
        <v>0.30076242094324501</v>
      </c>
      <c r="J13" s="1938">
        <f t="shared" si="3"/>
        <v>0.16805176279110362</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116280.96718560232</v>
      </c>
      <c r="D16" s="3071" t="s">
        <v>97</v>
      </c>
      <c r="E16" s="1938">
        <f t="shared" si="2"/>
        <v>93.942112764445312</v>
      </c>
      <c r="F16" s="1938">
        <f t="shared" si="1"/>
        <v>9.0085213272595954</v>
      </c>
      <c r="G16" s="1938">
        <f t="shared" si="1"/>
        <v>5.7457501598264171</v>
      </c>
      <c r="H16" s="1938">
        <f>IF(SUM(H23,H30,H37,H44,H51,H58,H73,H80,H87,H94,H101,H108,H125,H117)=0,"NO",SUM(H23,H30,H37,H44,H51,H58,H73,H80,H87,H94,H101,H108,H125,H117))</f>
        <v>10923.679731708618</v>
      </c>
      <c r="I16" s="1938">
        <f>IF(SUM(I23,I30,I37,I44,I51,I58,I73,I80,I87,I94,I101,I108,I125,I117)=0,"NO",SUM(I23,I30,I37,I44,I51,I58,I73,I80,I87,I94,I101,I108,I125,I117))</f>
        <v>1.0475195728458717</v>
      </c>
      <c r="J16" s="1938">
        <f>IF(SUM(J23,J30,J37,J44,J51,J58,J73,J80,J87,J94,J101,J108,J125,J117)=0,"NO",SUM(J23,J30,J37,J44,J51,J58,J73,J80,J87,J94,J101,J108,J125,J117))</f>
        <v>0.66812138579144487</v>
      </c>
      <c r="K16" s="3044" t="str">
        <f>IF(SUM(K23,K30,K37,K44,K51,K58,K73,K80,K87,K94,K101,K108,K125,K117)=0,"NO",SUM(K23,K30,K37,K44,K51,K58,K73,K80,K87,K94,K101,K108,K125,K117))</f>
        <v>NO</v>
      </c>
    </row>
    <row r="17" spans="2:11" ht="18" customHeight="1" x14ac:dyDescent="0.2">
      <c r="B17" s="1240" t="s">
        <v>264</v>
      </c>
      <c r="C17" s="1938">
        <f>IF(SUM(C18:C23)=0,"NO",SUM(C18:C23))</f>
        <v>35233.253512850868</v>
      </c>
      <c r="D17" s="3055" t="s">
        <v>97</v>
      </c>
      <c r="E17" s="615"/>
      <c r="F17" s="615"/>
      <c r="G17" s="615"/>
      <c r="H17" s="1938">
        <f>IF(SUM(H18:H22)=0,"NO",SUM(H18:H22))</f>
        <v>1665.5569580738409</v>
      </c>
      <c r="I17" s="1938">
        <f t="shared" ref="I17:K17" si="4">IF(SUM(I18:I23)=0,"NO",SUM(I18:I23))</f>
        <v>3.5488953289949103E-2</v>
      </c>
      <c r="J17" s="1938">
        <f t="shared" si="4"/>
        <v>2.0488480832374756E-2</v>
      </c>
      <c r="K17" s="3044" t="str">
        <f t="shared" si="4"/>
        <v>NO</v>
      </c>
    </row>
    <row r="18" spans="2:11" ht="18" customHeight="1" x14ac:dyDescent="0.2">
      <c r="B18" s="282" t="s">
        <v>243</v>
      </c>
      <c r="C18" s="699">
        <v>2026.2006435999992</v>
      </c>
      <c r="D18" s="3056" t="s">
        <v>97</v>
      </c>
      <c r="E18" s="1938">
        <f>IFERROR(H18*1000/$C18,"NA")</f>
        <v>84.640203792125604</v>
      </c>
      <c r="F18" s="1938">
        <f t="shared" ref="F18:G23" si="5">IFERROR(I18*1000000/$C18,"NA")</f>
        <v>1.8668621894487261</v>
      </c>
      <c r="G18" s="1938">
        <f t="shared" si="5"/>
        <v>0.87411188535127171</v>
      </c>
      <c r="H18" s="699">
        <v>171.49803539804</v>
      </c>
      <c r="I18" s="699">
        <v>3.7826373697735127E-3</v>
      </c>
      <c r="J18" s="699">
        <v>1.7711260646771554E-3</v>
      </c>
      <c r="K18" s="3072" t="s">
        <v>199</v>
      </c>
    </row>
    <row r="19" spans="2:11" ht="18" customHeight="1" x14ac:dyDescent="0.2">
      <c r="B19" s="282" t="s">
        <v>245</v>
      </c>
      <c r="C19" s="699">
        <v>18426.288869250868</v>
      </c>
      <c r="D19" s="3056" t="s">
        <v>97</v>
      </c>
      <c r="E19" s="1938">
        <f t="shared" ref="E19:E23" si="6">IFERROR(H19*1000/$C19,"NA")</f>
        <v>39.842612699998348</v>
      </c>
      <c r="F19" s="1938">
        <f t="shared" si="5"/>
        <v>0.95494677383482474</v>
      </c>
      <c r="G19" s="1938">
        <f t="shared" si="5"/>
        <v>0.5688319526779817</v>
      </c>
      <c r="H19" s="699">
        <v>734.15149091585283</v>
      </c>
      <c r="I19" s="699">
        <v>1.7596125109439656E-2</v>
      </c>
      <c r="J19" s="699">
        <v>1.0481461878104529E-2</v>
      </c>
      <c r="K19" s="3072" t="s">
        <v>199</v>
      </c>
    </row>
    <row r="20" spans="2:11" ht="18" customHeight="1" x14ac:dyDescent="0.2">
      <c r="B20" s="282" t="s">
        <v>246</v>
      </c>
      <c r="C20" s="699">
        <v>14780.764000000001</v>
      </c>
      <c r="D20" s="3056" t="s">
        <v>97</v>
      </c>
      <c r="E20" s="1938">
        <f t="shared" si="6"/>
        <v>51.411918339265007</v>
      </c>
      <c r="F20" s="1938">
        <f t="shared" si="5"/>
        <v>0.95463203463203472</v>
      </c>
      <c r="G20" s="1938">
        <f t="shared" si="5"/>
        <v>0.55720346320346315</v>
      </c>
      <c r="H20" s="699">
        <v>759.90743175994805</v>
      </c>
      <c r="I20" s="699">
        <v>1.4110190810735933E-2</v>
      </c>
      <c r="J20" s="699">
        <v>8.2358928895930727E-3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199302.91505673458</v>
      </c>
      <c r="D24" s="3056" t="s">
        <v>97</v>
      </c>
      <c r="E24" s="615"/>
      <c r="F24" s="615"/>
      <c r="G24" s="615"/>
      <c r="H24" s="1938">
        <f>IF(SUM(H25:H29)=0,"NO",SUM(H25:H29))</f>
        <v>12615.203409563797</v>
      </c>
      <c r="I24" s="1938">
        <f t="shared" ref="I24:K24" si="7">IF(SUM(I25:I30)=0,"NO",SUM(I25:I30))</f>
        <v>0.19936134686832874</v>
      </c>
      <c r="J24" s="1938">
        <f t="shared" si="7"/>
        <v>0.12967140860944515</v>
      </c>
      <c r="K24" s="3044" t="str">
        <f t="shared" si="7"/>
        <v>NO</v>
      </c>
    </row>
    <row r="25" spans="2:11" ht="18" customHeight="1" x14ac:dyDescent="0.2">
      <c r="B25" s="282" t="s">
        <v>243</v>
      </c>
      <c r="C25" s="699">
        <v>5378.1726044000006</v>
      </c>
      <c r="D25" s="3056" t="s">
        <v>97</v>
      </c>
      <c r="E25" s="1938">
        <f>IFERROR(H25*1000/$C25,"NA")</f>
        <v>69.925806082825233</v>
      </c>
      <c r="F25" s="1938">
        <f t="shared" ref="F25:G30" si="8">IFERROR(I25*1000000/$C25,"NA")</f>
        <v>1.4965991444809941</v>
      </c>
      <c r="G25" s="1938">
        <f t="shared" si="8"/>
        <v>1.3568008140905818</v>
      </c>
      <c r="H25" s="699">
        <v>376.0730546152376</v>
      </c>
      <c r="I25" s="699">
        <v>8.0489685186161605E-3</v>
      </c>
      <c r="J25" s="699">
        <v>7.2971089679695856E-3</v>
      </c>
      <c r="K25" s="3072" t="s">
        <v>199</v>
      </c>
    </row>
    <row r="26" spans="2:11" ht="18" customHeight="1" x14ac:dyDescent="0.2">
      <c r="B26" s="282" t="s">
        <v>245</v>
      </c>
      <c r="C26" s="699">
        <v>58629.0089843346</v>
      </c>
      <c r="D26" s="3056" t="s">
        <v>97</v>
      </c>
      <c r="E26" s="1938">
        <f t="shared" ref="E26:E30" si="9">IFERROR(H26*1000/$C26,"NA")</f>
        <v>90.75104837359028</v>
      </c>
      <c r="F26" s="1938">
        <f t="shared" si="8"/>
        <v>0.95238095238095233</v>
      </c>
      <c r="G26" s="1938">
        <f t="shared" si="8"/>
        <v>0.70609523809523822</v>
      </c>
      <c r="H26" s="699">
        <v>5320.6440304330081</v>
      </c>
      <c r="I26" s="699">
        <v>5.5837151413651996E-2</v>
      </c>
      <c r="J26" s="699">
        <v>4.1397664058081603E-2</v>
      </c>
      <c r="K26" s="3072" t="s">
        <v>199</v>
      </c>
    </row>
    <row r="27" spans="2:11" ht="18" customHeight="1" x14ac:dyDescent="0.2">
      <c r="B27" s="282" t="s">
        <v>246</v>
      </c>
      <c r="C27" s="699">
        <v>134569.69799999997</v>
      </c>
      <c r="D27" s="3056" t="s">
        <v>97</v>
      </c>
      <c r="E27" s="1938">
        <f t="shared" si="9"/>
        <v>51.411918339265007</v>
      </c>
      <c r="F27" s="1938">
        <f t="shared" si="8"/>
        <v>0.95727272727272739</v>
      </c>
      <c r="G27" s="1938">
        <f t="shared" si="8"/>
        <v>0.57027272727272738</v>
      </c>
      <c r="H27" s="699">
        <v>6918.486324515552</v>
      </c>
      <c r="I27" s="699">
        <v>0.12881990181272726</v>
      </c>
      <c r="J27" s="699">
        <v>7.6741428686727273E-2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726.03546800000004</v>
      </c>
      <c r="D30" s="3056" t="s">
        <v>97</v>
      </c>
      <c r="E30" s="1938">
        <f t="shared" si="9"/>
        <v>94.000000000000014</v>
      </c>
      <c r="F30" s="1938">
        <f t="shared" si="8"/>
        <v>9.1666666666666679</v>
      </c>
      <c r="G30" s="1938">
        <f t="shared" si="8"/>
        <v>5.833333333333333</v>
      </c>
      <c r="H30" s="699">
        <v>68.247333992000009</v>
      </c>
      <c r="I30" s="699">
        <v>6.6553251233333341E-3</v>
      </c>
      <c r="J30" s="699">
        <v>4.2352068966666663E-3</v>
      </c>
      <c r="K30" s="3072" t="s">
        <v>199</v>
      </c>
    </row>
    <row r="31" spans="2:11" ht="18" customHeight="1" x14ac:dyDescent="0.2">
      <c r="B31" s="1240" t="s">
        <v>266</v>
      </c>
      <c r="C31" s="1938">
        <f>IF(SUM(C32:C37)=0,"NO",SUM(C32:C37))</f>
        <v>121875.69424682821</v>
      </c>
      <c r="D31" s="3056" t="s">
        <v>97</v>
      </c>
      <c r="E31" s="615"/>
      <c r="F31" s="615"/>
      <c r="G31" s="615"/>
      <c r="H31" s="1938">
        <f>IF(SUM(H32:H36)=0,"NO",SUM(H32:H36))</f>
        <v>7442.1264133406712</v>
      </c>
      <c r="I31" s="1938">
        <f t="shared" ref="I31:K31" si="10">IF(SUM(I32:I37)=0,"NO",SUM(I32:I37))</f>
        <v>0.19927289145229587</v>
      </c>
      <c r="J31" s="1938">
        <f t="shared" si="10"/>
        <v>7.8127973360650235E-2</v>
      </c>
      <c r="K31" s="3044" t="str">
        <f t="shared" si="10"/>
        <v>NO</v>
      </c>
    </row>
    <row r="32" spans="2:11" ht="18" customHeight="1" x14ac:dyDescent="0.2">
      <c r="B32" s="282" t="s">
        <v>243</v>
      </c>
      <c r="C32" s="699">
        <v>62545.037139128188</v>
      </c>
      <c r="D32" s="3056" t="s">
        <v>97</v>
      </c>
      <c r="E32" s="1938">
        <f>IFERROR(H32*1000/$C32,"NA")</f>
        <v>67.166401992788039</v>
      </c>
      <c r="F32" s="1938">
        <f t="shared" ref="F32:G37" si="11">IFERROR(I32*1000000/$C32,"NA")</f>
        <v>2.225930643185801</v>
      </c>
      <c r="G32" s="1938">
        <f t="shared" si="11"/>
        <v>0.71716847202952771</v>
      </c>
      <c r="H32" s="699">
        <v>4200.9251071405415</v>
      </c>
      <c r="I32" s="699">
        <v>0.13922091474717943</v>
      </c>
      <c r="J32" s="699">
        <v>4.4855328718098622E-2</v>
      </c>
      <c r="K32" s="3072" t="s">
        <v>199</v>
      </c>
    </row>
    <row r="33" spans="2:11" ht="18" customHeight="1" x14ac:dyDescent="0.2">
      <c r="B33" s="282" t="s">
        <v>245</v>
      </c>
      <c r="C33" s="699">
        <v>7142.3914750000004</v>
      </c>
      <c r="D33" s="3056" t="s">
        <v>97</v>
      </c>
      <c r="E33" s="1938">
        <f t="shared" ref="E33:E37" si="12">IFERROR(H33*1000/$C33,"NA")</f>
        <v>82.589296854420297</v>
      </c>
      <c r="F33" s="1938">
        <f t="shared" si="11"/>
        <v>0.87527909955330996</v>
      </c>
      <c r="G33" s="1938">
        <f t="shared" si="11"/>
        <v>0.63270001468614068</v>
      </c>
      <c r="H33" s="699">
        <v>589.88508977925596</v>
      </c>
      <c r="I33" s="699">
        <v>6.2515859788952379E-3</v>
      </c>
      <c r="J33" s="699">
        <v>4.5189911911266666E-3</v>
      </c>
      <c r="K33" s="3072" t="s">
        <v>199</v>
      </c>
    </row>
    <row r="34" spans="2:11" ht="18" customHeight="1" x14ac:dyDescent="0.2">
      <c r="B34" s="282" t="s">
        <v>246</v>
      </c>
      <c r="C34" s="699">
        <v>51563.845366000001</v>
      </c>
      <c r="D34" s="3056" t="s">
        <v>97</v>
      </c>
      <c r="E34" s="1938">
        <f t="shared" si="12"/>
        <v>51.418124416475159</v>
      </c>
      <c r="F34" s="1938">
        <f t="shared" si="11"/>
        <v>0.95539015050159337</v>
      </c>
      <c r="G34" s="1938">
        <f t="shared" si="11"/>
        <v>0.49702766053581748</v>
      </c>
      <c r="H34" s="699">
        <v>2651.3162164208738</v>
      </c>
      <c r="I34" s="699">
        <v>4.9263589984663632E-2</v>
      </c>
      <c r="J34" s="699">
        <v>2.5628657430493633E-2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624.42026670000007</v>
      </c>
      <c r="D37" s="3056" t="s">
        <v>97</v>
      </c>
      <c r="E37" s="1938">
        <f t="shared" si="12"/>
        <v>88.367861452097543</v>
      </c>
      <c r="F37" s="1938">
        <f t="shared" si="11"/>
        <v>7.2656205820066075</v>
      </c>
      <c r="G37" s="1938">
        <f t="shared" si="11"/>
        <v>5.0046357999342561</v>
      </c>
      <c r="H37" s="699">
        <v>55.178683615627406</v>
      </c>
      <c r="I37" s="699">
        <v>4.5368007415575754E-3</v>
      </c>
      <c r="J37" s="699">
        <v>3.1249960209313163E-3</v>
      </c>
      <c r="K37" s="3072" t="s">
        <v>199</v>
      </c>
    </row>
    <row r="38" spans="2:11" ht="18" customHeight="1" x14ac:dyDescent="0.2">
      <c r="B38" s="1240" t="s">
        <v>267</v>
      </c>
      <c r="C38" s="1938">
        <f>IF(SUM(C39:C44)=0,"NO",SUM(C39:C44))</f>
        <v>50581.914181925698</v>
      </c>
      <c r="D38" s="3056" t="s">
        <v>97</v>
      </c>
      <c r="E38" s="615"/>
      <c r="F38" s="615"/>
      <c r="G38" s="615"/>
      <c r="H38" s="1938">
        <f>IF(SUM(H39:H43)=0,"NO",SUM(H39:H43))</f>
        <v>988.63751283761576</v>
      </c>
      <c r="I38" s="1938">
        <f t="shared" ref="I38:K38" si="13">IF(SUM(I39:I44)=0,"NO",SUM(I39:I44))</f>
        <v>0.32580991081091087</v>
      </c>
      <c r="J38" s="1938">
        <f t="shared" si="13"/>
        <v>0.2119694200945485</v>
      </c>
      <c r="K38" s="3044" t="str">
        <f t="shared" si="13"/>
        <v>NO</v>
      </c>
    </row>
    <row r="39" spans="2:11" ht="18" customHeight="1" x14ac:dyDescent="0.2">
      <c r="B39" s="282" t="s">
        <v>243</v>
      </c>
      <c r="C39" s="699">
        <v>600.17985370000008</v>
      </c>
      <c r="D39" s="3056" t="s">
        <v>97</v>
      </c>
      <c r="E39" s="1938">
        <f>IFERROR(H39*1000/$C39,"NA")</f>
        <v>67.058405739103023</v>
      </c>
      <c r="F39" s="1938">
        <f t="shared" ref="F39:G44" si="14">IFERROR(I39*1000000/$C39,"NA")</f>
        <v>1.2446450960651225</v>
      </c>
      <c r="G39" s="1938">
        <f t="shared" si="14"/>
        <v>1.0922865400833059</v>
      </c>
      <c r="H39" s="699">
        <v>40.247104145850102</v>
      </c>
      <c r="I39" s="699">
        <v>7.4701091166478782E-4</v>
      </c>
      <c r="J39" s="699">
        <v>6.5556837582567791E-4</v>
      </c>
      <c r="K39" s="3072" t="s">
        <v>199</v>
      </c>
    </row>
    <row r="40" spans="2:11" ht="18" customHeight="1" x14ac:dyDescent="0.2">
      <c r="B40" s="282" t="s">
        <v>245</v>
      </c>
      <c r="C40" s="699">
        <v>4066.3372799999997</v>
      </c>
      <c r="D40" s="3056" t="s">
        <v>97</v>
      </c>
      <c r="E40" s="1938">
        <f t="shared" ref="E40:E44" si="15">IFERROR(H40*1000/$C40,"NA")</f>
        <v>88.598231702019575</v>
      </c>
      <c r="F40" s="1938">
        <f t="shared" si="14"/>
        <v>0.90277329029486852</v>
      </c>
      <c r="G40" s="1938">
        <f t="shared" si="14"/>
        <v>0.63359489194261076</v>
      </c>
      <c r="H40" s="699">
        <v>360.27029251200003</v>
      </c>
      <c r="I40" s="699">
        <v>3.6709806857142856E-3</v>
      </c>
      <c r="J40" s="699">
        <v>2.5764105295238097E-3</v>
      </c>
      <c r="K40" s="3072" t="s">
        <v>199</v>
      </c>
    </row>
    <row r="41" spans="2:11" ht="18" customHeight="1" x14ac:dyDescent="0.2">
      <c r="B41" s="282" t="s">
        <v>246</v>
      </c>
      <c r="C41" s="699">
        <v>11439.373109923399</v>
      </c>
      <c r="D41" s="3056" t="s">
        <v>97</v>
      </c>
      <c r="E41" s="1938">
        <f t="shared" si="15"/>
        <v>51.411918339265</v>
      </c>
      <c r="F41" s="1938">
        <f t="shared" si="14"/>
        <v>0.91363636363636347</v>
      </c>
      <c r="G41" s="1938">
        <f t="shared" si="14"/>
        <v>0.86863636363636354</v>
      </c>
      <c r="H41" s="699">
        <v>588.12011617976566</v>
      </c>
      <c r="I41" s="699">
        <v>1.0451427250430013E-2</v>
      </c>
      <c r="J41" s="699">
        <v>9.9366554604834595E-3</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34476.0239383023</v>
      </c>
      <c r="D44" s="3055" t="s">
        <v>97</v>
      </c>
      <c r="E44" s="1938">
        <f t="shared" si="15"/>
        <v>93.539556083652428</v>
      </c>
      <c r="F44" s="1938">
        <f t="shared" si="14"/>
        <v>9.019035736822655</v>
      </c>
      <c r="G44" s="1938">
        <f t="shared" si="14"/>
        <v>5.7663489874727434</v>
      </c>
      <c r="H44" s="699">
        <v>3224.8719747181717</v>
      </c>
      <c r="I44" s="699">
        <v>0.31094049196310181</v>
      </c>
      <c r="J44" s="699">
        <v>0.19880078572871554</v>
      </c>
      <c r="K44" s="3072" t="s">
        <v>199</v>
      </c>
    </row>
    <row r="45" spans="2:11" ht="18" customHeight="1" x14ac:dyDescent="0.2">
      <c r="B45" s="1240" t="s">
        <v>268</v>
      </c>
      <c r="C45" s="1938">
        <f>IF(SUM(C46:C51)=0,"NO",SUM(C46:C51))</f>
        <v>120231.98097582001</v>
      </c>
      <c r="D45" s="3055" t="s">
        <v>97</v>
      </c>
      <c r="E45" s="615"/>
      <c r="F45" s="615"/>
      <c r="G45" s="615"/>
      <c r="H45" s="1938">
        <f>IF(SUM(H46:H50)=0,"NO",SUM(H46:H50))</f>
        <v>2468.7624407679687</v>
      </c>
      <c r="I45" s="1938">
        <f t="shared" ref="I45:K45" si="16">IF(SUM(I46:I51)=0,"NO",SUM(I46:I51))</f>
        <v>0.76549770750515456</v>
      </c>
      <c r="J45" s="1938">
        <f t="shared" si="16"/>
        <v>0.49008298034067754</v>
      </c>
      <c r="K45" s="3044" t="str">
        <f t="shared" si="16"/>
        <v>NO</v>
      </c>
    </row>
    <row r="46" spans="2:11" ht="18" customHeight="1" x14ac:dyDescent="0.2">
      <c r="B46" s="282" t="s">
        <v>243</v>
      </c>
      <c r="C46" s="699">
        <v>3417.8019638200017</v>
      </c>
      <c r="D46" s="3055" t="s">
        <v>97</v>
      </c>
      <c r="E46" s="1938">
        <f>IFERROR(H46*1000/$C46,"NA")</f>
        <v>66.791755252949855</v>
      </c>
      <c r="F46" s="1938">
        <f t="shared" ref="F46:G51" si="17">IFERROR(I46*1000000/$C46,"NA")</f>
        <v>7.6320653472228468</v>
      </c>
      <c r="G46" s="1938">
        <f t="shared" si="17"/>
        <v>2.7716732801802255</v>
      </c>
      <c r="H46" s="699">
        <v>228.28099227051692</v>
      </c>
      <c r="I46" s="699">
        <v>2.6084887931740828E-2</v>
      </c>
      <c r="J46" s="699">
        <v>9.4730303800674015E-3</v>
      </c>
      <c r="K46" s="3072" t="s">
        <v>199</v>
      </c>
    </row>
    <row r="47" spans="2:11" ht="18" customHeight="1" x14ac:dyDescent="0.2">
      <c r="B47" s="282" t="s">
        <v>245</v>
      </c>
      <c r="C47" s="699">
        <v>6051.076</v>
      </c>
      <c r="D47" s="3055" t="s">
        <v>97</v>
      </c>
      <c r="E47" s="1938">
        <f t="shared" ref="E47:E51" si="18">IFERROR(H47*1000/$C47,"NA")</f>
        <v>90.029438572235605</v>
      </c>
      <c r="F47" s="1938">
        <f t="shared" si="17"/>
        <v>0.9523399868213912</v>
      </c>
      <c r="G47" s="1938">
        <f t="shared" si="17"/>
        <v>0.67521920556340886</v>
      </c>
      <c r="H47" s="699">
        <v>544.77497503792915</v>
      </c>
      <c r="I47" s="699">
        <v>5.7626816380952368E-3</v>
      </c>
      <c r="J47" s="699">
        <v>4.0858027295238098E-3</v>
      </c>
      <c r="K47" s="3072" t="s">
        <v>199</v>
      </c>
    </row>
    <row r="48" spans="2:11" ht="18" customHeight="1" x14ac:dyDescent="0.2">
      <c r="B48" s="282" t="s">
        <v>246</v>
      </c>
      <c r="C48" s="699">
        <v>32982.750463999997</v>
      </c>
      <c r="D48" s="3055" t="s">
        <v>97</v>
      </c>
      <c r="E48" s="1938">
        <f t="shared" si="18"/>
        <v>51.411918339265</v>
      </c>
      <c r="F48" s="1938">
        <f t="shared" si="17"/>
        <v>0.91409090909090929</v>
      </c>
      <c r="G48" s="1938">
        <f t="shared" si="17"/>
        <v>0.86459090909090919</v>
      </c>
      <c r="H48" s="699">
        <v>1695.7064734595226</v>
      </c>
      <c r="I48" s="699">
        <v>3.0149232355956367E-2</v>
      </c>
      <c r="J48" s="699">
        <v>2.8516586207988363E-2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77780.35254800001</v>
      </c>
      <c r="D51" s="3055" t="s">
        <v>97</v>
      </c>
      <c r="E51" s="1938">
        <f t="shared" si="18"/>
        <v>94.312877761113228</v>
      </c>
      <c r="F51" s="1938">
        <f t="shared" si="17"/>
        <v>9.0447122253041439</v>
      </c>
      <c r="G51" s="1938">
        <f t="shared" si="17"/>
        <v>5.7599065361219903</v>
      </c>
      <c r="H51" s="699">
        <v>7335.6888820758168</v>
      </c>
      <c r="I51" s="699">
        <v>0.70350090557936207</v>
      </c>
      <c r="J51" s="699">
        <v>0.44800756102309797</v>
      </c>
      <c r="K51" s="3072" t="s">
        <v>199</v>
      </c>
    </row>
    <row r="52" spans="2:11" ht="18" customHeight="1" x14ac:dyDescent="0.2">
      <c r="B52" s="1240" t="s">
        <v>269</v>
      </c>
      <c r="C52" s="3073">
        <f>IF(SUM(C53:C58)=0,"NO",SUM(C53:C58))</f>
        <v>76240.146239959999</v>
      </c>
      <c r="D52" s="3055" t="s">
        <v>97</v>
      </c>
      <c r="E52" s="615"/>
      <c r="F52" s="615"/>
      <c r="G52" s="615"/>
      <c r="H52" s="1938">
        <f>IF(SUM(H53:H57)=0,"NO",SUM(H53:H57))</f>
        <v>4576.2950519621154</v>
      </c>
      <c r="I52" s="1938">
        <f t="shared" ref="I52:K52" si="19">IF(SUM(I53:I58)=0,"NO",SUM(I53:I58))</f>
        <v>0.26876699007355448</v>
      </c>
      <c r="J52" s="1938">
        <f t="shared" si="19"/>
        <v>4.6774834407400157E-2</v>
      </c>
      <c r="K52" s="3044" t="str">
        <f t="shared" si="19"/>
        <v>NO</v>
      </c>
    </row>
    <row r="53" spans="2:11" ht="18" customHeight="1" x14ac:dyDescent="0.2">
      <c r="B53" s="282" t="s">
        <v>243</v>
      </c>
      <c r="C53" s="2173">
        <v>7219.3194066399974</v>
      </c>
      <c r="D53" s="3055" t="s">
        <v>97</v>
      </c>
      <c r="E53" s="1938">
        <f>IFERROR(H53*1000/$C53,"NA")</f>
        <v>64.891789807692888</v>
      </c>
      <c r="F53" s="1938">
        <f t="shared" ref="F53:G58" si="20">IFERROR(I53*1000000/$C53,"NA")</f>
        <v>25.196181680782907</v>
      </c>
      <c r="G53" s="1938">
        <f t="shared" si="20"/>
        <v>1.7315323617417204</v>
      </c>
      <c r="H53" s="699">
        <v>468.4745574902808</v>
      </c>
      <c r="I53" s="699">
        <v>0.18189928338130321</v>
      </c>
      <c r="J53" s="699">
        <v>1.2500485182347192E-2</v>
      </c>
      <c r="K53" s="3072" t="s">
        <v>199</v>
      </c>
    </row>
    <row r="54" spans="2:11" ht="18" customHeight="1" x14ac:dyDescent="0.2">
      <c r="B54" s="282" t="s">
        <v>245</v>
      </c>
      <c r="C54" s="699">
        <v>18191.659429000007</v>
      </c>
      <c r="D54" s="3055" t="s">
        <v>97</v>
      </c>
      <c r="E54" s="1938">
        <f t="shared" ref="E54:E58" si="21">IFERROR(H54*1000/$C54,"NA")</f>
        <v>89.669764103496888</v>
      </c>
      <c r="F54" s="1938">
        <f t="shared" si="20"/>
        <v>0.9346454934564572</v>
      </c>
      <c r="G54" s="1938">
        <f t="shared" si="20"/>
        <v>0.81240434449093291</v>
      </c>
      <c r="H54" s="699">
        <v>1631.2418096495855</v>
      </c>
      <c r="I54" s="699">
        <v>1.7002752503809521E-2</v>
      </c>
      <c r="J54" s="699">
        <v>1.4778983153619049E-2</v>
      </c>
      <c r="K54" s="3072" t="s">
        <v>199</v>
      </c>
    </row>
    <row r="55" spans="2:11" ht="18" customHeight="1" x14ac:dyDescent="0.2">
      <c r="B55" s="282" t="s">
        <v>246</v>
      </c>
      <c r="C55" s="699">
        <v>48171.294999719998</v>
      </c>
      <c r="D55" s="3055" t="s">
        <v>97</v>
      </c>
      <c r="E55" s="1938">
        <f t="shared" si="21"/>
        <v>51.411918339264993</v>
      </c>
      <c r="F55" s="1938">
        <f t="shared" si="20"/>
        <v>0.99814430760994655</v>
      </c>
      <c r="G55" s="1938">
        <f t="shared" si="20"/>
        <v>0.11651566227147567</v>
      </c>
      <c r="H55" s="699">
        <v>2476.5786848222488</v>
      </c>
      <c r="I55" s="699">
        <v>4.8081903894169997E-2</v>
      </c>
      <c r="J55" s="699">
        <v>5.6127103393669997E-3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2657.8724045999998</v>
      </c>
      <c r="D58" s="3055" t="s">
        <v>97</v>
      </c>
      <c r="E58" s="3074">
        <f t="shared" si="21"/>
        <v>89.686242891135365</v>
      </c>
      <c r="F58" s="3074">
        <f t="shared" si="20"/>
        <v>8.195671942931364</v>
      </c>
      <c r="G58" s="3074">
        <f t="shared" si="20"/>
        <v>5.2232212908490627</v>
      </c>
      <c r="H58" s="2215">
        <v>238.37459005260158</v>
      </c>
      <c r="I58" s="699">
        <v>2.1783050294271737E-2</v>
      </c>
      <c r="J58" s="699">
        <v>1.3882655732066913E-2</v>
      </c>
      <c r="K58" s="3072" t="s">
        <v>199</v>
      </c>
    </row>
    <row r="59" spans="2:11" ht="18" customHeight="1" x14ac:dyDescent="0.2">
      <c r="B59" s="1240" t="s">
        <v>270</v>
      </c>
      <c r="C59" s="3073">
        <f>IF(SUM(C60:C65)=0,"NO",SUM(C60:C65))</f>
        <v>187963.05284466493</v>
      </c>
      <c r="D59" s="4224" t="s">
        <v>97</v>
      </c>
      <c r="E59" s="4225"/>
      <c r="F59" s="4225"/>
      <c r="G59" s="4225"/>
      <c r="H59" s="1938">
        <f>IF(SUM(H60:H64)=0,"NO",SUM(H60:H64))</f>
        <v>12933.134282667383</v>
      </c>
      <c r="I59" s="1938">
        <f t="shared" ref="I59:K59" si="22">IF(SUM(I60:I65)=0,"NO",SUM(I60:I65))</f>
        <v>0.67167436791548507</v>
      </c>
      <c r="J59" s="1938">
        <f t="shared" si="22"/>
        <v>0.6105292249958012</v>
      </c>
      <c r="K59" s="3044" t="str">
        <f t="shared" si="22"/>
        <v>NO</v>
      </c>
    </row>
    <row r="60" spans="2:11" ht="18" customHeight="1" x14ac:dyDescent="0.2">
      <c r="B60" s="282" t="s">
        <v>243</v>
      </c>
      <c r="C60" s="4223">
        <f>IF(SUM(C68,C75,C82,C89,C96,C103,C110,C111,C111,C112,C113,C120)=0,"NO",SUM(C68,C75,C82,C89,C96,C103,C110,C111,C111,C112,C113,C120))</f>
        <v>168315.68561241991</v>
      </c>
      <c r="D60" s="4224" t="s">
        <v>97</v>
      </c>
      <c r="E60" s="3074">
        <f t="shared" ref="E60:E65" si="23">IFERROR(H60*1000/$C60,"NA")</f>
        <v>69.751730911613336</v>
      </c>
      <c r="F60" s="3074">
        <f t="shared" ref="F60:F65" si="24">IFERROR(I60*1000000/$C60,"NA")</f>
        <v>3.8470568163779197</v>
      </c>
      <c r="G60" s="3074">
        <f t="shared" ref="G60:G65" si="25">IFERROR(J60*1000000/$C60,"NA")</f>
        <v>3.527940906618988</v>
      </c>
      <c r="H60" s="3074">
        <f>IF(SUM(H68,H75,H82,H89,H96,H103,H110,H111,H111,H112,H113,H120)=0,"NO",SUM(H68,H75,H82,H89,H96,H103,H110,H111,H111,H112,H113,H120))</f>
        <v>11740.310411041222</v>
      </c>
      <c r="I60" s="3074">
        <f>IF(SUM(I68,I75,I82,I89,I96,I103,I110,I111,I111,I112,I113,I120)=0,"NO",SUM(I68,I75,I82,I89,I96,I103,I110,I111,I111,I112,I113,I120))</f>
        <v>0.64752000563858303</v>
      </c>
      <c r="J60" s="3074">
        <f>IF(SUM(J68,J75,J82,J89,J96,J103,J110,J111,J111,J112,J113,J120)=0,"NO",SUM(J68,J75,J82,J89,J96,J103,J110,J111,J111,J112,J113,J120))</f>
        <v>0.59380779249767723</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4360.3057129999997</v>
      </c>
      <c r="D61" s="4224" t="s">
        <v>97</v>
      </c>
      <c r="E61" s="3074">
        <f t="shared" si="23"/>
        <v>93.507847704926377</v>
      </c>
      <c r="F61" s="3074">
        <f t="shared" si="24"/>
        <v>0.95525143699832082</v>
      </c>
      <c r="G61" s="3074">
        <f t="shared" si="25"/>
        <v>0.75027315675437989</v>
      </c>
      <c r="H61" s="3074">
        <f>IF(SUM(H69,H76,H83,H90,H97,H104,H121)=0,"NO",SUM(H69,H76,H83,H90,H97,H104,H121))</f>
        <v>407.72280255812444</v>
      </c>
      <c r="I61" s="3074">
        <f>IF(SUM(I69,I76,I83,I90,I97,I104,I121)=0,"NO",SUM(I69,I76,I83,I90,I97,I104,I121))</f>
        <v>4.165188298095238E-3</v>
      </c>
      <c r="J61" s="3074">
        <f>IF(SUM(J69,J76,J83,J90,J97,J104,J121)=0,"NO",SUM(J69,J76,J83,J90,J97,J104,J121))</f>
        <v>3.2714203317066666E-3</v>
      </c>
      <c r="K61" s="3044" t="str">
        <f>IF(SUM(K69,K76,K83,K90,K97,K104,K121)=0,"NO",SUM(K69,K76,K83,K90,K97,K104,K121))</f>
        <v>NO</v>
      </c>
    </row>
    <row r="62" spans="2:11" ht="18" customHeight="1" x14ac:dyDescent="0.2">
      <c r="B62" s="282" t="s">
        <v>246</v>
      </c>
      <c r="C62" s="4223">
        <f>IF(SUM(C70,C77,C84,C91,C98,C105,C115,C122)=0,"NO",SUM(C70,C77,C84,C91,C98,C105,C115,C122))</f>
        <v>15270.798959244998</v>
      </c>
      <c r="D62" s="4224" t="s">
        <v>97</v>
      </c>
      <c r="E62" s="3074">
        <f t="shared" si="23"/>
        <v>51.411918339265007</v>
      </c>
      <c r="F62" s="3074">
        <f t="shared" si="24"/>
        <v>1.3022353897549384</v>
      </c>
      <c r="G62" s="3074">
        <f t="shared" si="25"/>
        <v>0.87617103808118502</v>
      </c>
      <c r="H62" s="3074">
        <f t="shared" ref="H62:K63" si="26">IF(SUM(H70,H77,H84,H91,H98,H105,H115,H122)=0,"NO",SUM(H70,H77,H84,H91,H98,H105,H115,H122))</f>
        <v>785.10106906803685</v>
      </c>
      <c r="I62" s="3074">
        <f t="shared" si="26"/>
        <v>1.9886174834561718E-2</v>
      </c>
      <c r="J62" s="3074">
        <f t="shared" si="26"/>
        <v>1.337983177645077E-2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16.262560000000001</v>
      </c>
      <c r="D65" s="4224" t="s">
        <v>97</v>
      </c>
      <c r="E65" s="3074">
        <f t="shared" si="23"/>
        <v>81.061484440405096</v>
      </c>
      <c r="F65" s="3074">
        <f t="shared" si="24"/>
        <v>6.3335135578394208</v>
      </c>
      <c r="G65" s="3074">
        <f t="shared" si="25"/>
        <v>4.3154577118544521</v>
      </c>
      <c r="H65" s="1938">
        <f>IF(SUM(H73,H80,H87,H94,H101,H108,H117,H125)=0,"NO",SUM(H73,H80,H87,H94,H101,H108,H117,H125))</f>
        <v>1.3182672544011544</v>
      </c>
      <c r="I65" s="1938">
        <f>IF(SUM(I73,I80,I87,I94,I101,I108,I117,I125)=0,"NO",SUM(I73,I80,I87,I94,I101,I108,I117,I125))</f>
        <v>1.0299914424517705E-4</v>
      </c>
      <c r="J65" s="1938">
        <f>IF(SUM(J73,J80,J87,J94,J101,J108,J117,J125)=0,"NO",SUM(J73,J80,J87,J94,J101,J108,J117,J125))</f>
        <v>7.0180389966495736E-5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1272.1544827100001</v>
      </c>
      <c r="D67" s="3055" t="s">
        <v>97</v>
      </c>
      <c r="E67" s="615"/>
      <c r="F67" s="615"/>
      <c r="G67" s="615"/>
      <c r="H67" s="1938">
        <f>IF(SUM(H68:H72)=0,"NO",SUM(H68:H72))</f>
        <v>76.61589942880741</v>
      </c>
      <c r="I67" s="1938">
        <f t="shared" ref="I67:K67" si="27">IF(SUM(I68:I73)=0,"NO",SUM(I68:I73))</f>
        <v>1.312768068621754E-2</v>
      </c>
      <c r="J67" s="1938">
        <f t="shared" si="27"/>
        <v>2.7283585684583994E-3</v>
      </c>
      <c r="K67" s="3044" t="str">
        <f t="shared" si="27"/>
        <v>NO</v>
      </c>
    </row>
    <row r="68" spans="2:11" ht="18" customHeight="1" x14ac:dyDescent="0.2">
      <c r="B68" s="158" t="s">
        <v>243</v>
      </c>
      <c r="C68" s="699">
        <v>725.07184202000008</v>
      </c>
      <c r="D68" s="3055" t="s">
        <v>97</v>
      </c>
      <c r="E68" s="1938">
        <f>IFERROR(H68*1000/$C68,"NA")</f>
        <v>66.875209559559991</v>
      </c>
      <c r="F68" s="1938">
        <f t="shared" ref="F68:G73" si="28">IFERROR(I68*1000000/$C68,"NA")</f>
        <v>17.403646230724494</v>
      </c>
      <c r="G68" s="1938">
        <f t="shared" si="28"/>
        <v>3.1494539564735158</v>
      </c>
      <c r="H68" s="699">
        <v>48.489331380823678</v>
      </c>
      <c r="I68" s="699">
        <v>1.261889383037584E-2</v>
      </c>
      <c r="J68" s="699">
        <v>2.2835803815774293E-3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547.08264068999995</v>
      </c>
      <c r="D70" s="3055" t="s">
        <v>97</v>
      </c>
      <c r="E70" s="1938">
        <f t="shared" si="29"/>
        <v>51.411918339265007</v>
      </c>
      <c r="F70" s="1938">
        <f t="shared" si="28"/>
        <v>0.93000000000000027</v>
      </c>
      <c r="G70" s="1938">
        <f t="shared" si="28"/>
        <v>0.81300000000000006</v>
      </c>
      <c r="H70" s="699">
        <v>28.126568047983735</v>
      </c>
      <c r="I70" s="699">
        <v>5.0878685584170014E-4</v>
      </c>
      <c r="J70" s="699">
        <v>4.4477818688097001E-4</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147747.9309999549</v>
      </c>
      <c r="D81" s="3056" t="s">
        <v>97</v>
      </c>
      <c r="E81" s="615"/>
      <c r="F81" s="615"/>
      <c r="G81" s="615"/>
      <c r="H81" s="1938">
        <f>IF(SUM(H82:H86)=0,"NO",SUM(H82:H86))</f>
        <v>10305.61832935727</v>
      </c>
      <c r="I81" s="1938">
        <f t="shared" ref="I81:K81" si="33">IF(SUM(I82:I87)=0,"NO",SUM(I82:I87))</f>
        <v>0.50405502379788836</v>
      </c>
      <c r="J81" s="1938">
        <f t="shared" si="33"/>
        <v>0.49559407593910687</v>
      </c>
      <c r="K81" s="3044" t="str">
        <f t="shared" si="33"/>
        <v>NO</v>
      </c>
    </row>
    <row r="82" spans="2:11" ht="18" customHeight="1" x14ac:dyDescent="0.2">
      <c r="B82" s="158" t="s">
        <v>243</v>
      </c>
      <c r="C82" s="699">
        <v>138207.79018539991</v>
      </c>
      <c r="D82" s="3056" t="s">
        <v>97</v>
      </c>
      <c r="E82" s="1938">
        <f>IFERROR(H82*1000/$C82,"NA")</f>
        <v>69.808132061097012</v>
      </c>
      <c r="F82" s="1938">
        <f t="shared" ref="F82:G87" si="34">IFERROR(I82*1000000/$C82,"NA")</f>
        <v>3.5394671226773293</v>
      </c>
      <c r="G82" s="1938">
        <f t="shared" si="34"/>
        <v>3.528031008055986</v>
      </c>
      <c r="H82" s="699">
        <v>9648.0276691347844</v>
      </c>
      <c r="I82" s="699">
        <v>0.48918192945910943</v>
      </c>
      <c r="J82" s="699">
        <v>0.48760136932898662</v>
      </c>
      <c r="K82" s="3072" t="s">
        <v>199</v>
      </c>
    </row>
    <row r="83" spans="2:11" ht="18" customHeight="1" x14ac:dyDescent="0.2">
      <c r="B83" s="158" t="s">
        <v>245</v>
      </c>
      <c r="C83" s="699">
        <v>3944.7988599999999</v>
      </c>
      <c r="D83" s="3056" t="s">
        <v>97</v>
      </c>
      <c r="E83" s="1938">
        <f t="shared" ref="E83:E87" si="35">IFERROR(H83*1000/$C83,"NA")</f>
        <v>93.911144835436403</v>
      </c>
      <c r="F83" s="1938">
        <f t="shared" si="34"/>
        <v>0.95238095238095233</v>
      </c>
      <c r="G83" s="1938">
        <f t="shared" si="34"/>
        <v>0.75923809523809527</v>
      </c>
      <c r="H83" s="699">
        <v>370.46057708812441</v>
      </c>
      <c r="I83" s="699">
        <v>3.7569512952380949E-3</v>
      </c>
      <c r="J83" s="699">
        <v>2.9950415725638097E-3</v>
      </c>
      <c r="K83" s="3072" t="s">
        <v>199</v>
      </c>
    </row>
    <row r="84" spans="2:11" ht="18" customHeight="1" x14ac:dyDescent="0.2">
      <c r="B84" s="158" t="s">
        <v>246</v>
      </c>
      <c r="C84" s="699">
        <v>5584.8933945549988</v>
      </c>
      <c r="D84" s="3056" t="s">
        <v>97</v>
      </c>
      <c r="E84" s="1938">
        <f t="shared" si="35"/>
        <v>51.411918339265</v>
      </c>
      <c r="F84" s="1938">
        <f t="shared" si="34"/>
        <v>1.9754545454545462</v>
      </c>
      <c r="G84" s="1938">
        <f t="shared" si="34"/>
        <v>0.88481818181818184</v>
      </c>
      <c r="H84" s="699">
        <v>287.13008313436211</v>
      </c>
      <c r="I84" s="699">
        <v>1.1032703042152743E-2</v>
      </c>
      <c r="J84" s="699">
        <v>4.9416152190185272E-3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10.448559999999999</v>
      </c>
      <c r="D87" s="3055" t="s">
        <v>97</v>
      </c>
      <c r="E87" s="1938">
        <f t="shared" si="35"/>
        <v>88.461530179470259</v>
      </c>
      <c r="F87" s="1938">
        <f t="shared" si="34"/>
        <v>7.985789562201318</v>
      </c>
      <c r="G87" s="1938">
        <f t="shared" si="34"/>
        <v>5.3643582022713474</v>
      </c>
      <c r="H87" s="699">
        <v>0.92429560577200576</v>
      </c>
      <c r="I87" s="699">
        <v>8.3440001388034192E-5</v>
      </c>
      <c r="J87" s="699">
        <v>5.6049818537924302E-5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30831.311878999997</v>
      </c>
      <c r="D95" s="3056" t="s">
        <v>97</v>
      </c>
      <c r="E95" s="615"/>
      <c r="F95" s="615"/>
      <c r="G95" s="615"/>
      <c r="H95" s="1938">
        <f>IF(SUM(H96:H100)=0,"NO",SUM(H96:H100))</f>
        <v>2103.8682687475466</v>
      </c>
      <c r="I95" s="1938">
        <f t="shared" ref="I95:K95" si="41">IF(SUM(I96:I101)=0,"NO",SUM(I96:I101))</f>
        <v>0.11066399145813852</v>
      </c>
      <c r="J95" s="1938">
        <f t="shared" si="41"/>
        <v>0.10424523736985281</v>
      </c>
      <c r="K95" s="3044" t="str">
        <f t="shared" si="41"/>
        <v>NO</v>
      </c>
    </row>
    <row r="96" spans="2:11" ht="18" customHeight="1" x14ac:dyDescent="0.2">
      <c r="B96" s="158" t="s">
        <v>243</v>
      </c>
      <c r="C96" s="699">
        <v>28130.301398</v>
      </c>
      <c r="D96" s="3056" t="s">
        <v>97</v>
      </c>
      <c r="E96" s="1938">
        <f>IFERROR(H96*1000/$C96,"NA")</f>
        <v>69.864272677072293</v>
      </c>
      <c r="F96" s="1938">
        <f t="shared" ref="F96:G101" si="42">IFERROR(I96*1000000/$C96,"NA")</f>
        <v>3.8461818153104756</v>
      </c>
      <c r="G96" s="1938">
        <f t="shared" si="42"/>
        <v>3.6181954376987129</v>
      </c>
      <c r="H96" s="699">
        <v>1965.3030473581</v>
      </c>
      <c r="I96" s="699">
        <v>0.10819425369619046</v>
      </c>
      <c r="J96" s="699">
        <v>0.10178092817933332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2695.1964810000004</v>
      </c>
      <c r="D98" s="3056" t="s">
        <v>97</v>
      </c>
      <c r="E98" s="1938">
        <f t="shared" si="43"/>
        <v>51.411918339265</v>
      </c>
      <c r="F98" s="1938">
        <f t="shared" si="42"/>
        <v>0.90909090909090917</v>
      </c>
      <c r="G98" s="1938">
        <f t="shared" si="42"/>
        <v>0.90909090909090917</v>
      </c>
      <c r="H98" s="699">
        <v>138.56522138944641</v>
      </c>
      <c r="I98" s="699">
        <v>2.4501786190909095E-3</v>
      </c>
      <c r="J98" s="699">
        <v>2.4501786190909095E-3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5.8140000000000001</v>
      </c>
      <c r="D101" s="3055" t="s">
        <v>97</v>
      </c>
      <c r="E101" s="1938">
        <f t="shared" si="43"/>
        <v>67.762581463561844</v>
      </c>
      <c r="F101" s="1938">
        <f t="shared" si="42"/>
        <v>3.3641456582633049</v>
      </c>
      <c r="G101" s="1938">
        <f t="shared" si="42"/>
        <v>2.4304388422035479</v>
      </c>
      <c r="H101" s="699">
        <v>0.39397164862914857</v>
      </c>
      <c r="I101" s="699">
        <v>1.9559142857142857E-5</v>
      </c>
      <c r="J101" s="699">
        <v>1.4130571428571428E-5</v>
      </c>
      <c r="K101" s="3072" t="s">
        <v>199</v>
      </c>
    </row>
    <row r="102" spans="2:11" ht="18" customHeight="1" x14ac:dyDescent="0.2">
      <c r="B102" s="1241" t="s">
        <v>279</v>
      </c>
      <c r="C102" s="1938">
        <f>IF(SUM(C103:C108)=0,"NO",SUM(C103:C108))</f>
        <v>5329.9397049999989</v>
      </c>
      <c r="D102" s="3055" t="s">
        <v>97</v>
      </c>
      <c r="E102" s="615"/>
      <c r="F102" s="615"/>
      <c r="G102" s="615"/>
      <c r="H102" s="1938">
        <f>IF(SUM(H103:H107)=0,"NO",SUM(H103:H107))</f>
        <v>293.77131884772598</v>
      </c>
      <c r="I102" s="1938">
        <f t="shared" ref="I102:K102" si="47">IF(SUM(I103:I108)=0,"NO",SUM(I103:I108))</f>
        <v>5.0165824883490898E-3</v>
      </c>
      <c r="J102" s="1938">
        <f t="shared" si="47"/>
        <v>4.7637729915130387E-3</v>
      </c>
      <c r="K102" s="3044" t="str">
        <f t="shared" si="47"/>
        <v>NO</v>
      </c>
    </row>
    <row r="103" spans="2:11" ht="18" customHeight="1" x14ac:dyDescent="0.2">
      <c r="B103" s="158" t="s">
        <v>243</v>
      </c>
      <c r="C103" s="699">
        <v>286.91244899999998</v>
      </c>
      <c r="D103" s="3055" t="s">
        <v>97</v>
      </c>
      <c r="E103" s="1938">
        <f>IFERROR(H103*1000/$C103,"NA")</f>
        <v>65.244862519018824</v>
      </c>
      <c r="F103" s="1938">
        <f t="shared" ref="F103:G108" si="48">IFERROR(I103*1000000/$C103,"NA")</f>
        <v>1.326561197460234</v>
      </c>
      <c r="G103" s="1938">
        <f t="shared" si="48"/>
        <v>2.0155654564661067</v>
      </c>
      <c r="H103" s="699">
        <v>18.71956329</v>
      </c>
      <c r="I103" s="699">
        <v>3.8060692191168829E-4</v>
      </c>
      <c r="J103" s="699">
        <v>5.7829082123449346E-4</v>
      </c>
      <c r="K103" s="3072" t="s">
        <v>199</v>
      </c>
    </row>
    <row r="104" spans="2:11" ht="18" customHeight="1" x14ac:dyDescent="0.2">
      <c r="B104" s="158" t="s">
        <v>245</v>
      </c>
      <c r="C104" s="699">
        <v>408.93585300000001</v>
      </c>
      <c r="D104" s="3055" t="s">
        <v>97</v>
      </c>
      <c r="E104" s="1938">
        <f t="shared" ref="E104:E108" si="49">IFERROR(H104*1000/$C104,"NA")</f>
        <v>90.000000000000014</v>
      </c>
      <c r="F104" s="1938">
        <f t="shared" si="48"/>
        <v>0.95238095238095233</v>
      </c>
      <c r="G104" s="1938">
        <f t="shared" si="48"/>
        <v>0.66666666666666674</v>
      </c>
      <c r="H104" s="699">
        <v>36.804226770000007</v>
      </c>
      <c r="I104" s="699">
        <v>3.8946271714285712E-4</v>
      </c>
      <c r="J104" s="699">
        <v>2.7262390200000002E-4</v>
      </c>
      <c r="K104" s="3072" t="s">
        <v>199</v>
      </c>
    </row>
    <row r="105" spans="2:11" ht="18" customHeight="1" x14ac:dyDescent="0.2">
      <c r="B105" s="158" t="s">
        <v>246</v>
      </c>
      <c r="C105" s="699">
        <v>4634.0914029999985</v>
      </c>
      <c r="D105" s="3055" t="s">
        <v>97</v>
      </c>
      <c r="E105" s="1938">
        <f t="shared" si="49"/>
        <v>51.411918339265014</v>
      </c>
      <c r="F105" s="1938">
        <f t="shared" si="48"/>
        <v>0.91636363636363638</v>
      </c>
      <c r="G105" s="1938">
        <f t="shared" si="48"/>
        <v>0.84436363636363654</v>
      </c>
      <c r="H105" s="699">
        <v>238.24752878772594</v>
      </c>
      <c r="I105" s="699">
        <v>4.2465128492945444E-3</v>
      </c>
      <c r="J105" s="699">
        <v>3.9128582682785452E-3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2781.7157780000002</v>
      </c>
      <c r="D118" s="3055" t="s">
        <v>97</v>
      </c>
      <c r="E118" s="615"/>
      <c r="F118" s="615"/>
      <c r="G118" s="615"/>
      <c r="H118" s="1938">
        <f>H119</f>
        <v>153.26046628603177</v>
      </c>
      <c r="I118" s="1938">
        <f>I119</f>
        <v>3.8811089484891773E-2</v>
      </c>
      <c r="J118" s="1938">
        <f>J119</f>
        <v>3.1977801268701289E-3</v>
      </c>
      <c r="K118" s="3044" t="str">
        <f>K119</f>
        <v>NO</v>
      </c>
    </row>
    <row r="119" spans="2:11" ht="18" customHeight="1" x14ac:dyDescent="0.2">
      <c r="B119" s="3069" t="s">
        <v>286</v>
      </c>
      <c r="C119" s="3077">
        <f>IF(SUM(C120:C125)=0,"NO",SUM(C120:C125))</f>
        <v>2781.7157780000002</v>
      </c>
      <c r="D119" s="3055" t="s">
        <v>97</v>
      </c>
      <c r="E119" s="615"/>
      <c r="F119" s="615"/>
      <c r="G119" s="615"/>
      <c r="H119" s="3077">
        <f>IF(SUM(H120:H124)=0,"NO",SUM(H120:H124))</f>
        <v>153.26046628603177</v>
      </c>
      <c r="I119" s="3077">
        <f t="shared" ref="I119" si="56">IF(SUM(I120:I125)=0,"NO",SUM(I120:I125))</f>
        <v>3.8811089484891773E-2</v>
      </c>
      <c r="J119" s="3077">
        <f t="shared" ref="J119" si="57">IF(SUM(J120:J125)=0,"NO",SUM(J120:J125))</f>
        <v>3.1977801268701289E-3</v>
      </c>
      <c r="K119" s="3078" t="str">
        <f t="shared" ref="K119" si="58">IF(SUM(K120:K125)=0,"NO",SUM(K120:K125))</f>
        <v>NO</v>
      </c>
    </row>
    <row r="120" spans="2:11" ht="18" customHeight="1" x14ac:dyDescent="0.2">
      <c r="B120" s="158" t="s">
        <v>243</v>
      </c>
      <c r="C120" s="699">
        <v>965.60973799999999</v>
      </c>
      <c r="D120" s="3055" t="s">
        <v>97</v>
      </c>
      <c r="E120" s="1938">
        <f>IFERROR(H120*1000/$C120,"NA")</f>
        <v>61.899541321230046</v>
      </c>
      <c r="F120" s="1938">
        <f t="shared" ref="F120:G125" si="59">IFERROR(I120*1000000/$C120,"NA")</f>
        <v>38.467219487585233</v>
      </c>
      <c r="G120" s="1938">
        <f t="shared" si="59"/>
        <v>1.6193123629677537</v>
      </c>
      <c r="H120" s="699">
        <v>59.77079987751312</v>
      </c>
      <c r="I120" s="699">
        <v>3.7144321730995668E-2</v>
      </c>
      <c r="J120" s="699">
        <v>1.5636237865454536E-3</v>
      </c>
      <c r="K120" s="3072" t="s">
        <v>199</v>
      </c>
    </row>
    <row r="121" spans="2:11" ht="18" customHeight="1" x14ac:dyDescent="0.2">
      <c r="B121" s="158" t="s">
        <v>245</v>
      </c>
      <c r="C121" s="699">
        <v>6.5710000000000006</v>
      </c>
      <c r="D121" s="3055" t="s">
        <v>97</v>
      </c>
      <c r="E121" s="1938">
        <f t="shared" ref="E121:E125" si="60">IFERROR(H121*1000/$C121,"NA")</f>
        <v>69.7</v>
      </c>
      <c r="F121" s="1938">
        <f t="shared" si="59"/>
        <v>2.8571428571428568</v>
      </c>
      <c r="G121" s="1938">
        <f t="shared" si="59"/>
        <v>0.57142857142857129</v>
      </c>
      <c r="H121" s="699">
        <v>0.45799870000000004</v>
      </c>
      <c r="I121" s="699">
        <v>1.8774285714285713E-5</v>
      </c>
      <c r="J121" s="699">
        <v>3.7548571428571423E-6</v>
      </c>
      <c r="K121" s="3072" t="s">
        <v>199</v>
      </c>
    </row>
    <row r="122" spans="2:11" ht="18" customHeight="1" x14ac:dyDescent="0.2">
      <c r="B122" s="158" t="s">
        <v>246</v>
      </c>
      <c r="C122" s="699">
        <v>1809.5350400000002</v>
      </c>
      <c r="D122" s="3055" t="s">
        <v>97</v>
      </c>
      <c r="E122" s="1938">
        <f t="shared" si="60"/>
        <v>51.411918339265</v>
      </c>
      <c r="F122" s="1938">
        <f t="shared" si="59"/>
        <v>0.91072758015330735</v>
      </c>
      <c r="G122" s="1938">
        <f t="shared" si="59"/>
        <v>0.90100575404266181</v>
      </c>
      <c r="H122" s="699">
        <v>93.03166770851864</v>
      </c>
      <c r="I122" s="699">
        <v>1.6479934681818183E-3</v>
      </c>
      <c r="J122" s="699">
        <v>1.6304014831818184E-3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topLeftCell="B1"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4420.181575202525</v>
      </c>
      <c r="D10" s="695">
        <f t="shared" ref="D10:F10" si="0">SUM(D11:D16)</f>
        <v>19489.577463298301</v>
      </c>
      <c r="E10" s="695">
        <f t="shared" si="0"/>
        <v>1628.4354499599126</v>
      </c>
      <c r="F10" s="695">
        <f t="shared" si="0"/>
        <v>3442.8319687313196</v>
      </c>
      <c r="G10" s="696" t="s">
        <v>199</v>
      </c>
      <c r="H10" s="697" t="s">
        <v>2035</v>
      </c>
      <c r="I10" s="698" t="s">
        <v>2036</v>
      </c>
    </row>
    <row r="11" spans="2:9" ht="18" customHeight="1" x14ac:dyDescent="0.2">
      <c r="B11" s="1561" t="s">
        <v>1921</v>
      </c>
      <c r="C11" s="3696">
        <f>Table1!D10</f>
        <v>1260.8156287804902</v>
      </c>
      <c r="D11" s="3697">
        <f>Table1!G10</f>
        <v>2081.7391086284415</v>
      </c>
      <c r="E11" s="3697">
        <f>Table1!H10</f>
        <v>713.95083413119642</v>
      </c>
      <c r="F11" s="3697">
        <f>Table1!F10</f>
        <v>2755.6309541475657</v>
      </c>
      <c r="G11" s="3698" t="s">
        <v>199</v>
      </c>
      <c r="H11" s="3699" t="s">
        <v>221</v>
      </c>
      <c r="I11" s="3700" t="s">
        <v>221</v>
      </c>
    </row>
    <row r="12" spans="2:9" ht="18" customHeight="1" x14ac:dyDescent="0.2">
      <c r="B12" s="2419" t="s">
        <v>2037</v>
      </c>
      <c r="C12" s="3149">
        <f>'Table2(I)'!D10</f>
        <v>2.9333302277832134</v>
      </c>
      <c r="D12" s="699">
        <f>'Table2(I)'!L10</f>
        <v>16.841987951577483</v>
      </c>
      <c r="E12" s="699">
        <f>'Table2(I)'!M10</f>
        <v>250.1909219878026</v>
      </c>
      <c r="F12" s="699">
        <f>'Table2(I)'!K10</f>
        <v>7.0815582702461786</v>
      </c>
      <c r="G12" s="3125" t="s">
        <v>199</v>
      </c>
      <c r="H12" s="3701" t="s">
        <v>199</v>
      </c>
      <c r="I12" s="2921" t="s">
        <v>199</v>
      </c>
    </row>
    <row r="13" spans="2:9" ht="18" customHeight="1" x14ac:dyDescent="0.2">
      <c r="B13" s="2419" t="s">
        <v>2038</v>
      </c>
      <c r="C13" s="3149">
        <f>Table3!D10</f>
        <v>2192.06804562664</v>
      </c>
      <c r="D13" s="699">
        <f>Table3!G10</f>
        <v>471.32860008354407</v>
      </c>
      <c r="E13" s="699">
        <f>Table3!H10</f>
        <v>27.494168338206737</v>
      </c>
      <c r="F13" s="699">
        <f>Table3!F10</f>
        <v>29.615496776943218</v>
      </c>
      <c r="G13" s="3702"/>
      <c r="H13" s="3701" t="s">
        <v>221</v>
      </c>
      <c r="I13" s="2921" t="s">
        <v>274</v>
      </c>
    </row>
    <row r="14" spans="2:9" ht="18" customHeight="1" x14ac:dyDescent="0.2">
      <c r="B14" s="2419" t="s">
        <v>2039</v>
      </c>
      <c r="C14" s="3149">
        <f>Table4!D10</f>
        <v>497.86854157819948</v>
      </c>
      <c r="D14" s="699">
        <f>Table4!G10</f>
        <v>16919.667766634739</v>
      </c>
      <c r="E14" s="3125">
        <f>Table4!H10</f>
        <v>410.69185393059024</v>
      </c>
      <c r="F14" s="3125">
        <f>Table4!F10</f>
        <v>650.50395953656459</v>
      </c>
      <c r="G14" s="3702"/>
      <c r="H14" s="3703" t="s">
        <v>221</v>
      </c>
      <c r="I14" s="2921" t="s">
        <v>221</v>
      </c>
    </row>
    <row r="15" spans="2:9" ht="18" customHeight="1" x14ac:dyDescent="0.2">
      <c r="B15" s="2419" t="s">
        <v>2040</v>
      </c>
      <c r="C15" s="3149">
        <f>Table5!D10</f>
        <v>466.49602898941259</v>
      </c>
      <c r="D15" s="699" t="str">
        <f>Table5!G10</f>
        <v>NO</v>
      </c>
      <c r="E15" s="3125">
        <f>Table5!H10</f>
        <v>226.10767157211677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topLeftCell="A150"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2" t="s">
        <v>2171</v>
      </c>
      <c r="C250" s="4543"/>
      <c r="D250" s="4543"/>
      <c r="E250" s="4543"/>
      <c r="F250" s="4543"/>
      <c r="G250" s="4544"/>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zoomScale="85" zoomScaleNormal="85" workbookViewId="0">
      <pane xSplit="2" ySplit="10" topLeftCell="F11" activePane="bottomRight" state="frozen"/>
      <selection pane="topRight" activeCell="C1" sqref="C1"/>
      <selection pane="bottomLeft" activeCell="A11" sqref="A11"/>
      <selection pane="bottomRight" activeCell="O54" sqref="O54"/>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2021</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309393.85854948289</v>
      </c>
      <c r="D10" s="3840">
        <f>SUM(D11,D22,D30,D41,D50,D56)</f>
        <v>283374.20069172984</v>
      </c>
      <c r="E10" s="3842">
        <f>IF(D10="NO",IF(C10="NO","NA",-C10),IF(C10="NO",D10,D10-C10))</f>
        <v>-26019.657857753045</v>
      </c>
      <c r="F10" s="3840">
        <f>IF(E10="NA","NA",E10/C10*100)</f>
        <v>-8.4098818185143749</v>
      </c>
      <c r="G10" s="3843">
        <f>IF(E10="NA","NA",E10/Table8s2!$G$35*100)</f>
        <v>-4.9347308159150991</v>
      </c>
      <c r="H10" s="3844">
        <f>IF(E10="NA","NA",E10/Table8s2!$G$34*100)</f>
        <v>-5.9304731552220717</v>
      </c>
      <c r="I10" s="4488">
        <f>SUM(I11,I22,I30,I41,I50,I56)</f>
        <v>122363.34083404431</v>
      </c>
      <c r="J10" s="3840">
        <f>SUM(J11,J22,J30,J41,J50,J56)</f>
        <v>123765.08410567071</v>
      </c>
      <c r="K10" s="3842">
        <f t="shared" ref="K10:K12" si="0">IF(J10="NO",IF(I10="NO","NA",-I10),IF(I10="NO",J10,J10-I10))</f>
        <v>1401.7432716264011</v>
      </c>
      <c r="L10" s="3840">
        <f t="shared" ref="L10:L12" si="1">IF(K10="NA","NA",K10/I10*100)</f>
        <v>1.1455581893007647</v>
      </c>
      <c r="M10" s="3843">
        <f>IF(K10="NA","NA",K10/Table8s2!$G$35*100)</f>
        <v>0.26584614433872478</v>
      </c>
      <c r="N10" s="3844">
        <f>IF(K10="NA","NA",K10/Table8s2!$G$34*100)</f>
        <v>0.31948924495240882</v>
      </c>
      <c r="O10" s="4488">
        <f>SUM(O11,O22,O30,O41,O50,O56)</f>
        <v>21154.211106405906</v>
      </c>
      <c r="P10" s="3840">
        <f>SUM(P11,P22,P30,P41,P50,P56)</f>
        <v>19684.102604706579</v>
      </c>
      <c r="Q10" s="3842">
        <f t="shared" ref="Q10:Q12" si="2">IF(P10="NO",IF(O10="NO","NA",-O10),IF(O10="NO",P10,P10-O10))</f>
        <v>-1470.1085016993275</v>
      </c>
      <c r="R10" s="3840">
        <f t="shared" ref="R10:R12" si="3">IF(Q10="NA","NA",Q10/O10*100)</f>
        <v>-6.9494839316137398</v>
      </c>
      <c r="S10" s="3843">
        <f>IF(Q10="NA","NA",Q10/Table8s2!$G$35*100)</f>
        <v>-0.27881188006908419</v>
      </c>
      <c r="T10" s="3844">
        <f>IF(Q10="NA","NA",Q10/Table8s2!$G$34*100)</f>
        <v>-0.33507123930124166</v>
      </c>
    </row>
    <row r="11" spans="2:20" ht="18" customHeight="1" x14ac:dyDescent="0.2">
      <c r="B11" s="1404" t="s">
        <v>1921</v>
      </c>
      <c r="C11" s="3841">
        <f>SUM(C12,C18,C21)</f>
        <v>366084.15093792573</v>
      </c>
      <c r="D11" s="3841">
        <f>Summary2!C11</f>
        <v>366499.16482696496</v>
      </c>
      <c r="E11" s="3845">
        <f t="shared" ref="E11:E38" si="4">IF(D11="NO",IF(C11="NO","NA",-C11),IF(C11="NO",D11,D11-C11))</f>
        <v>415.01388903922634</v>
      </c>
      <c r="F11" s="3841">
        <f t="shared" ref="F11:F38" si="5">IF(E11="NA","NA",E11/C11*100)</f>
        <v>0.11336570785048744</v>
      </c>
      <c r="G11" s="3846">
        <f>IF(E11="NA","NA",E11/Table8s2!$G$35*100)</f>
        <v>7.8709022173571952E-2</v>
      </c>
      <c r="H11" s="3847">
        <f>IF(E11="NA","NA",E11/Table8s2!$G$34*100)</f>
        <v>9.4591125734502082E-2</v>
      </c>
      <c r="I11" s="3848">
        <f>SUM(I12,I18,I21)</f>
        <v>35417.98499957937</v>
      </c>
      <c r="J11" s="3841">
        <f>Summary2!D11</f>
        <v>35302.837605853725</v>
      </c>
      <c r="K11" s="3845">
        <f t="shared" si="0"/>
        <v>-115.14739372564509</v>
      </c>
      <c r="L11" s="3841">
        <f t="shared" si="1"/>
        <v>-0.3251099511364427</v>
      </c>
      <c r="M11" s="3846">
        <f>IF(K11="NA","NA",K11/Table8s2!$G$35*100)</f>
        <v>-2.1838157722774879E-2</v>
      </c>
      <c r="N11" s="3847">
        <f>IF(K11="NA","NA",K11/Table8s2!$G$34*100)</f>
        <v>-2.6244715865095365E-2</v>
      </c>
      <c r="O11" s="3848">
        <f>SUM(O12,O18,O21)</f>
        <v>2524.7494457956836</v>
      </c>
      <c r="P11" s="3841">
        <f>Summary2!E11</f>
        <v>2528.7472803183477</v>
      </c>
      <c r="Q11" s="3845">
        <f t="shared" si="2"/>
        <v>3.9978345226641068</v>
      </c>
      <c r="R11" s="3841">
        <f t="shared" si="3"/>
        <v>0.1583457926615833</v>
      </c>
      <c r="S11" s="3846">
        <f>IF(Q11="NA","NA",Q11/Table8s2!$G$35*100)</f>
        <v>7.5820509722964715E-4</v>
      </c>
      <c r="T11" s="3847">
        <f>IF(Q11="NA","NA",Q11/Table8s2!$G$34*100)</f>
        <v>9.1119762009533769E-4</v>
      </c>
    </row>
    <row r="12" spans="2:20" ht="18" customHeight="1" x14ac:dyDescent="0.2">
      <c r="B12" s="606" t="s">
        <v>242</v>
      </c>
      <c r="C12" s="3841">
        <f>SUM(C13:C17)</f>
        <v>350631.13726563292</v>
      </c>
      <c r="D12" s="3841">
        <f>Summary2!C12</f>
        <v>351082.75792210409</v>
      </c>
      <c r="E12" s="3841">
        <f t="shared" si="4"/>
        <v>451.62065647117561</v>
      </c>
      <c r="F12" s="3849">
        <f t="shared" si="5"/>
        <v>0.12880221077714343</v>
      </c>
      <c r="G12" s="3846">
        <f>IF(E12="NA","NA",E12/Table8s2!$G$35*100)</f>
        <v>8.5651640109020738E-2</v>
      </c>
      <c r="H12" s="3847">
        <f>IF(E12="NA","NA",E12/Table8s2!$G$34*100)</f>
        <v>0.10293464249946005</v>
      </c>
      <c r="I12" s="3848">
        <f>SUM(I13:I17)</f>
        <v>2114.0500194408828</v>
      </c>
      <c r="J12" s="3841">
        <f>Summary2!D12</f>
        <v>2131.1674148638549</v>
      </c>
      <c r="K12" s="3841">
        <f t="shared" si="0"/>
        <v>17.117395422972095</v>
      </c>
      <c r="L12" s="3849">
        <f t="shared" si="1"/>
        <v>0.80969680308223024</v>
      </c>
      <c r="M12" s="3846">
        <f>IF(K12="NA","NA",K12/Table8s2!$G$35*100)</f>
        <v>3.2463816066964591E-3</v>
      </c>
      <c r="N12" s="3847">
        <f>IF(K12="NA","NA",K12/Table8s2!$G$34*100)</f>
        <v>3.9014446153837145E-3</v>
      </c>
      <c r="O12" s="3850">
        <f>SUM(O13:O17)</f>
        <v>2477.4321643306462</v>
      </c>
      <c r="P12" s="3849">
        <f>Summary2!E12</f>
        <v>2481.6957089367106</v>
      </c>
      <c r="Q12" s="3841">
        <f t="shared" si="2"/>
        <v>4.2635446060644426</v>
      </c>
      <c r="R12" s="3849">
        <f t="shared" si="3"/>
        <v>0.17209531172839879</v>
      </c>
      <c r="S12" s="3846">
        <f>IF(Q12="NA","NA",Q12/Table8s2!$G$35*100)</f>
        <v>8.0859806334101017E-4</v>
      </c>
      <c r="T12" s="3847">
        <f>IF(Q12="NA","NA",Q12/Table8s2!$G$34*100)</f>
        <v>9.7175900507942103E-4</v>
      </c>
    </row>
    <row r="13" spans="2:20" ht="18" customHeight="1" x14ac:dyDescent="0.2">
      <c r="B13" s="1391" t="s">
        <v>1923</v>
      </c>
      <c r="C13" s="3849">
        <v>196563.83465937959</v>
      </c>
      <c r="D13" s="3841">
        <f>Summary2!C13</f>
        <v>196331.17641434306</v>
      </c>
      <c r="E13" s="3841">
        <f t="shared" si="4"/>
        <v>-232.65824503652402</v>
      </c>
      <c r="F13" s="3849">
        <f t="shared" si="5"/>
        <v>-0.1183626914074461</v>
      </c>
      <c r="G13" s="3846">
        <f>IF(E13="NA","NA",E13/Table8s2!$G$35*100)</f>
        <v>-4.4124554505483693E-2</v>
      </c>
      <c r="H13" s="3847">
        <f>IF(E13="NA","NA",E13/Table8s2!$G$34*100)</f>
        <v>-5.3028117589911161E-2</v>
      </c>
      <c r="I13" s="3848">
        <v>734.46600554601559</v>
      </c>
      <c r="J13" s="3841">
        <f>Summary2!D13</f>
        <v>743.90167269136111</v>
      </c>
      <c r="K13" s="3841">
        <f t="shared" ref="K13" si="6">IF(J13="NO",IF(I13="NO","NA",-I13),IF(I13="NO",J13,J13-I13))</f>
        <v>9.4356671453455192</v>
      </c>
      <c r="L13" s="3849">
        <f t="shared" ref="L13" si="7">IF(K13="NA","NA",K13/I13*100)</f>
        <v>1.2846975999019683</v>
      </c>
      <c r="M13" s="3846">
        <f>IF(K13="NA","NA",K13/Table8s2!$G$35*100)</f>
        <v>1.7895115179994584E-3</v>
      </c>
      <c r="N13" s="3847">
        <f>IF(K13="NA","NA",K13/Table8s2!$G$34*100)</f>
        <v>2.1506036325688563E-3</v>
      </c>
      <c r="O13" s="3850">
        <v>779.4786174443442</v>
      </c>
      <c r="P13" s="3849">
        <f>Summary2!E13</f>
        <v>778.88084132373592</v>
      </c>
      <c r="Q13" s="3841">
        <f t="shared" ref="Q13" si="8">IF(P13="NO",IF(O13="NO","NA",-O13),IF(O13="NO",P13,P13-O13))</f>
        <v>-0.59777612060827323</v>
      </c>
      <c r="R13" s="3849">
        <f t="shared" ref="R13" si="9">IF(Q13="NA","NA",Q13/O13*100)</f>
        <v>-7.6689226263599877E-2</v>
      </c>
      <c r="S13" s="3846">
        <f>IF(Q13="NA","NA",Q13/Table8s2!$G$35*100)</f>
        <v>-1.1337060077847487E-4</v>
      </c>
      <c r="T13" s="3847">
        <f>IF(Q13="NA","NA",Q13/Table8s2!$G$34*100)</f>
        <v>-1.362468044538037E-4</v>
      </c>
    </row>
    <row r="14" spans="2:20" ht="18" customHeight="1" x14ac:dyDescent="0.2">
      <c r="B14" s="1391" t="s">
        <v>1976</v>
      </c>
      <c r="C14" s="3849">
        <v>41926.790645493289</v>
      </c>
      <c r="D14" s="3841">
        <f>Summary2!C14</f>
        <v>42689.716069213391</v>
      </c>
      <c r="E14" s="3841">
        <f t="shared" si="4"/>
        <v>762.92542372010212</v>
      </c>
      <c r="F14" s="3849">
        <f t="shared" si="5"/>
        <v>1.8196609184111472</v>
      </c>
      <c r="G14" s="3846">
        <f>IF(E14="NA","NA",E14/Table8s2!$G$35*100)</f>
        <v>0.14469181798079908</v>
      </c>
      <c r="H14" s="3847">
        <f>IF(E14="NA","NA",E14/Table8s2!$G$34*100)</f>
        <v>0.17388809528332547</v>
      </c>
      <c r="I14" s="3848">
        <v>68.367014392700597</v>
      </c>
      <c r="J14" s="3841">
        <f>Summary2!D14</f>
        <v>69.044420701639012</v>
      </c>
      <c r="K14" s="3841">
        <f t="shared" ref="K14:K20" si="10">IF(J14="NO",IF(I14="NO","NA",-I14),IF(I14="NO",J14,J14-I14))</f>
        <v>0.67740630893841569</v>
      </c>
      <c r="L14" s="3849">
        <f t="shared" ref="L14:L20" si="11">IF(K14="NA","NA",K14/I14*100)</f>
        <v>0.99083792813796023</v>
      </c>
      <c r="M14" s="3846">
        <f>IF(K14="NA","NA",K14/Table8s2!$G$35*100)</f>
        <v>1.2847278030666528E-4</v>
      </c>
      <c r="N14" s="3847">
        <f>IF(K14="NA","NA",K14/Table8s2!$G$34*100)</f>
        <v>1.5439633957908873E-4</v>
      </c>
      <c r="O14" s="3850">
        <v>417.82125096504825</v>
      </c>
      <c r="P14" s="3849">
        <f>Summary2!E14</f>
        <v>420.72574549983784</v>
      </c>
      <c r="Q14" s="3841">
        <f t="shared" ref="Q14:Q20" si="12">IF(P14="NO",IF(O14="NO","NA",-O14),IF(O14="NO",P14,P14-O14))</f>
        <v>2.9044945347895919</v>
      </c>
      <c r="R14" s="3849">
        <f t="shared" ref="R14:R20" si="13">IF(Q14="NA","NA",Q14/O14*100)</f>
        <v>0.69515241938533179</v>
      </c>
      <c r="S14" s="3846">
        <f>IF(Q14="NA","NA",Q14/Table8s2!$G$35*100)</f>
        <v>5.5084885296492986E-4</v>
      </c>
      <c r="T14" s="3847">
        <f>IF(Q14="NA","NA",Q14/Table8s2!$G$34*100)</f>
        <v>6.6200051369723811E-4</v>
      </c>
    </row>
    <row r="15" spans="2:20" ht="18" customHeight="1" x14ac:dyDescent="0.2">
      <c r="B15" s="1391" t="s">
        <v>1925</v>
      </c>
      <c r="C15" s="3849">
        <v>88780.478077456588</v>
      </c>
      <c r="D15" s="3841">
        <f>Summary2!C15</f>
        <v>88692.181352404077</v>
      </c>
      <c r="E15" s="3841">
        <f t="shared" si="4"/>
        <v>-88.296725052510737</v>
      </c>
      <c r="F15" s="3849">
        <f t="shared" si="5"/>
        <v>-9.9455113291320868E-2</v>
      </c>
      <c r="G15" s="3846">
        <f>IF(E15="NA","NA",E15/Table8s2!$G$35*100)</f>
        <v>-1.6745822425607969E-2</v>
      </c>
      <c r="H15" s="3847">
        <f>IF(E15="NA","NA",E15/Table8s2!$G$34*100)</f>
        <v>-2.0124836401794206E-2</v>
      </c>
      <c r="I15" s="3848">
        <v>333.94074578717078</v>
      </c>
      <c r="J15" s="3841">
        <f>Summary2!D15</f>
        <v>325.55810492216926</v>
      </c>
      <c r="K15" s="3841">
        <f t="shared" si="10"/>
        <v>-8.3826408650015196</v>
      </c>
      <c r="L15" s="3849">
        <f t="shared" si="11"/>
        <v>-2.5102180463907797</v>
      </c>
      <c r="M15" s="3846">
        <f>IF(K15="NA","NA",K15/Table8s2!$G$35*100)</f>
        <v>-1.5898009274916891E-3</v>
      </c>
      <c r="N15" s="3847">
        <f>IF(K15="NA","NA",K15/Table8s2!$G$34*100)</f>
        <v>-1.9105949390854928E-3</v>
      </c>
      <c r="O15" s="3850">
        <v>1077.9408664415671</v>
      </c>
      <c r="P15" s="3849">
        <f>Summary2!E15</f>
        <v>1079.4991112582811</v>
      </c>
      <c r="Q15" s="3841">
        <f t="shared" si="12"/>
        <v>1.5582448167140228</v>
      </c>
      <c r="R15" s="3849">
        <f t="shared" si="13"/>
        <v>0.14455754162637938</v>
      </c>
      <c r="S15" s="3846">
        <f>IF(Q15="NA","NA",Q15/Table8s2!$G$35*100)</f>
        <v>2.9552728009785986E-4</v>
      </c>
      <c r="T15" s="3847">
        <f>IF(Q15="NA","NA",Q15/Table8s2!$G$34*100)</f>
        <v>3.5515951459880098E-4</v>
      </c>
    </row>
    <row r="16" spans="2:20" ht="18" customHeight="1" x14ac:dyDescent="0.2">
      <c r="B16" s="1391" t="s">
        <v>1926</v>
      </c>
      <c r="C16" s="3849">
        <v>22550.617989712831</v>
      </c>
      <c r="D16" s="3841">
        <f>Summary2!C16</f>
        <v>22560.268192552965</v>
      </c>
      <c r="E16" s="3841">
        <f t="shared" si="4"/>
        <v>9.6502028401337157</v>
      </c>
      <c r="F16" s="3849">
        <f t="shared" si="5"/>
        <v>4.27935183174845E-2</v>
      </c>
      <c r="G16" s="3846">
        <f>IF(E16="NA","NA",E16/Table8s2!$G$35*100)</f>
        <v>1.8301990593181318E-3</v>
      </c>
      <c r="H16" s="3847">
        <f>IF(E16="NA","NA",E16/Table8s2!$G$34*100)</f>
        <v>2.1995012078457428E-3</v>
      </c>
      <c r="I16" s="3848">
        <v>976.57679608801413</v>
      </c>
      <c r="J16" s="3841">
        <f>Summary2!D16</f>
        <v>991.96384496552287</v>
      </c>
      <c r="K16" s="3841">
        <f t="shared" si="10"/>
        <v>15.387048877508732</v>
      </c>
      <c r="L16" s="3849">
        <f t="shared" si="11"/>
        <v>1.5756107393854124</v>
      </c>
      <c r="M16" s="3846">
        <f>IF(K16="NA","NA",K16/Table8s2!$G$35*100)</f>
        <v>2.9182145544319341E-3</v>
      </c>
      <c r="N16" s="3847">
        <f>IF(K16="NA","NA",K16/Table8s2!$G$34*100)</f>
        <v>3.5070591936690303E-3</v>
      </c>
      <c r="O16" s="3850">
        <v>196.14238470937863</v>
      </c>
      <c r="P16" s="3849">
        <f>Summary2!E16</f>
        <v>196.54096916529187</v>
      </c>
      <c r="Q16" s="3841">
        <f t="shared" si="12"/>
        <v>0.39858445591323743</v>
      </c>
      <c r="R16" s="3849">
        <f t="shared" si="13"/>
        <v>0.20321179254744673</v>
      </c>
      <c r="S16" s="3846">
        <f>IF(Q16="NA","NA",Q16/Table8s2!$G$35*100)</f>
        <v>7.5593115331980788E-5</v>
      </c>
      <c r="T16" s="3847">
        <f>IF(Q16="NA","NA",Q16/Table8s2!$G$34*100)</f>
        <v>9.0846483409001201E-5</v>
      </c>
    </row>
    <row r="17" spans="2:20" ht="18" customHeight="1" x14ac:dyDescent="0.2">
      <c r="B17" s="1391" t="s">
        <v>1927</v>
      </c>
      <c r="C17" s="3849">
        <v>809.41589359057934</v>
      </c>
      <c r="D17" s="3841">
        <f>Summary2!C17</f>
        <v>809.41589359057934</v>
      </c>
      <c r="E17" s="3841">
        <f t="shared" si="4"/>
        <v>0</v>
      </c>
      <c r="F17" s="3849">
        <f t="shared" si="5"/>
        <v>0</v>
      </c>
      <c r="G17" s="3846">
        <f>IF(E17="NA","NA",E17/Table8s2!$G$35*100)</f>
        <v>0</v>
      </c>
      <c r="H17" s="3847">
        <f>IF(E17="NA","NA",E17/Table8s2!$G$34*100)</f>
        <v>0</v>
      </c>
      <c r="I17" s="3848">
        <v>0.69945762698185354</v>
      </c>
      <c r="J17" s="3841">
        <f>Summary2!D17</f>
        <v>0.69937158316276471</v>
      </c>
      <c r="K17" s="3841">
        <f t="shared" si="10"/>
        <v>-8.6043819088832407E-5</v>
      </c>
      <c r="L17" s="3849">
        <f t="shared" si="11"/>
        <v>-1.2301505590854711E-2</v>
      </c>
      <c r="M17" s="3846">
        <f>IF(K17="NA","NA",K17/Table8s2!$G$35*100)</f>
        <v>-1.6318549917064596E-8</v>
      </c>
      <c r="N17" s="3847">
        <f>IF(K17="NA","NA",K17/Table8s2!$G$34*100)</f>
        <v>-1.9611347776698661E-8</v>
      </c>
      <c r="O17" s="3850">
        <v>6.0490447703078836</v>
      </c>
      <c r="P17" s="3849">
        <f>Summary2!E17</f>
        <v>6.0490416895640466</v>
      </c>
      <c r="Q17" s="3841">
        <f t="shared" si="12"/>
        <v>-3.0807438369251372E-6</v>
      </c>
      <c r="R17" s="3849">
        <f t="shared" si="13"/>
        <v>-5.0929426941046325E-5</v>
      </c>
      <c r="S17" s="3846">
        <f>IF(Q17="NA","NA",Q17/Table8s2!$G$35*100)</f>
        <v>-5.8427522879533492E-10</v>
      </c>
      <c r="T17" s="3847">
        <f>IF(Q17="NA","NA",Q17/Table8s2!$G$34*100)</f>
        <v>-7.0217174733357999E-10</v>
      </c>
    </row>
    <row r="18" spans="2:20" ht="18" customHeight="1" x14ac:dyDescent="0.2">
      <c r="B18" s="606" t="s">
        <v>201</v>
      </c>
      <c r="C18" s="3849">
        <f>SUM(C19:C20)</f>
        <v>15450.768672292797</v>
      </c>
      <c r="D18" s="3841">
        <f>Summary2!C18</f>
        <v>15414.161904860886</v>
      </c>
      <c r="E18" s="3841">
        <f t="shared" si="4"/>
        <v>-36.606767431911067</v>
      </c>
      <c r="F18" s="3849">
        <f t="shared" si="5"/>
        <v>-0.23692521846862169</v>
      </c>
      <c r="G18" s="3846">
        <f>IF(E18="NA","NA",E18/Table8s2!$G$35*100)</f>
        <v>-6.9426179354415427E-3</v>
      </c>
      <c r="H18" s="3847">
        <f>IF(E18="NA","NA",E18/Table8s2!$G$34*100)</f>
        <v>-8.3435167649492572E-3</v>
      </c>
      <c r="I18" s="3848">
        <f>SUM(I19:I20)</f>
        <v>33303.934980138489</v>
      </c>
      <c r="J18" s="3841">
        <f>Summary2!D18</f>
        <v>33171.670190989869</v>
      </c>
      <c r="K18" s="3841">
        <f t="shared" si="10"/>
        <v>-132.26478914861946</v>
      </c>
      <c r="L18" s="3849">
        <f t="shared" si="11"/>
        <v>-0.39714462938838424</v>
      </c>
      <c r="M18" s="3846">
        <f>IF(K18="NA","NA",K18/Table8s2!$G$35*100)</f>
        <v>-2.5084539329471772E-2</v>
      </c>
      <c r="N18" s="3847">
        <f>IF(K18="NA","NA",K18/Table8s2!$G$34*100)</f>
        <v>-3.0146160480479599E-2</v>
      </c>
      <c r="O18" s="3850">
        <f>SUM(O19:O20)</f>
        <v>47.317281465037397</v>
      </c>
      <c r="P18" s="3849">
        <f>Summary2!E18</f>
        <v>47.051571381637402</v>
      </c>
      <c r="Q18" s="3841">
        <f t="shared" si="12"/>
        <v>-0.2657100833999948</v>
      </c>
      <c r="R18" s="3849">
        <f t="shared" si="13"/>
        <v>-0.56154976611732699</v>
      </c>
      <c r="S18" s="3846">
        <f>IF(Q18="NA","NA",Q18/Table8s2!$G$35*100)</f>
        <v>-5.0392966111298283E-5</v>
      </c>
      <c r="T18" s="3847">
        <f>IF(Q18="NA","NA",Q18/Table8s2!$G$34*100)</f>
        <v>-6.0561384984005543E-5</v>
      </c>
    </row>
    <row r="19" spans="2:20" ht="18" customHeight="1" x14ac:dyDescent="0.2">
      <c r="B19" s="1391" t="s">
        <v>1928</v>
      </c>
      <c r="C19" s="3849">
        <v>2087.874020204009</v>
      </c>
      <c r="D19" s="3841">
        <f>Summary2!C19</f>
        <v>2087.8740202040094</v>
      </c>
      <c r="E19" s="3841">
        <f t="shared" si="4"/>
        <v>4.5474735088646412E-13</v>
      </c>
      <c r="F19" s="3849">
        <f t="shared" si="5"/>
        <v>2.178040180997272E-14</v>
      </c>
      <c r="G19" s="3846">
        <f>IF(E19="NA","NA",E19/Table8s2!$G$35*100)</f>
        <v>8.6244630046375976E-17</v>
      </c>
      <c r="H19" s="3847">
        <f>IF(E19="NA","NA",E19/Table8s2!$G$34*100)</f>
        <v>1.0364728743106609E-16</v>
      </c>
      <c r="I19" s="3848">
        <v>25749.223620889996</v>
      </c>
      <c r="J19" s="3841">
        <f>Summary2!D19</f>
        <v>25623.576479684558</v>
      </c>
      <c r="K19" s="3841">
        <f t="shared" si="10"/>
        <v>-125.64714120543795</v>
      </c>
      <c r="L19" s="3849">
        <f t="shared" si="11"/>
        <v>-0.48796477538647859</v>
      </c>
      <c r="M19" s="3846">
        <f>IF(K19="NA","NA",K19/Table8s2!$G$35*100)</f>
        <v>-2.3829476276274689E-2</v>
      </c>
      <c r="N19" s="3847">
        <f>IF(K19="NA","NA",K19/Table8s2!$G$34*100)</f>
        <v>-2.8637847662059717E-2</v>
      </c>
      <c r="O19" s="3850">
        <v>0.52366677215128354</v>
      </c>
      <c r="P19" s="3849">
        <f>Summary2!E19</f>
        <v>0.52366677215128354</v>
      </c>
      <c r="Q19" s="3841">
        <f t="shared" si="12"/>
        <v>0</v>
      </c>
      <c r="R19" s="3849">
        <f t="shared" si="13"/>
        <v>0</v>
      </c>
      <c r="S19" s="3846">
        <f>IF(Q19="NA","NA",Q19/Table8s2!$G$35*100)</f>
        <v>0</v>
      </c>
      <c r="T19" s="3847">
        <f>IF(Q19="NA","NA",Q19/Table8s2!$G$34*100)</f>
        <v>0</v>
      </c>
    </row>
    <row r="20" spans="2:20" ht="18" customHeight="1" x14ac:dyDescent="0.2">
      <c r="B20" s="1392" t="s">
        <v>1929</v>
      </c>
      <c r="C20" s="3851">
        <v>13362.894652088788</v>
      </c>
      <c r="D20" s="3852">
        <f>Summary2!C20</f>
        <v>13326.287884656876</v>
      </c>
      <c r="E20" s="3852">
        <f t="shared" si="4"/>
        <v>-36.606767431911067</v>
      </c>
      <c r="F20" s="3851">
        <f t="shared" si="5"/>
        <v>-0.27394339613527496</v>
      </c>
      <c r="G20" s="3853">
        <f>IF(E20="NA","NA",E20/Table8s2!$G$35*100)</f>
        <v>-6.9426179354415427E-3</v>
      </c>
      <c r="H20" s="3854">
        <f>IF(E20="NA","NA",E20/Table8s2!$G$34*100)</f>
        <v>-8.3435167649492572E-3</v>
      </c>
      <c r="I20" s="3855">
        <v>7554.7113592484957</v>
      </c>
      <c r="J20" s="3852">
        <f>Summary2!D20</f>
        <v>7548.0937113053133</v>
      </c>
      <c r="K20" s="3841">
        <f t="shared" si="10"/>
        <v>-6.6176479431824191</v>
      </c>
      <c r="L20" s="3849">
        <f t="shared" si="11"/>
        <v>-8.7596304193423333E-2</v>
      </c>
      <c r="M20" s="3846">
        <f>IF(K20="NA","NA",K20/Table8s2!$G$35*100)</f>
        <v>-1.2550630531972539E-3</v>
      </c>
      <c r="N20" s="3847">
        <f>IF(K20="NA","NA",K20/Table8s2!$G$34*100)</f>
        <v>-1.5083128184200884E-3</v>
      </c>
      <c r="O20" s="3856">
        <v>46.793614692886116</v>
      </c>
      <c r="P20" s="3851">
        <f>Summary2!E20</f>
        <v>46.527904609486122</v>
      </c>
      <c r="Q20" s="3841">
        <f t="shared" si="12"/>
        <v>-0.2657100833999948</v>
      </c>
      <c r="R20" s="3849">
        <f t="shared" si="13"/>
        <v>-0.56783406271110282</v>
      </c>
      <c r="S20" s="3846">
        <f>IF(Q20="NA","NA",Q20/Table8s2!$G$35*100)</f>
        <v>-5.0392966111298283E-5</v>
      </c>
      <c r="T20" s="3847">
        <f>IF(Q20="NA","NA",Q20/Table8s2!$G$34*100)</f>
        <v>-6.0561384984005543E-5</v>
      </c>
    </row>
    <row r="21" spans="2:20" ht="18" customHeight="1" thickBot="1" x14ac:dyDescent="0.25">
      <c r="B21" s="1406" t="s">
        <v>1977</v>
      </c>
      <c r="C21" s="3857">
        <v>2.2450000000000001</v>
      </c>
      <c r="D21" s="3857">
        <f>Summary2!C21</f>
        <v>2.2450000000000001</v>
      </c>
      <c r="E21" s="3858">
        <f t="shared" si="4"/>
        <v>0</v>
      </c>
      <c r="F21" s="3858">
        <f t="shared" si="5"/>
        <v>0</v>
      </c>
      <c r="G21" s="3859">
        <f>IF(E21="NA","NA",E21/Table8s2!$G$35*100)</f>
        <v>0</v>
      </c>
      <c r="H21" s="3860">
        <f>IF(E21="NA","NA",E21/Table8s2!$G$34*100)</f>
        <v>0</v>
      </c>
      <c r="I21" s="3861"/>
      <c r="J21" s="3862"/>
      <c r="K21" s="3862"/>
      <c r="L21" s="3862"/>
      <c r="M21" s="3862"/>
      <c r="N21" s="3862"/>
      <c r="O21" s="3862"/>
      <c r="P21" s="3862"/>
      <c r="Q21" s="3862"/>
      <c r="R21" s="3862"/>
      <c r="S21" s="3862"/>
      <c r="T21" s="3862"/>
    </row>
    <row r="22" spans="2:20" ht="18" customHeight="1" x14ac:dyDescent="0.2">
      <c r="B22" s="1405" t="s">
        <v>1931</v>
      </c>
      <c r="C22" s="3841">
        <f>SUM(C23:C29)</f>
        <v>19577.690793142552</v>
      </c>
      <c r="D22" s="3841">
        <f>Summary2!C22</f>
        <v>19404.684886846499</v>
      </c>
      <c r="E22" s="3863">
        <f t="shared" si="4"/>
        <v>-173.00590629605358</v>
      </c>
      <c r="F22" s="3863">
        <f t="shared" si="5"/>
        <v>-0.88368903219501294</v>
      </c>
      <c r="G22" s="3864">
        <f>IF(E22="NA","NA",E22/Table8s2!$G$35*100)</f>
        <v>-3.2811253007313031E-2</v>
      </c>
      <c r="H22" s="3865">
        <f>IF(E22="NA","NA",E22/Table8s2!$G$34*100)</f>
        <v>-3.9431989789900063E-2</v>
      </c>
      <c r="I22" s="3841">
        <f>SUM(I23:I29)</f>
        <v>82.133246377929993</v>
      </c>
      <c r="J22" s="3841">
        <f>Summary2!D22</f>
        <v>82.133246377929979</v>
      </c>
      <c r="K22" s="3863">
        <f t="shared" ref="K22" si="14">IF(J22="NO",IF(I22="NO","NA",-I22),IF(I22="NO",J22,J22-I22))</f>
        <v>-1.4210854715202004E-14</v>
      </c>
      <c r="L22" s="3863">
        <f t="shared" ref="L22" si="15">IF(K22="NA","NA",K22/I22*100)</f>
        <v>-1.7302195325157145E-14</v>
      </c>
      <c r="M22" s="3864">
        <f>IF(K22="NA","NA",K22/Table8s2!$G$35*100)</f>
        <v>-2.6951446889492492E-18</v>
      </c>
      <c r="N22" s="3865">
        <f>IF(K22="NA","NA",K22/Table8s2!$G$34*100)</f>
        <v>-3.2389777322208154E-18</v>
      </c>
      <c r="O22" s="3841">
        <f>SUM(O23:O29)</f>
        <v>1473.2196275559113</v>
      </c>
      <c r="P22" s="3841">
        <f>Summary2!E22</f>
        <v>1473.2196275559108</v>
      </c>
      <c r="Q22" s="3863">
        <f t="shared" ref="Q22" si="16">IF(P22="NO",IF(O22="NO","NA",-O22),IF(O22="NO",P22,P22-O22))</f>
        <v>-4.5474735088646412E-13</v>
      </c>
      <c r="R22" s="3866">
        <f t="shared" ref="R22" si="17">IF(Q22="NA","NA",Q22/O22*100)</f>
        <v>-3.0867587044091674E-14</v>
      </c>
      <c r="S22" s="3867">
        <f>IF(Q22="NA","NA",Q22/Table8s2!$G$35*100)</f>
        <v>-8.6244630046375976E-17</v>
      </c>
      <c r="T22" s="3868">
        <f>IF(Q22="NA","NA",Q22/Table8s2!$G$34*100)</f>
        <v>-1.0364728743106609E-16</v>
      </c>
    </row>
    <row r="23" spans="2:20" ht="18" customHeight="1" x14ac:dyDescent="0.2">
      <c r="B23" s="1393" t="s">
        <v>1932</v>
      </c>
      <c r="C23" s="3841">
        <v>5584.8756679698126</v>
      </c>
      <c r="D23" s="3841">
        <f>Summary2!C23</f>
        <v>5613.9712902377578</v>
      </c>
      <c r="E23" s="3841">
        <f t="shared" si="4"/>
        <v>29.095622267945146</v>
      </c>
      <c r="F23" s="3849">
        <f t="shared" si="5"/>
        <v>0.5209717099847605</v>
      </c>
      <c r="G23" s="3846">
        <f>IF(E23="NA","NA",E23/Table8s2!$G$35*100)</f>
        <v>5.5180996075654548E-3</v>
      </c>
      <c r="H23" s="3847">
        <f>IF(E23="NA","NA",E23/Table8s2!$G$34*100)</f>
        <v>6.6315555622540783E-3</v>
      </c>
      <c r="I23" s="1950"/>
      <c r="J23" s="1950"/>
      <c r="K23" s="1950"/>
      <c r="L23" s="1950"/>
      <c r="M23" s="1950"/>
      <c r="N23" s="1950"/>
      <c r="O23" s="1950"/>
      <c r="P23" s="1950"/>
      <c r="Q23" s="1950"/>
      <c r="R23" s="1950"/>
      <c r="S23" s="1950"/>
      <c r="T23" s="1950"/>
    </row>
    <row r="24" spans="2:20" ht="18" customHeight="1" x14ac:dyDescent="0.2">
      <c r="B24" s="1393" t="s">
        <v>846</v>
      </c>
      <c r="C24" s="3841">
        <v>3104.4552540351287</v>
      </c>
      <c r="D24" s="3841">
        <f>Summary2!C24</f>
        <v>3104.4552540351287</v>
      </c>
      <c r="E24" s="3841">
        <f t="shared" si="4"/>
        <v>0</v>
      </c>
      <c r="F24" s="3849">
        <f t="shared" si="5"/>
        <v>0</v>
      </c>
      <c r="G24" s="3846">
        <f>IF(E24="NA","NA",E24/Table8s2!$G$35*100)</f>
        <v>0</v>
      </c>
      <c r="H24" s="3847">
        <f>IF(E24="NA","NA",E24/Table8s2!$G$34*100)</f>
        <v>0</v>
      </c>
      <c r="I24" s="3848">
        <v>12.140799999999999</v>
      </c>
      <c r="J24" s="3841">
        <f>Summary2!D24</f>
        <v>12.140799999999999</v>
      </c>
      <c r="K24" s="3841">
        <f t="shared" ref="K24" si="18">IF(J24="NO",IF(I24="NO","NA",-I24),IF(I24="NO",J24,J24-I24))</f>
        <v>0</v>
      </c>
      <c r="L24" s="3849">
        <f t="shared" ref="L24" si="19">IF(K24="NA","NA",K24/I24*100)</f>
        <v>0</v>
      </c>
      <c r="M24" s="3846">
        <f>IF(K24="NA","NA",K24/Table8s2!$G$35*100)</f>
        <v>0</v>
      </c>
      <c r="N24" s="3847">
        <f>IF(K24="NA","NA",K24/Table8s2!$G$34*100)</f>
        <v>0</v>
      </c>
      <c r="O24" s="3850">
        <v>1458.743259145587</v>
      </c>
      <c r="P24" s="3849">
        <f>Summary2!E24</f>
        <v>1458.7432591455865</v>
      </c>
      <c r="Q24" s="3841">
        <f t="shared" ref="Q24" si="20">IF(P24="NO",IF(O24="NO","NA",-O24),IF(O24="NO",P24,P24-O24))</f>
        <v>-4.5474735088646412E-13</v>
      </c>
      <c r="R24" s="3849">
        <f t="shared" ref="R24" si="21">IF(Q24="NA","NA",Q24/O24*100)</f>
        <v>-3.1173912752324772E-14</v>
      </c>
      <c r="S24" s="3846">
        <f>IF(Q24="NA","NA",Q24/Table8s2!$G$35*100)</f>
        <v>-8.6244630046375976E-17</v>
      </c>
      <c r="T24" s="3847">
        <f>IF(Q24="NA","NA",Q24/Table8s2!$G$34*100)</f>
        <v>-1.0364728743106609E-16</v>
      </c>
    </row>
    <row r="25" spans="2:20" ht="18" customHeight="1" x14ac:dyDescent="0.2">
      <c r="B25" s="1393" t="s">
        <v>637</v>
      </c>
      <c r="C25" s="3841">
        <v>10499.868143488124</v>
      </c>
      <c r="D25" s="3841">
        <f>Summary2!C25</f>
        <v>10297.766614924123</v>
      </c>
      <c r="E25" s="3841">
        <f t="shared" si="4"/>
        <v>-202.10152856400055</v>
      </c>
      <c r="F25" s="3849">
        <f t="shared" si="5"/>
        <v>-1.9248006337045402</v>
      </c>
      <c r="G25" s="3846">
        <f>IF(E25="NA","NA",E25/Table8s2!$G$35*100)</f>
        <v>-3.8329352614878832E-2</v>
      </c>
      <c r="H25" s="3847">
        <f>IF(E25="NA","NA",E25/Table8s2!$G$34*100)</f>
        <v>-4.6063545352154553E-2</v>
      </c>
      <c r="I25" s="3848">
        <v>69.992446377929994</v>
      </c>
      <c r="J25" s="3841">
        <f>Summary2!D25</f>
        <v>69.99244637792998</v>
      </c>
      <c r="K25" s="3841">
        <f t="shared" ref="K25:K26" si="22">IF(J25="NO",IF(I25="NO","NA",-I25),IF(I25="NO",J25,J25-I25))</f>
        <v>-1.4210854715202004E-14</v>
      </c>
      <c r="L25" s="3849">
        <f t="shared" ref="L25:L26" si="23">IF(K25="NA","NA",K25/I25*100)</f>
        <v>-2.0303411940296129E-14</v>
      </c>
      <c r="M25" s="3846">
        <f>IF(K25="NA","NA",K25/Table8s2!$G$35*100)</f>
        <v>-2.6951446889492492E-18</v>
      </c>
      <c r="N25" s="3847">
        <f>IF(K25="NA","NA",K25/Table8s2!$G$34*100)</f>
        <v>-3.2389777322208154E-18</v>
      </c>
      <c r="O25" s="3850">
        <v>14.476368410324323</v>
      </c>
      <c r="P25" s="3849">
        <f>Summary2!E25</f>
        <v>14.476368410324323</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162.71317983</v>
      </c>
      <c r="D26" s="3841">
        <f>Summary2!C26</f>
        <v>162.71317983</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225.77854781948912</v>
      </c>
      <c r="D29" s="3857">
        <f>Summary2!C30</f>
        <v>225.77854781948912</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3083.3902291881086</v>
      </c>
      <c r="D30" s="3877">
        <f>Summary2!C31</f>
        <v>3083.3902291881086</v>
      </c>
      <c r="E30" s="3863">
        <f t="shared" si="4"/>
        <v>0</v>
      </c>
      <c r="F30" s="3878">
        <f t="shared" si="5"/>
        <v>0</v>
      </c>
      <c r="G30" s="3879">
        <f>IF(E30="NA","NA",E30/Table8s2!$G$35*100)</f>
        <v>0</v>
      </c>
      <c r="H30" s="3880">
        <f>IF(E30="NA","NA",E30/Table8s2!$G$34*100)</f>
        <v>0</v>
      </c>
      <c r="I30" s="3876">
        <f>SUM(I31:I40)</f>
        <v>61447.860862048939</v>
      </c>
      <c r="J30" s="3877">
        <f>Summary2!D31</f>
        <v>61377.90527754592</v>
      </c>
      <c r="K30" s="3863">
        <f t="shared" ref="K30" si="28">IF(J30="NO",IF(I30="NO","NA",-I30),IF(I30="NO",J30,J30-I30))</f>
        <v>-69.955584503019054</v>
      </c>
      <c r="L30" s="3878">
        <f t="shared" ref="L30" si="29">IF(K30="NA","NA",K30/I30*100)</f>
        <v>-0.11384543501045551</v>
      </c>
      <c r="M30" s="3879">
        <f>IF(K30="NA","NA",K30/Table8s2!$G$35*100)</f>
        <v>-1.3267352725375615E-2</v>
      </c>
      <c r="N30" s="3880">
        <f>IF(K30="NA","NA",K30/Table8s2!$G$34*100)</f>
        <v>-1.5944472376273212E-2</v>
      </c>
      <c r="O30" s="3876">
        <f>SUM(O31:O40)</f>
        <v>13722.992848691023</v>
      </c>
      <c r="P30" s="3877">
        <f>Summary2!E31</f>
        <v>12155.832912247419</v>
      </c>
      <c r="Q30" s="3863">
        <f t="shared" ref="Q30" si="30">IF(P30="NO",IF(O30="NO","NA",-O30),IF(O30="NO",P30,P30-O30))</f>
        <v>-1567.1599364436042</v>
      </c>
      <c r="R30" s="3882">
        <f t="shared" ref="R30" si="31">IF(Q30="NA","NA",Q30/O30*100)</f>
        <v>-11.419957393573144</v>
      </c>
      <c r="S30" s="3883">
        <f>IF(Q30="NA","NA",Q30/Table8s2!$G$35*100)</f>
        <v>-0.29721806774378695</v>
      </c>
      <c r="T30" s="3884">
        <f>IF(Q30="NA","NA",Q30/Table8s2!$G$34*100)</f>
        <v>-0.357191473609212</v>
      </c>
    </row>
    <row r="31" spans="2:20" ht="18" customHeight="1" x14ac:dyDescent="0.2">
      <c r="B31" s="606" t="s">
        <v>1938</v>
      </c>
      <c r="C31" s="3869"/>
      <c r="D31" s="3869"/>
      <c r="E31" s="3870"/>
      <c r="F31" s="3870"/>
      <c r="G31" s="3871"/>
      <c r="H31" s="3872"/>
      <c r="I31" s="3848">
        <v>54259.669669900846</v>
      </c>
      <c r="J31" s="3841">
        <f>Summary2!D32</f>
        <v>54276.891962860187</v>
      </c>
      <c r="K31" s="3885">
        <f t="shared" ref="K31:K33" si="32">IF(J31="NO",IF(I31="NO","NA",-I31),IF(I31="NO",J31,J31-I31))</f>
        <v>17.222292959340848</v>
      </c>
      <c r="L31" s="3885">
        <f t="shared" ref="L31:L33" si="33">IF(K31="NA","NA",K31/I31*100)</f>
        <v>3.1740504621786278E-2</v>
      </c>
      <c r="M31" s="3886">
        <f>IF(K31="NA","NA",K31/Table8s2!$G$35*100)</f>
        <v>3.2662758385138928E-3</v>
      </c>
      <c r="N31" s="3887">
        <f>IF(K31="NA","NA",K31/Table8s2!$G$34*100)</f>
        <v>3.9253531551072087E-3</v>
      </c>
      <c r="O31" s="3888"/>
      <c r="P31" s="3889"/>
      <c r="Q31" s="3870"/>
      <c r="R31" s="3890"/>
      <c r="S31" s="3891"/>
      <c r="T31" s="3892"/>
    </row>
    <row r="32" spans="2:20" ht="18" customHeight="1" x14ac:dyDescent="0.2">
      <c r="B32" s="606" t="s">
        <v>1939</v>
      </c>
      <c r="C32" s="3893"/>
      <c r="D32" s="3893"/>
      <c r="E32" s="3894"/>
      <c r="F32" s="3894"/>
      <c r="G32" s="3871"/>
      <c r="H32" s="3872"/>
      <c r="I32" s="3848">
        <v>6640.0515272975754</v>
      </c>
      <c r="J32" s="3849">
        <f>Summary2!D33</f>
        <v>6552.8736498352291</v>
      </c>
      <c r="K32" s="3895">
        <f t="shared" si="32"/>
        <v>-87.17787746234626</v>
      </c>
      <c r="L32" s="3895">
        <f t="shared" si="33"/>
        <v>-1.3129096529440134</v>
      </c>
      <c r="M32" s="3886">
        <f>IF(K32="NA","NA",K32/Table8s2!$G$35*100)</f>
        <v>-1.6533628563886918E-2</v>
      </c>
      <c r="N32" s="3887">
        <f>IF(K32="NA","NA",K32/Table8s2!$G$34*100)</f>
        <v>-1.9869825531377311E-2</v>
      </c>
      <c r="O32" s="3850">
        <v>549.66790765504925</v>
      </c>
      <c r="P32" s="3849">
        <f>Summary2!E33</f>
        <v>632.72299896940933</v>
      </c>
      <c r="Q32" s="3895">
        <f t="shared" ref="Q32" si="34">IF(P32="NO",IF(O32="NO","NA",-O32),IF(O32="NO",P32,P32-O32))</f>
        <v>83.055091314360084</v>
      </c>
      <c r="R32" s="3896">
        <f t="shared" ref="R32" si="35">IF(Q32="NA","NA",Q32/O32*100)</f>
        <v>15.110049205652789</v>
      </c>
      <c r="S32" s="3897">
        <f>IF(Q32="NA","NA",Q32/Table8s2!$G$35*100)</f>
        <v>1.5751725897713578E-2</v>
      </c>
      <c r="T32" s="3898">
        <f>IF(Q32="NA","NA",Q32/Table8s2!$G$34*100)</f>
        <v>1.8930148587544323E-2</v>
      </c>
    </row>
    <row r="33" spans="2:21" ht="18" customHeight="1" x14ac:dyDescent="0.2">
      <c r="B33" s="606" t="s">
        <v>1940</v>
      </c>
      <c r="C33" s="3893"/>
      <c r="D33" s="3893"/>
      <c r="E33" s="3894"/>
      <c r="F33" s="3894"/>
      <c r="G33" s="3899"/>
      <c r="H33" s="3900"/>
      <c r="I33" s="3850">
        <v>209.74990068797402</v>
      </c>
      <c r="J33" s="3849">
        <f>Summary2!D34</f>
        <v>209.74990068797402</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13037.486076523261</v>
      </c>
      <c r="P34" s="3849">
        <f>Summary2!E35</f>
        <v>11387.271048765295</v>
      </c>
      <c r="Q34" s="3895">
        <f t="shared" ref="Q34" si="36">IF(P34="NO",IF(O34="NO","NA",-O34),IF(O34="NO",P34,P34-O34))</f>
        <v>-1650.2150277579658</v>
      </c>
      <c r="R34" s="3896">
        <f t="shared" ref="R34" si="37">IF(Q34="NA","NA",Q34/O34*100)</f>
        <v>-12.65746339495254</v>
      </c>
      <c r="S34" s="3897">
        <f>IF(Q34="NA","NA",Q34/Table8s2!$G$35*100)</f>
        <v>-0.31296979364150079</v>
      </c>
      <c r="T34" s="3898">
        <f>IF(Q34="NA","NA",Q34/Table8s2!$G$34*100)</f>
        <v>-0.37612162219675666</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338.3897641625444</v>
      </c>
      <c r="J36" s="3849">
        <f>Summary2!D37</f>
        <v>338.38976416254434</v>
      </c>
      <c r="K36" s="3895">
        <f t="shared" ref="K36" si="38">IF(J36="NO",IF(I36="NO","NA",-I36),IF(I36="NO",J36,J36-I36))</f>
        <v>-5.6843418860808015E-14</v>
      </c>
      <c r="L36" s="3895">
        <f t="shared" ref="L36" si="39">IF(K36="NA","NA",K36/I36*100)</f>
        <v>-1.6798208716946729E-14</v>
      </c>
      <c r="M36" s="3886">
        <f>IF(K36="NA","NA",K36/Table8s2!$G$35*100)</f>
        <v>-1.0780578755796997E-17</v>
      </c>
      <c r="N36" s="3887">
        <f>IF(K36="NA","NA",K36/Table8s2!$G$34*100)</f>
        <v>-1.2955910928883262E-17</v>
      </c>
      <c r="O36" s="3850">
        <v>135.83886451271223</v>
      </c>
      <c r="P36" s="3849">
        <f>Summary2!E37</f>
        <v>135.83886451271226</v>
      </c>
      <c r="Q36" s="3895">
        <f t="shared" ref="Q36" si="40">IF(P36="NO",IF(O36="NO","NA",-O36),IF(O36="NO",P36,P36-O36))</f>
        <v>2.8421709430404007E-14</v>
      </c>
      <c r="R36" s="3896">
        <f t="shared" ref="R36" si="41">IF(Q36="NA","NA",Q36/O36*100)</f>
        <v>2.0923105866910579E-14</v>
      </c>
      <c r="S36" s="3897">
        <f>IF(Q36="NA","NA",Q36/Table8s2!$G$35*100)</f>
        <v>5.3902893778984985E-18</v>
      </c>
      <c r="T36" s="3898">
        <f>IF(Q36="NA","NA",Q36/Table8s2!$G$34*100)</f>
        <v>6.4779554644416308E-18</v>
      </c>
    </row>
    <row r="37" spans="2:21" ht="18" customHeight="1" x14ac:dyDescent="0.2">
      <c r="B37" s="606" t="s">
        <v>955</v>
      </c>
      <c r="C37" s="3849">
        <v>1318.3866247265748</v>
      </c>
      <c r="D37" s="3849">
        <f>Summary2!C38</f>
        <v>1318.3866247265748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1765.0036044615335</v>
      </c>
      <c r="D38" s="3849">
        <f>Summary2!C39</f>
        <v>1765.0036044615335</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-79383.670959077863</v>
      </c>
      <c r="D41" s="3841">
        <f>Summary2!C42</f>
        <v>-105645.33679957413</v>
      </c>
      <c r="E41" s="3931">
        <f t="shared" ref="E41" si="42">IF(D41="NO",IF(C41="NO","NA",-C41),IF(C41="NO",D41,D41-C41))</f>
        <v>-26261.665840496265</v>
      </c>
      <c r="F41" s="3931">
        <f t="shared" ref="F41" si="43">IF(E41="NA","NA",E41/C41*100)</f>
        <v>33.08194937726438</v>
      </c>
      <c r="G41" s="3871"/>
      <c r="H41" s="3931">
        <f>IF(E41="NA","NA",E41/Table8s2!$G$34*100)</f>
        <v>-5.9856322911666844</v>
      </c>
      <c r="I41" s="3848">
        <f>SUM(I42:I49)</f>
        <v>12428.59922373162</v>
      </c>
      <c r="J41" s="3841">
        <f>Summary2!D42</f>
        <v>13940.319164189586</v>
      </c>
      <c r="K41" s="3931">
        <f t="shared" ref="K41:K46" si="44">IF(J41="NO",IF(I41="NO","NA",-I41),IF(I41="NO",J41,J41-I41))</f>
        <v>1511.719940457966</v>
      </c>
      <c r="L41" s="3931">
        <f t="shared" ref="L41:L46" si="45">IF(K41="NA","NA",K41/I41*100)</f>
        <v>12.16323668697461</v>
      </c>
      <c r="M41" s="3891"/>
      <c r="N41" s="3932">
        <f>IF(K41="NA","NA",K41/Table8s2!$G$34*100)</f>
        <v>0.34455543474521599</v>
      </c>
      <c r="O41" s="3848">
        <f>SUM(O42:O49)</f>
        <v>3094.089528827426</v>
      </c>
      <c r="P41" s="3841">
        <f>Summary2!E42</f>
        <v>3173.9414207862542</v>
      </c>
      <c r="Q41" s="3931">
        <f t="shared" ref="Q41" si="46">IF(P41="NO",IF(O41="NO","NA",-O41),IF(O41="NO",P41,P41-O41))</f>
        <v>79.851891958828219</v>
      </c>
      <c r="R41" s="3931">
        <f t="shared" ref="R41" si="47">IF(Q41="NA","NA",Q41/O41*100)</f>
        <v>2.580788022287444</v>
      </c>
      <c r="S41" s="3891"/>
      <c r="T41" s="3932">
        <f>IF(Q41="NA","NA",Q41/Table8s2!$G$34*100)</f>
        <v>1.8200066436093357E-2</v>
      </c>
      <c r="U41" s="721"/>
    </row>
    <row r="42" spans="2:21" ht="18" customHeight="1" x14ac:dyDescent="0.2">
      <c r="B42" s="606" t="s">
        <v>1252</v>
      </c>
      <c r="C42" s="3849">
        <v>-95415.95525724726</v>
      </c>
      <c r="D42" s="3849">
        <f>Summary2!C43</f>
        <v>-83849.429630125625</v>
      </c>
      <c r="E42" s="3933">
        <f t="shared" ref="E42:E50" si="48">IF(D42="NO",IF(C42="NO","NA",-C42),IF(C42="NO",D42,D42-C42))</f>
        <v>11566.525627121635</v>
      </c>
      <c r="F42" s="3933">
        <f t="shared" ref="F42:F50" si="49">IF(E42="NA","NA",E42/C42*100)</f>
        <v>-12.122213309018994</v>
      </c>
      <c r="G42" s="3891"/>
      <c r="H42" s="3933">
        <f>IF(E42="NA","NA",E42/Table8s2!$G$34*100)</f>
        <v>2.6362748544133461</v>
      </c>
      <c r="I42" s="3850">
        <v>5085.480497113409</v>
      </c>
      <c r="J42" s="3849">
        <f>Summary2!D43</f>
        <v>5927.8126276292051</v>
      </c>
      <c r="K42" s="3933">
        <f t="shared" si="44"/>
        <v>842.33213051579605</v>
      </c>
      <c r="L42" s="3933">
        <f t="shared" si="45"/>
        <v>16.563471848803974</v>
      </c>
      <c r="M42" s="3891"/>
      <c r="N42" s="3934">
        <f>IF(K42="NA","NA",K42/Table8s2!$G$34*100)</f>
        <v>0.19198669387255071</v>
      </c>
      <c r="O42" s="3850">
        <v>1078.169787727111</v>
      </c>
      <c r="P42" s="3849">
        <f>Summary2!E43</f>
        <v>1305.3727156765656</v>
      </c>
      <c r="Q42" s="3933">
        <f t="shared" ref="Q42:Q46" si="50">IF(P42="NO",IF(O42="NO","NA",-O42),IF(O42="NO",P42,P42-O42))</f>
        <v>227.20292794945453</v>
      </c>
      <c r="R42" s="3933">
        <f t="shared" ref="R42:R46" si="51">IF(Q42="NA","NA",Q42/O42*100)</f>
        <v>21.073019345906626</v>
      </c>
      <c r="S42" s="3891"/>
      <c r="T42" s="3934">
        <f>IF(Q42="NA","NA",Q42/Table8s2!$G$34*100)</f>
        <v>5.1784726469437624E-2</v>
      </c>
      <c r="U42" s="721"/>
    </row>
    <row r="43" spans="2:21" ht="18" customHeight="1" x14ac:dyDescent="0.2">
      <c r="B43" s="606" t="s">
        <v>1255</v>
      </c>
      <c r="C43" s="3849">
        <v>5083.89592370847</v>
      </c>
      <c r="D43" s="3849">
        <f>Summary2!C44</f>
        <v>-9931.8201906091617</v>
      </c>
      <c r="E43" s="3933">
        <f t="shared" si="48"/>
        <v>-15015.716114317631</v>
      </c>
      <c r="F43" s="3933">
        <f t="shared" si="49"/>
        <v>-295.35844831702127</v>
      </c>
      <c r="G43" s="3891"/>
      <c r="H43" s="3933">
        <f>IF(E43="NA","NA",E43/Table8s2!$G$34*100)</f>
        <v>-3.4224239922456157</v>
      </c>
      <c r="I43" s="3850">
        <v>13.9620096</v>
      </c>
      <c r="J43" s="3849">
        <f>Summary2!D44</f>
        <v>16.590303194985395</v>
      </c>
      <c r="K43" s="3933">
        <f t="shared" si="44"/>
        <v>2.6282935949853954</v>
      </c>
      <c r="L43" s="3933">
        <f t="shared" si="45"/>
        <v>18.824608135102526</v>
      </c>
      <c r="M43" s="3891"/>
      <c r="N43" s="3934">
        <f>IF(K43="NA","NA",K43/Table8s2!$G$34*100)</f>
        <v>5.9904802339507139E-4</v>
      </c>
      <c r="O43" s="3850">
        <v>30.503106516386033</v>
      </c>
      <c r="P43" s="3849">
        <f>Summary2!E44</f>
        <v>28.518999610826778</v>
      </c>
      <c r="Q43" s="3933">
        <f t="shared" si="50"/>
        <v>-1.9841069055592548</v>
      </c>
      <c r="R43" s="3933">
        <f t="shared" si="51"/>
        <v>-6.5046060292036412</v>
      </c>
      <c r="S43" s="3891"/>
      <c r="T43" s="3934">
        <f>IF(Q43="NA","NA",Q43/Table8s2!$G$34*100)</f>
        <v>-4.5222319235853402E-4</v>
      </c>
      <c r="U43" s="721"/>
    </row>
    <row r="44" spans="2:21" ht="18" customHeight="1" x14ac:dyDescent="0.2">
      <c r="B44" s="606" t="s">
        <v>1258</v>
      </c>
      <c r="C44" s="3849">
        <v>13624.838403144378</v>
      </c>
      <c r="D44" s="3849">
        <f>Summary2!C45</f>
        <v>-8524.2810160450099</v>
      </c>
      <c r="E44" s="3933">
        <f t="shared" si="48"/>
        <v>-22149.119419189388</v>
      </c>
      <c r="F44" s="3933">
        <f t="shared" si="49"/>
        <v>-162.56427242526232</v>
      </c>
      <c r="G44" s="3891"/>
      <c r="H44" s="3933">
        <f>IF(E44="NA","NA",E44/Table8s2!$G$34*100)</f>
        <v>-5.0482892144629385</v>
      </c>
      <c r="I44" s="3850">
        <v>5092.9834674839967</v>
      </c>
      <c r="J44" s="3849">
        <f>Summary2!D45</f>
        <v>5968.318906674077</v>
      </c>
      <c r="K44" s="3933">
        <f t="shared" si="44"/>
        <v>875.33543919008025</v>
      </c>
      <c r="L44" s="3933">
        <f t="shared" si="45"/>
        <v>17.187085816764057</v>
      </c>
      <c r="M44" s="3891"/>
      <c r="N44" s="3934">
        <f>IF(K44="NA","NA",K44/Table8s2!$G$34*100)</f>
        <v>0.19950890024422407</v>
      </c>
      <c r="O44" s="3850">
        <v>1846.7773198173418</v>
      </c>
      <c r="P44" s="3849">
        <f>Summary2!E45</f>
        <v>1675.0612945255298</v>
      </c>
      <c r="Q44" s="3933">
        <f t="shared" si="50"/>
        <v>-171.716025291812</v>
      </c>
      <c r="R44" s="3933">
        <f t="shared" si="51"/>
        <v>-9.2981445813291561</v>
      </c>
      <c r="S44" s="3891"/>
      <c r="T44" s="3934">
        <f>IF(Q44="NA","NA",Q44/Table8s2!$G$34*100)</f>
        <v>-3.9137996505633786E-2</v>
      </c>
      <c r="U44" s="721"/>
    </row>
    <row r="45" spans="2:21" ht="18" customHeight="1" x14ac:dyDescent="0.2">
      <c r="B45" s="606" t="s">
        <v>1984</v>
      </c>
      <c r="C45" s="3849">
        <v>-837.10798999087615</v>
      </c>
      <c r="D45" s="3849">
        <f>Summary2!C46</f>
        <v>-709.86503669737328</v>
      </c>
      <c r="E45" s="3933">
        <f t="shared" si="48"/>
        <v>127.24295329350286</v>
      </c>
      <c r="F45" s="3933">
        <f t="shared" si="49"/>
        <v>-15.200303284035041</v>
      </c>
      <c r="G45" s="3891"/>
      <c r="H45" s="3933">
        <f>IF(E45="NA","NA",E45/Table8s2!$G$34*100)</f>
        <v>2.9001569614161709E-2</v>
      </c>
      <c r="I45" s="3850">
        <v>2222.4737231342142</v>
      </c>
      <c r="J45" s="3849">
        <f>Summary2!D46</f>
        <v>2010.4572202271449</v>
      </c>
      <c r="K45" s="3933">
        <f t="shared" si="44"/>
        <v>-212.01650290706925</v>
      </c>
      <c r="L45" s="3933">
        <f t="shared" si="45"/>
        <v>-9.5396629755458147</v>
      </c>
      <c r="M45" s="3891"/>
      <c r="N45" s="3934">
        <f>IF(K45="NA","NA",K45/Table8s2!$G$34*100)</f>
        <v>-4.8323394021100974E-2</v>
      </c>
      <c r="O45" s="3850">
        <v>66.763140442563838</v>
      </c>
      <c r="P45" s="3849">
        <f>Summary2!E46</f>
        <v>80.291644806965962</v>
      </c>
      <c r="Q45" s="3933">
        <f t="shared" si="50"/>
        <v>13.528504364402124</v>
      </c>
      <c r="R45" s="3933">
        <f t="shared" si="51"/>
        <v>20.263433197904558</v>
      </c>
      <c r="S45" s="3891"/>
      <c r="T45" s="3934">
        <f>IF(Q45="NA","NA",Q45/Table8s2!$G$34*100)</f>
        <v>3.0834545327999103E-3</v>
      </c>
      <c r="U45" s="721"/>
    </row>
    <row r="46" spans="2:21" ht="18" customHeight="1" x14ac:dyDescent="0.2">
      <c r="B46" s="606" t="s">
        <v>1985</v>
      </c>
      <c r="C46" s="3849">
        <v>3073.3592522749436</v>
      </c>
      <c r="D46" s="3849">
        <f>Summary2!C47</f>
        <v>2301.3620338815936</v>
      </c>
      <c r="E46" s="3933">
        <f t="shared" si="48"/>
        <v>-771.99721839335007</v>
      </c>
      <c r="F46" s="3933">
        <f t="shared" si="49"/>
        <v>-25.11900350803138</v>
      </c>
      <c r="G46" s="3891"/>
      <c r="H46" s="3933">
        <f>IF(E46="NA","NA",E46/Table8s2!$G$34*100)</f>
        <v>-0.17595576408487171</v>
      </c>
      <c r="I46" s="3850">
        <v>13.699526400000002</v>
      </c>
      <c r="J46" s="3849">
        <f>Summary2!D47</f>
        <v>17.140106464171964</v>
      </c>
      <c r="K46" s="3933">
        <f t="shared" si="44"/>
        <v>3.4405800641719626</v>
      </c>
      <c r="L46" s="3933">
        <f t="shared" si="45"/>
        <v>25.114591291068006</v>
      </c>
      <c r="M46" s="3891"/>
      <c r="N46" s="3934">
        <f>IF(K46="NA","NA",K46/Table8s2!$G$34*100)</f>
        <v>7.8418662614674706E-4</v>
      </c>
      <c r="O46" s="3850">
        <v>11.607912188309104</v>
      </c>
      <c r="P46" s="3849">
        <f>Summary2!E47</f>
        <v>8.3568695909751707</v>
      </c>
      <c r="Q46" s="3933">
        <f t="shared" si="50"/>
        <v>-3.2510425973339334</v>
      </c>
      <c r="R46" s="3933">
        <f t="shared" si="51"/>
        <v>-28.007126041220552</v>
      </c>
      <c r="S46" s="3891"/>
      <c r="T46" s="3934">
        <f>IF(Q46="NA","NA",Q46/Table8s2!$G$34*100)</f>
        <v>-7.4098671686520382E-4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-4912.7012909674959</v>
      </c>
      <c r="D48" s="3849">
        <f>Summary2!C49</f>
        <v>-4931.3029599785514</v>
      </c>
      <c r="E48" s="3933">
        <f t="shared" si="48"/>
        <v>-18.601669011055492</v>
      </c>
      <c r="F48" s="3933">
        <f t="shared" si="49"/>
        <v>0.3786444139247091</v>
      </c>
      <c r="G48" s="3891"/>
      <c r="H48" s="3933">
        <f>IF(E48="NA","NA",E48/Table8s2!$G$34*100)</f>
        <v>-4.2397444007712028E-3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60.268262135714302</v>
      </c>
      <c r="P49" s="3857">
        <f>Summary2!E50</f>
        <v>76.33989657539145</v>
      </c>
      <c r="Q49" s="3935">
        <f t="shared" ref="Q49:Q50" si="52">IF(P49="NO",IF(O49="NO","NA",-O49),IF(O49="NO",P49,P49-O49))</f>
        <v>16.071634439677148</v>
      </c>
      <c r="R49" s="3935">
        <f t="shared" ref="R49:R50" si="53">IF(Q49="NA","NA",Q49/O49*100)</f>
        <v>26.66682905753354</v>
      </c>
      <c r="S49" s="3936"/>
      <c r="T49" s="3941">
        <f>IF(Q49="NA","NA",Q49/Table8s2!$G$34*100)</f>
        <v>3.6630918487134418E-3</v>
      </c>
      <c r="U49" s="721"/>
    </row>
    <row r="50" spans="2:21" ht="18" customHeight="1" x14ac:dyDescent="0.2">
      <c r="B50" s="718" t="s">
        <v>1955</v>
      </c>
      <c r="C50" s="3841">
        <f>SUM(C51:C55)</f>
        <v>32.297548304455532</v>
      </c>
      <c r="D50" s="3841">
        <f>Summary2!C51</f>
        <v>32.297548304455532</v>
      </c>
      <c r="E50" s="3841">
        <f t="shared" si="48"/>
        <v>0</v>
      </c>
      <c r="F50" s="3841">
        <f t="shared" si="49"/>
        <v>0</v>
      </c>
      <c r="G50" s="3846">
        <f>IF(E50="NA","NA",E50/Table8s2!$G$35*100)</f>
        <v>0</v>
      </c>
      <c r="H50" s="3847">
        <f>IF(E50="NA","NA",E50/Table8s2!$G$34*100)</f>
        <v>0</v>
      </c>
      <c r="I50" s="3841">
        <f>SUM(I51:I55)</f>
        <v>12986.762502306447</v>
      </c>
      <c r="J50" s="3841">
        <f>Summary2!D51</f>
        <v>13061.888811703553</v>
      </c>
      <c r="K50" s="3841">
        <f t="shared" ref="K50" si="54">IF(J50="NO",IF(I50="NO","NA",-I50),IF(I50="NO",J50,J50-I50))</f>
        <v>75.126309397106525</v>
      </c>
      <c r="L50" s="3841">
        <f t="shared" ref="L50" si="55">IF(K50="NA","NA",K50/I50*100)</f>
        <v>0.57848373976011425</v>
      </c>
      <c r="M50" s="3846">
        <f>IF(K50="NA","NA",K50/Table8s2!$G$35*100)</f>
        <v>1.4248001111106398E-2</v>
      </c>
      <c r="N50" s="3847">
        <f>IF(K50="NA","NA",K50/Table8s2!$G$34*100)</f>
        <v>1.7122998448563093E-2</v>
      </c>
      <c r="O50" s="3841">
        <f>SUM(O51:O55)</f>
        <v>339.15965553586443</v>
      </c>
      <c r="P50" s="3841">
        <f>Summary2!E51</f>
        <v>352.36136379864507</v>
      </c>
      <c r="Q50" s="3841">
        <f t="shared" si="52"/>
        <v>13.201708262780642</v>
      </c>
      <c r="R50" s="3841">
        <f t="shared" si="53"/>
        <v>3.8924760204518574</v>
      </c>
      <c r="S50" s="3846">
        <f>IF(Q50="NA","NA",Q50/Table8s2!$G$35*100)</f>
        <v>2.5037560810067644E-3</v>
      </c>
      <c r="T50" s="3847">
        <f>IF(Q50="NA","NA",Q50/Table8s2!$G$34*100)</f>
        <v>3.0089702517808216E-3</v>
      </c>
    </row>
    <row r="51" spans="2:21" ht="18" customHeight="1" x14ac:dyDescent="0.2">
      <c r="B51" s="606" t="s">
        <v>1989</v>
      </c>
      <c r="C51" s="3920"/>
      <c r="D51" s="3920"/>
      <c r="E51" s="3890"/>
      <c r="F51" s="3905"/>
      <c r="G51" s="3906"/>
      <c r="H51" s="3907"/>
      <c r="I51" s="3841">
        <v>10075.906105055357</v>
      </c>
      <c r="J51" s="3841">
        <f>Summary2!D52</f>
        <v>10079.112871570307</v>
      </c>
      <c r="K51" s="3841">
        <f t="shared" ref="K51:K52" si="56">IF(J51="NO",IF(I51="NO","NA",-I51),IF(I51="NO",J51,J51-I51))</f>
        <v>3.206766514949777</v>
      </c>
      <c r="L51" s="3841">
        <f t="shared" ref="L51:L52" si="57">IF(K51="NA","NA",K51/I51*100)</f>
        <v>3.1826085728814547E-2</v>
      </c>
      <c r="M51" s="3846">
        <f>IF(K51="NA","NA",K51/Table8s2!$G$35*100)</f>
        <v>6.0817592711166714E-4</v>
      </c>
      <c r="N51" s="3847">
        <f>IF(K51="NA","NA",K51/Table8s2!$G$34*100)</f>
        <v>7.3089518839726119E-4</v>
      </c>
      <c r="O51" s="3888"/>
      <c r="P51" s="3889"/>
      <c r="Q51" s="3942"/>
      <c r="R51" s="3943"/>
      <c r="S51" s="3944"/>
      <c r="T51" s="3945"/>
    </row>
    <row r="52" spans="2:21" ht="18" customHeight="1" x14ac:dyDescent="0.2">
      <c r="B52" s="1395" t="s">
        <v>1990</v>
      </c>
      <c r="C52" s="3920"/>
      <c r="D52" s="3920"/>
      <c r="E52" s="3890"/>
      <c r="F52" s="3905"/>
      <c r="G52" s="3906"/>
      <c r="H52" s="3907"/>
      <c r="I52" s="3851">
        <v>127.74354932865862</v>
      </c>
      <c r="J52" s="3849">
        <f>Summary2!D53</f>
        <v>127.74354932865862</v>
      </c>
      <c r="K52" s="3841">
        <f t="shared" si="56"/>
        <v>0</v>
      </c>
      <c r="L52" s="3841">
        <f t="shared" si="57"/>
        <v>0</v>
      </c>
      <c r="M52" s="3846">
        <f>IF(K52="NA","NA",K52/Table8s2!$G$35*100)</f>
        <v>0</v>
      </c>
      <c r="N52" s="3847">
        <f>IF(K52="NA","NA",K52/Table8s2!$G$34*100)</f>
        <v>0</v>
      </c>
      <c r="O52" s="3841">
        <v>154.75218547243216</v>
      </c>
      <c r="P52" s="3841">
        <f>Summary2!E53</f>
        <v>154.75218547243216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32.297548304455532</v>
      </c>
      <c r="D53" s="3841">
        <f>Summary2!C54</f>
        <v>32.297548304455532</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2783.1128479224303</v>
      </c>
      <c r="J54" s="3849">
        <f>Summary2!D55</f>
        <v>2855.0323908045857</v>
      </c>
      <c r="K54" s="3841">
        <f t="shared" ref="K54" si="62">IF(J54="NO",IF(I54="NO","NA",-I54),IF(I54="NO",J54,J54-I54))</f>
        <v>71.919542882155383</v>
      </c>
      <c r="L54" s="3841">
        <f t="shared" ref="L54" si="63">IF(K54="NA","NA",K54/I54*100)</f>
        <v>2.5841403784917558</v>
      </c>
      <c r="M54" s="3846">
        <f>IF(K54="NA","NA",K54/Table8s2!$G$35*100)</f>
        <v>1.363982518399447E-2</v>
      </c>
      <c r="N54" s="3847">
        <f>IF(K54="NA","NA",K54/Table8s2!$G$34*100)</f>
        <v>1.6392103260165523E-2</v>
      </c>
      <c r="O54" s="3841">
        <v>184.4074700634323</v>
      </c>
      <c r="P54" s="3841">
        <f>Summary2!E55</f>
        <v>197.60917832621288</v>
      </c>
      <c r="Q54" s="3841">
        <f t="shared" ref="Q54" si="64">IF(P54="NO",IF(O54="NO","NA",-O54),IF(O54="NO",P54,P54-O54))</f>
        <v>13.201708262780585</v>
      </c>
      <c r="R54" s="3841">
        <f t="shared" ref="R54" si="65">IF(Q54="NA","NA",Q54/O54*100)</f>
        <v>7.1589877884228201</v>
      </c>
      <c r="S54" s="3846">
        <f>IF(Q54="NA","NA",Q54/Table8s2!$G$35*100)</f>
        <v>2.5037560810067536E-3</v>
      </c>
      <c r="T54" s="3847">
        <f>IF(Q54="NA","NA",Q54/Table8s2!$G$34*100)</f>
        <v>3.0089702517808081E-3</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5244.5494330199999</v>
      </c>
      <c r="D59" s="3849">
        <f>Summary2!C60</f>
        <v>5098.2721709400003</v>
      </c>
      <c r="E59" s="3863">
        <f t="shared" ref="E59" si="66">IF(D59="NO",IF(C59="NO","NA",-C59),IF(C59="NO",D59,D59-C59))</f>
        <v>-146.27726207999967</v>
      </c>
      <c r="F59" s="3863">
        <f t="shared" ref="F59" si="67">IF(E59="NA","NA",E59/C59*100)</f>
        <v>-2.789129246433053</v>
      </c>
      <c r="G59" s="3864">
        <f>IF(E59="NA","NA",E59/Table8s2!$G$35*100)</f>
        <v>-2.7742060130078853E-2</v>
      </c>
      <c r="H59" s="3865">
        <f>IF(E59="NA","NA",E59/Table8s2!$G$34*100)</f>
        <v>-3.3339922481968209E-2</v>
      </c>
      <c r="I59" s="3849">
        <v>3.9897216663999981</v>
      </c>
      <c r="J59" s="3849">
        <f>Summary2!D60</f>
        <v>3.6001789575999998</v>
      </c>
      <c r="K59" s="3863">
        <f t="shared" ref="K59:K61" si="68">IF(J59="NO",IF(I59="NO","NA",-I59),IF(I59="NO",J59,J59-I59))</f>
        <v>-0.38954270879999831</v>
      </c>
      <c r="L59" s="3863">
        <f t="shared" ref="L59:L61" si="69">IF(K59="NA","NA",K59/I59*100)</f>
        <v>-9.7636562490207517</v>
      </c>
      <c r="M59" s="3864">
        <f>IF(K59="NA","NA",K59/Table8s2!$G$35*100)</f>
        <v>-7.3878312302927225E-5</v>
      </c>
      <c r="N59" s="3865">
        <f>IF(K59="NA","NA",K59/Table8s2!$G$34*100)</f>
        <v>-8.8785663131328208E-5</v>
      </c>
      <c r="O59" s="3850">
        <v>14.957019573682922</v>
      </c>
      <c r="P59" s="3849">
        <f>Summary2!E60</f>
        <v>13.903664289682929</v>
      </c>
      <c r="Q59" s="3863">
        <f t="shared" ref="Q59" si="70">IF(P59="NO",IF(O59="NO","NA",-O59),IF(O59="NO",P59,P59-O59))</f>
        <v>-1.0533552839999931</v>
      </c>
      <c r="R59" s="3968">
        <f t="shared" ref="R59" si="71">IF(Q59="NA","NA",Q59/O59*100)</f>
        <v>-7.0425480077152933</v>
      </c>
      <c r="S59" s="3969">
        <f>IF(Q59="NA","NA",Q59/Table8s2!$G$35*100)</f>
        <v>-1.9977298734975173E-4</v>
      </c>
      <c r="T59" s="3970">
        <f>IF(Q59="NA","NA",Q59/Table8s2!$G$34*100)</f>
        <v>-2.4008368091634613E-4</v>
      </c>
    </row>
    <row r="60" spans="2:21" ht="18" customHeight="1" x14ac:dyDescent="0.2">
      <c r="B60" s="1409" t="s">
        <v>218</v>
      </c>
      <c r="C60" s="3849">
        <v>3840.5573990400003</v>
      </c>
      <c r="D60" s="3849">
        <f>Summary2!C61</f>
        <v>3840.5573990400003</v>
      </c>
      <c r="E60" s="3863">
        <f t="shared" ref="E60:E61" si="72">IF(D60="NO",IF(C60="NO","NA",-C60),IF(C60="NO",D60,D60-C60))</f>
        <v>0</v>
      </c>
      <c r="F60" s="3863">
        <f t="shared" ref="F60:F61" si="73">IF(E60="NA","NA",E60/C60*100)</f>
        <v>0</v>
      </c>
      <c r="G60" s="3864">
        <f>IF(E60="NA","NA",E60/Table8s2!$G$35*100)</f>
        <v>0</v>
      </c>
      <c r="H60" s="3865">
        <f>IF(E60="NA","NA",E60/Table8s2!$G$34*100)</f>
        <v>0</v>
      </c>
      <c r="I60" s="3849">
        <v>0.23196784000000001</v>
      </c>
      <c r="J60" s="3849">
        <f>Summary2!D61</f>
        <v>0.23196784000000001</v>
      </c>
      <c r="K60" s="3863">
        <f t="shared" si="68"/>
        <v>0</v>
      </c>
      <c r="L60" s="3863">
        <f t="shared" si="69"/>
        <v>0</v>
      </c>
      <c r="M60" s="3864">
        <f>IF(K60="NA","NA",K60/Table8s2!$G$35*100)</f>
        <v>0</v>
      </c>
      <c r="N60" s="3865">
        <f>IF(K60="NA","NA",K60/Table8s2!$G$34*100)</f>
        <v>0</v>
      </c>
      <c r="O60" s="3850">
        <v>4.7957464716829286</v>
      </c>
      <c r="P60" s="3849">
        <f>Summary2!E61</f>
        <v>4.7957464716829286</v>
      </c>
      <c r="Q60" s="3863">
        <f t="shared" ref="Q60:Q61" si="74">IF(P60="NO",IF(O60="NO","NA",-O60),IF(O60="NO",P60,P60-O60))</f>
        <v>0</v>
      </c>
      <c r="R60" s="3968">
        <f t="shared" ref="R60:R61" si="75">IF(Q60="NA","NA",Q60/O60*100)</f>
        <v>0</v>
      </c>
      <c r="S60" s="3969">
        <f>IF(Q60="NA","NA",Q60/Table8s2!$G$35*100)</f>
        <v>0</v>
      </c>
      <c r="T60" s="3970">
        <f>IF(Q60="NA","NA",Q60/Table8s2!$G$34*100)</f>
        <v>0</v>
      </c>
    </row>
    <row r="61" spans="2:21" ht="18" customHeight="1" x14ac:dyDescent="0.2">
      <c r="B61" s="1410" t="s">
        <v>1963</v>
      </c>
      <c r="C61" s="3849">
        <v>1403.9920339799992</v>
      </c>
      <c r="D61" s="3849">
        <f>Summary2!C62</f>
        <v>1257.7147719</v>
      </c>
      <c r="E61" s="3863">
        <f t="shared" si="72"/>
        <v>-146.27726207999922</v>
      </c>
      <c r="F61" s="3863">
        <f t="shared" si="73"/>
        <v>-10.418667523727777</v>
      </c>
      <c r="G61" s="3864">
        <f>IF(E61="NA","NA",E61/Table8s2!$G$35*100)</f>
        <v>-2.7742060130078766E-2</v>
      </c>
      <c r="H61" s="3865">
        <f>IF(E61="NA","NA",E61/Table8s2!$G$34*100)</f>
        <v>-3.3339922481968105E-2</v>
      </c>
      <c r="I61" s="3849">
        <v>3.7577538263999983</v>
      </c>
      <c r="J61" s="3849">
        <f>Summary2!D62</f>
        <v>3.3682111176</v>
      </c>
      <c r="K61" s="3863">
        <f t="shared" si="68"/>
        <v>-0.38954270879999831</v>
      </c>
      <c r="L61" s="3863">
        <f t="shared" si="69"/>
        <v>-10.366371156707405</v>
      </c>
      <c r="M61" s="3864">
        <f>IF(K61="NA","NA",K61/Table8s2!$G$35*100)</f>
        <v>-7.3878312302927225E-5</v>
      </c>
      <c r="N61" s="3865">
        <f>IF(K61="NA","NA",K61/Table8s2!$G$34*100)</f>
        <v>-8.8785663131328208E-5</v>
      </c>
      <c r="O61" s="3850">
        <v>10.161273101999994</v>
      </c>
      <c r="P61" s="3849">
        <f>Summary2!E62</f>
        <v>9.1079178180000007</v>
      </c>
      <c r="Q61" s="3863">
        <f t="shared" si="74"/>
        <v>-1.0533552839999931</v>
      </c>
      <c r="R61" s="3968">
        <f t="shared" si="75"/>
        <v>-10.366371156707386</v>
      </c>
      <c r="S61" s="3969">
        <f>IF(Q61="NA","NA",Q61/Table8s2!$G$35*100)</f>
        <v>-1.9977298734975173E-4</v>
      </c>
      <c r="T61" s="3970">
        <f>IF(Q61="NA","NA",Q61/Table8s2!$G$34*100)</f>
        <v>-2.4008368091634613E-4</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16816.09</v>
      </c>
      <c r="D63" s="3849">
        <f>Summary2!C64</f>
        <v>17038.838972092974</v>
      </c>
      <c r="E63" s="3863">
        <f t="shared" ref="E63:E65" si="76">IF(D63="NO",IF(C63="NO","NA",-C63),IF(C63="NO",D63,D63-C63))</f>
        <v>222.74897209297342</v>
      </c>
      <c r="F63" s="3863">
        <f t="shared" ref="F63:F65" si="77">IF(E63="NA","NA",E63/C63*100)</f>
        <v>1.3246181014312686</v>
      </c>
      <c r="G63" s="3864">
        <f>IF(E63="NA","NA",E63/Table8s2!$G$35*100)</f>
        <v>4.2245221778466978E-2</v>
      </c>
      <c r="H63" s="3865">
        <f>IF(E63="NA","NA",E63/Table8s2!$G$34*100)</f>
        <v>5.076956839988081E-2</v>
      </c>
      <c r="I63" s="3971"/>
      <c r="J63" s="3971"/>
      <c r="K63" s="3972"/>
      <c r="L63" s="3972"/>
      <c r="M63" s="3973"/>
      <c r="N63" s="3974"/>
      <c r="O63" s="3975"/>
      <c r="P63" s="3971"/>
      <c r="Q63" s="3972"/>
      <c r="R63" s="3976"/>
      <c r="S63" s="3977"/>
      <c r="T63" s="3978"/>
    </row>
    <row r="64" spans="2:21" ht="18" customHeight="1" x14ac:dyDescent="0.2">
      <c r="B64" s="1412" t="s">
        <v>2191</v>
      </c>
      <c r="C64" s="3849">
        <f>D64</f>
        <v>2720.328</v>
      </c>
      <c r="D64" s="3851">
        <f>Summary2!C65</f>
        <v>2720.328</v>
      </c>
      <c r="E64" s="3863">
        <f t="shared" si="76"/>
        <v>0</v>
      </c>
      <c r="F64" s="3863">
        <f t="shared" si="77"/>
        <v>0</v>
      </c>
      <c r="G64" s="3864">
        <f>IF(E64="NA","NA",E64/Table8s2!$G$35*100)</f>
        <v>0</v>
      </c>
      <c r="H64" s="3865">
        <f>IF(E64="NA","NA",E64/Table8s2!$G$34*100)</f>
        <v>0</v>
      </c>
      <c r="I64" s="3971"/>
      <c r="J64" s="3971"/>
      <c r="K64" s="3971"/>
      <c r="L64" s="3971"/>
      <c r="M64" s="3980"/>
      <c r="N64" s="3978"/>
      <c r="O64" s="3981"/>
      <c r="P64" s="3982"/>
      <c r="Q64" s="3972"/>
      <c r="R64" s="3983"/>
      <c r="S64" s="3984"/>
      <c r="T64" s="3985"/>
    </row>
    <row r="65" spans="2:20" ht="18" customHeight="1" x14ac:dyDescent="0.2">
      <c r="B65" s="1413" t="s">
        <v>1965</v>
      </c>
      <c r="C65" s="3849">
        <v>323573.66044693574</v>
      </c>
      <c r="D65" s="3851">
        <f>Summary2!C66</f>
        <v>323256.03024599818</v>
      </c>
      <c r="E65" s="3979">
        <f t="shared" si="76"/>
        <v>-317.63020093756495</v>
      </c>
      <c r="F65" s="3986">
        <f t="shared" si="77"/>
        <v>-9.8163181916240849E-2</v>
      </c>
      <c r="G65" s="3987">
        <f>IF(E65="NA","NA",E65/Table8s2!$G$35*100)</f>
        <v>-6.0239821338191224E-2</v>
      </c>
      <c r="H65" s="3988">
        <f>IF(E65="NA","NA",E65/Table8s2!$G$34*100)</f>
        <v>-7.2395163312523672E-2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zoomScale="85" zoomScaleNormal="85" workbookViewId="0">
      <pane xSplit="2" ySplit="9" topLeftCell="I10" activePane="bottomRight" state="frozen"/>
      <selection pane="topRight" activeCell="C1" sqref="C1"/>
      <selection pane="bottomLeft" activeCell="A10" sqref="A10"/>
      <selection pane="bottomRight" activeCell="X2" sqref="X2"/>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11405.410872526387</v>
      </c>
      <c r="D10" s="4021">
        <f>IF(SUM(D11:D30)=0,"NO",SUM(D11:D30))</f>
        <v>11437.453695274007</v>
      </c>
      <c r="E10" s="4021">
        <f>IF(D10="NO",IF(C10="NO","NA",-C10),IF(C10="NO",D10,D10-C10))</f>
        <v>32.042822747620448</v>
      </c>
      <c r="F10" s="4021">
        <f>IF(E10="NA","NA",E10/C10*100)</f>
        <v>0.28094404581956733</v>
      </c>
      <c r="G10" s="4022">
        <f>IF(E10="NA","NA",E10/$G$35*100)</f>
        <v>6.0770478115442375E-3</v>
      </c>
      <c r="H10" s="4023">
        <f>IF(E10="NA","NA",E10/$G$34*100)</f>
        <v>7.3032897342913934E-3</v>
      </c>
      <c r="I10" s="4024">
        <f>IF(SUM(I11:I30)=0,"NO",SUM(I11:I30))</f>
        <v>291.48300000000006</v>
      </c>
      <c r="J10" s="4024">
        <f>IF(SUM(J11:J30)=0,"NO",SUM(J11:J30))</f>
        <v>291.483</v>
      </c>
      <c r="K10" s="4021">
        <f>IF(J10="NO",IF(I10="NO","NA",-I10),IF(I10="NO",J10,J10-I10))</f>
        <v>-5.6843418860808015E-14</v>
      </c>
      <c r="L10" s="4021">
        <f>IF(K10="NA","NA",K10/I10*100)</f>
        <v>-1.9501452524095058E-14</v>
      </c>
      <c r="M10" s="4022">
        <f>IF(K10="NA","NA",K10/$G$35*100)</f>
        <v>-1.0780578755796997E-17</v>
      </c>
      <c r="N10" s="4023">
        <f>IF(K10="NA","NA",K10/$G$34*100)</f>
        <v>-1.2955910928883262E-17</v>
      </c>
      <c r="O10" s="4020" t="s">
        <v>199</v>
      </c>
      <c r="P10" s="4021" t="s">
        <v>199</v>
      </c>
      <c r="Q10" s="4021" t="s">
        <v>205</v>
      </c>
      <c r="R10" s="4025" t="s">
        <v>205</v>
      </c>
      <c r="S10" s="4026" t="s">
        <v>205</v>
      </c>
      <c r="T10" s="4023" t="s">
        <v>205</v>
      </c>
      <c r="U10" s="4020" t="str">
        <f>IF(SUM(U11:U30)=0,"NO",SUM(U11:U30))</f>
        <v>NO</v>
      </c>
      <c r="V10" s="4021">
        <f>IF(SUM(V11:V30)=0,"NO",SUM(V11:V30))</f>
        <v>192.73345070777475</v>
      </c>
      <c r="W10" s="4021">
        <f>IF(V10="NO",IF(U10="NO","NA",-U10),IF(U10="NO",V10,V10-U10))</f>
        <v>192.73345070777475</v>
      </c>
      <c r="X10" s="4025" t="s">
        <v>205</v>
      </c>
      <c r="Y10" s="4026">
        <f>IF(W10="NA","NA",W10/$G$35*100)</f>
        <v>3.6552659672345209E-2</v>
      </c>
      <c r="Z10" s="4023">
        <f>IF(W10="NA","NA",W10/$G$34*100)</f>
        <v>4.3928346859303385E-2</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291.48300000000006</v>
      </c>
      <c r="J13" s="3841">
        <f>'Table2(II)'!AH41</f>
        <v>291.483</v>
      </c>
      <c r="K13" s="3849">
        <f>IF(J13="NO",IF(I13="NO","NA",-I13),IF(I13="NO",J13,J13-I13))</f>
        <v>-5.6843418860808015E-14</v>
      </c>
      <c r="L13" s="4018">
        <f>IF(K13="NA","NA",K13/I13*100)</f>
        <v>-1.9501452524095058E-14</v>
      </c>
      <c r="M13" s="3873">
        <f>IF(K13="NA","NA",K13/$G$35*100)</f>
        <v>-1.0780578755796997E-17</v>
      </c>
      <c r="N13" s="3874">
        <f>IF(K13="NA","NA",K13/$G$34*100)</f>
        <v>-1.2955910928883262E-17</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10820.507103146207</v>
      </c>
      <c r="D21" s="3849">
        <f>'Table2(I)'!F46</f>
        <v>10850.571926907411</v>
      </c>
      <c r="E21" s="3849">
        <f>IF(D21="NO",IF(C21="NO","NA",-C21),IF(C21="NO",D21,D21-C21))</f>
        <v>30.064823761204025</v>
      </c>
      <c r="F21" s="4018">
        <f>IF(E21="NA","NA",E21/C21*100)</f>
        <v>0.27785041379864972</v>
      </c>
      <c r="G21" s="3873">
        <f>IF(E21="NA","NA",E21/$G$35*100)</f>
        <v>5.7019124963344908E-3</v>
      </c>
      <c r="H21" s="3874">
        <f>IF(E21="NA","NA",E21/$G$34*100)</f>
        <v>6.8524586759381896E-3</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72.939488023138409</v>
      </c>
      <c r="D22" s="3849">
        <f>'Table2(I)'!F47</f>
        <v>73.87464575064979</v>
      </c>
      <c r="E22" s="3849">
        <f t="shared" ref="E22:E25" si="0">IF(D22="NO",IF(C22="NO","NA",-C22),IF(C22="NO",D22,D22-C22))</f>
        <v>0.93515772751138115</v>
      </c>
      <c r="F22" s="4018">
        <f t="shared" ref="F22:F25" si="1">IF(E22="NA","NA",E22/C22*100)</f>
        <v>1.28210075619769</v>
      </c>
      <c r="G22" s="3873">
        <f t="shared" ref="G22:G25" si="2">IF(E22="NA","NA",E22/$G$35*100)</f>
        <v>1.7735635421956545E-4</v>
      </c>
      <c r="H22" s="3874">
        <f t="shared" ref="H22:H25" si="3">IF(E22="NA","NA",E22/$G$34*100)</f>
        <v>2.131437634277812E-4</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82.248736934544084</v>
      </c>
      <c r="D23" s="3849">
        <f>'Table2(I)'!F48</f>
        <v>82.849454438092167</v>
      </c>
      <c r="E23" s="3849">
        <f t="shared" si="0"/>
        <v>0.60071750354808273</v>
      </c>
      <c r="F23" s="4018">
        <f t="shared" si="1"/>
        <v>0.73036684323329004</v>
      </c>
      <c r="G23" s="3873">
        <f t="shared" si="2"/>
        <v>1.1392844566305546E-4</v>
      </c>
      <c r="H23" s="3874">
        <f t="shared" si="3"/>
        <v>1.3691721267589224E-4</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126.53578526184324</v>
      </c>
      <c r="D24" s="3849">
        <f>'Table2(I)'!F49</f>
        <v>126.53578526184327</v>
      </c>
      <c r="E24" s="3849">
        <f t="shared" si="0"/>
        <v>2.8421709430404007E-14</v>
      </c>
      <c r="F24" s="4018">
        <f t="shared" si="1"/>
        <v>2.2461400442246714E-14</v>
      </c>
      <c r="G24" s="3873">
        <f t="shared" si="2"/>
        <v>5.3902893778984985E-18</v>
      </c>
      <c r="H24" s="3874">
        <f t="shared" si="3"/>
        <v>6.4779554644416308E-18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303.17975916065575</v>
      </c>
      <c r="D25" s="3849">
        <f>'Table2(I)'!F50</f>
        <v>303.62188291601086</v>
      </c>
      <c r="E25" s="3849">
        <f t="shared" si="0"/>
        <v>0.44212375535511228</v>
      </c>
      <c r="F25" s="4018">
        <f t="shared" si="1"/>
        <v>0.14582891568326292</v>
      </c>
      <c r="G25" s="3873">
        <f t="shared" si="2"/>
        <v>8.3850515326775683E-5</v>
      </c>
      <c r="H25" s="3874">
        <f t="shared" si="3"/>
        <v>1.0077008224910954E-4</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t="s">
        <v>199</v>
      </c>
      <c r="V27" s="3849">
        <f>IFERROR('Table2(I)'!I53*23500,'Table2(I)'!I53)</f>
        <v>166.83035154086451</v>
      </c>
      <c r="W27" s="3849">
        <f>IF(V27="NO",IF(U27="NO","NA",-U27),IF(U27="NO",V27,V27-U27))</f>
        <v>166.83035154086451</v>
      </c>
      <c r="X27" s="4018" t="s">
        <v>205</v>
      </c>
      <c r="Y27" s="3873">
        <f>IF(W27="NA","NA",W27/$G$35*100)</f>
        <v>3.1640034672221741E-2</v>
      </c>
      <c r="Z27" s="3874">
        <f>IF(W27="NA","NA",W27/$G$34*100)</f>
        <v>3.8024440086730539E-2</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t="s">
        <v>199</v>
      </c>
      <c r="V28" s="3849">
        <f>IFERROR('Table2(I)'!I54*23500,'Table2(I)'!I54)</f>
        <v>25.903099166910227</v>
      </c>
      <c r="W28" s="3849">
        <f>IF(V28="NO",IF(U28="NO","NA",-U28),IF(U28="NO",V28,V28-U28))</f>
        <v>25.903099166910227</v>
      </c>
      <c r="X28" s="4018" t="s">
        <v>205</v>
      </c>
      <c r="Y28" s="3873">
        <f>IF(W28="NA","NA",W28/$G$35*100)</f>
        <v>4.9126250001234675E-3</v>
      </c>
      <c r="Z28" s="3874">
        <f>IF(W28="NA","NA",W28/$G$34*100)</f>
        <v>5.9039067725728395E-3</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5">
        <f>SUM(Table8s1!C10,Table8s1!I10,Table8s1!O10,C10,I10,O10,U10,AA10)</f>
        <v>464608.30436245952</v>
      </c>
      <c r="F34" s="4546"/>
      <c r="G34" s="4545">
        <f>SUM(Table8s1!D10,Table8s1!J10,Table8s1!P10,D10,J10,P10,V10,AB10)</f>
        <v>438745.05754808895</v>
      </c>
      <c r="H34" s="4546"/>
      <c r="I34" s="3841">
        <f>G34-E34</f>
        <v>-25863.246814370563</v>
      </c>
      <c r="J34" s="4047">
        <f>IF(I34="NA","NA",I34/E34*100)</f>
        <v>-5.5666776877482604</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7">
        <f>E34-SUM(Table8s1!C41,Table8s1!I41,Table8s1!O41)</f>
        <v>528469.28656897834</v>
      </c>
      <c r="F35" s="4548"/>
      <c r="G35" s="4549">
        <f>G34-SUM(Table8s1!D41,Table8s1!J41,Table8s1!P41)</f>
        <v>527276.13376268721</v>
      </c>
      <c r="H35" s="4550"/>
      <c r="I35" s="3857">
        <f>G35-E35</f>
        <v>-1193.1528062911239</v>
      </c>
      <c r="J35" s="4048">
        <f>IF(I35="NA","NA",I35/E35*100)</f>
        <v>-0.22577524117579684</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topLeftCell="A18"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6" t="s">
        <v>2212</v>
      </c>
      <c r="F9" s="4557"/>
      <c r="G9" s="19"/>
    </row>
    <row r="10" spans="2:7" ht="14.25" thickTop="1" x14ac:dyDescent="0.2">
      <c r="B10" s="980" t="s">
        <v>2213</v>
      </c>
      <c r="C10" s="4123" t="s">
        <v>2214</v>
      </c>
      <c r="D10" s="4123" t="s">
        <v>2215</v>
      </c>
      <c r="E10" s="4558" t="s">
        <v>2216</v>
      </c>
      <c r="F10" s="4559"/>
    </row>
    <row r="11" spans="2:7" x14ac:dyDescent="0.2">
      <c r="B11" s="4122"/>
      <c r="C11" s="4124" t="s">
        <v>2214</v>
      </c>
      <c r="D11" s="4124" t="s">
        <v>2217</v>
      </c>
      <c r="E11" s="4560" t="s">
        <v>2218</v>
      </c>
      <c r="F11" s="4561"/>
    </row>
    <row r="12" spans="2:7" x14ac:dyDescent="0.2">
      <c r="B12" s="4122"/>
      <c r="C12" s="4124" t="s">
        <v>2214</v>
      </c>
      <c r="D12" s="4124" t="s">
        <v>2219</v>
      </c>
      <c r="E12" s="4554" t="s">
        <v>2218</v>
      </c>
      <c r="F12" s="4555"/>
    </row>
    <row r="13" spans="2:7" ht="55.5" customHeight="1" x14ac:dyDescent="0.2">
      <c r="B13" s="4122"/>
      <c r="C13" s="4124" t="s">
        <v>111</v>
      </c>
      <c r="D13" s="4124" t="s">
        <v>2220</v>
      </c>
      <c r="E13" s="4551" t="s">
        <v>2221</v>
      </c>
      <c r="F13" s="4553"/>
    </row>
    <row r="14" spans="2:7" ht="12.75" customHeight="1" x14ac:dyDescent="0.2">
      <c r="B14" s="4122"/>
      <c r="C14" s="4124" t="s">
        <v>111</v>
      </c>
      <c r="D14" s="4124" t="s">
        <v>814</v>
      </c>
      <c r="E14" s="4562" t="s">
        <v>2222</v>
      </c>
      <c r="F14" s="4563"/>
    </row>
    <row r="15" spans="2:7" ht="15.75" customHeight="1" x14ac:dyDescent="0.2">
      <c r="B15" s="4122"/>
      <c r="C15" s="4124" t="s">
        <v>111</v>
      </c>
      <c r="D15" s="4124" t="s">
        <v>2223</v>
      </c>
      <c r="E15" s="4551" t="s">
        <v>2224</v>
      </c>
      <c r="F15" s="4552"/>
    </row>
    <row r="16" spans="2:7" ht="48" customHeight="1" x14ac:dyDescent="0.2">
      <c r="B16" s="4122"/>
      <c r="C16" s="4124" t="s">
        <v>2225</v>
      </c>
      <c r="D16" s="4124" t="s">
        <v>2226</v>
      </c>
      <c r="E16" s="4551" t="s">
        <v>2227</v>
      </c>
      <c r="F16" s="4552"/>
    </row>
    <row r="17" spans="2:7" ht="17.25" customHeight="1" x14ac:dyDescent="0.2">
      <c r="B17" s="4122"/>
      <c r="C17" s="4124" t="s">
        <v>2225</v>
      </c>
      <c r="D17" s="4124" t="s">
        <v>2228</v>
      </c>
      <c r="E17" s="4554" t="s">
        <v>2229</v>
      </c>
      <c r="F17" s="4555"/>
    </row>
    <row r="18" spans="2:7" ht="54" customHeight="1" x14ac:dyDescent="0.2">
      <c r="B18" s="4122"/>
      <c r="C18" s="4124" t="s">
        <v>117</v>
      </c>
      <c r="D18" s="4124" t="s">
        <v>2230</v>
      </c>
      <c r="E18" s="4551" t="s">
        <v>2231</v>
      </c>
      <c r="F18" s="4552"/>
    </row>
    <row r="19" spans="2:7" ht="18.75" customHeight="1" x14ac:dyDescent="0.2">
      <c r="B19" s="4122"/>
      <c r="C19" s="4124" t="s">
        <v>117</v>
      </c>
      <c r="D19" s="4123" t="s">
        <v>2232</v>
      </c>
      <c r="E19" s="4551" t="s">
        <v>2233</v>
      </c>
      <c r="F19" s="4552"/>
    </row>
    <row r="20" spans="2:7" ht="16.5" customHeight="1" x14ac:dyDescent="0.2">
      <c r="B20" s="875"/>
      <c r="C20" s="4123" t="s">
        <v>2234</v>
      </c>
      <c r="D20" s="4123" t="s">
        <v>2235</v>
      </c>
      <c r="E20" s="4554" t="s">
        <v>2459</v>
      </c>
      <c r="F20" s="4555"/>
    </row>
    <row r="21" spans="2:7" ht="13.5" x14ac:dyDescent="0.2">
      <c r="B21" s="874" t="s">
        <v>2236</v>
      </c>
      <c r="C21" s="4124" t="s">
        <v>2214</v>
      </c>
      <c r="D21" s="4123" t="s">
        <v>2237</v>
      </c>
      <c r="E21" s="4554" t="s">
        <v>2218</v>
      </c>
      <c r="F21" s="4555"/>
    </row>
    <row r="22" spans="2:7" x14ac:dyDescent="0.2">
      <c r="B22" s="4122"/>
      <c r="C22" s="4123" t="s">
        <v>2214</v>
      </c>
      <c r="D22" s="4123" t="s">
        <v>2215</v>
      </c>
      <c r="E22" s="4554" t="s">
        <v>2238</v>
      </c>
      <c r="F22" s="4555"/>
    </row>
    <row r="23" spans="2:7" x14ac:dyDescent="0.2">
      <c r="B23" s="4122"/>
      <c r="C23" s="4123" t="s">
        <v>2214</v>
      </c>
      <c r="D23" s="4123" t="s">
        <v>2239</v>
      </c>
      <c r="E23" s="4554" t="s">
        <v>2218</v>
      </c>
      <c r="F23" s="4555"/>
      <c r="G23" s="4194"/>
    </row>
    <row r="24" spans="2:7" x14ac:dyDescent="0.2">
      <c r="B24" s="4122"/>
      <c r="C24" s="4123" t="s">
        <v>2214</v>
      </c>
      <c r="D24" s="4123" t="s">
        <v>2240</v>
      </c>
      <c r="E24" s="4554" t="s">
        <v>2218</v>
      </c>
      <c r="F24" s="4555"/>
    </row>
    <row r="25" spans="2:7" x14ac:dyDescent="0.2">
      <c r="B25" s="4122"/>
      <c r="C25" s="4123" t="s">
        <v>2214</v>
      </c>
      <c r="D25" s="4123" t="s">
        <v>2241</v>
      </c>
      <c r="E25" s="4551" t="s">
        <v>2242</v>
      </c>
      <c r="F25" s="4552"/>
    </row>
    <row r="26" spans="2:7" ht="48" customHeight="1" x14ac:dyDescent="0.2">
      <c r="B26" s="4122"/>
      <c r="C26" s="4124" t="s">
        <v>2225</v>
      </c>
      <c r="D26" s="4124" t="s">
        <v>2226</v>
      </c>
      <c r="E26" s="4551" t="s">
        <v>2227</v>
      </c>
      <c r="F26" s="4552"/>
    </row>
    <row r="27" spans="2:7" x14ac:dyDescent="0.2">
      <c r="B27" s="4122"/>
      <c r="C27" s="4124" t="s">
        <v>2225</v>
      </c>
      <c r="D27" s="4123" t="s">
        <v>2243</v>
      </c>
      <c r="E27" s="4554" t="s">
        <v>2244</v>
      </c>
      <c r="F27" s="4555"/>
    </row>
    <row r="28" spans="2:7" x14ac:dyDescent="0.2">
      <c r="B28" s="4122"/>
      <c r="C28" s="4124" t="s">
        <v>2225</v>
      </c>
      <c r="D28" s="4123" t="s">
        <v>2132</v>
      </c>
      <c r="E28" s="4554" t="s">
        <v>2245</v>
      </c>
      <c r="F28" s="4555"/>
    </row>
    <row r="29" spans="2:7" x14ac:dyDescent="0.2">
      <c r="B29" s="4122"/>
      <c r="C29" s="4124" t="s">
        <v>2225</v>
      </c>
      <c r="D29" s="4123" t="s">
        <v>2246</v>
      </c>
      <c r="E29" s="4554" t="s">
        <v>2247</v>
      </c>
      <c r="F29" s="4555"/>
    </row>
    <row r="30" spans="2:7" ht="48.75" customHeight="1" x14ac:dyDescent="0.2">
      <c r="B30" s="4122"/>
      <c r="C30" s="4124" t="s">
        <v>117</v>
      </c>
      <c r="D30" s="4124" t="s">
        <v>2230</v>
      </c>
      <c r="E30" s="4551" t="s">
        <v>2231</v>
      </c>
      <c r="F30" s="4552"/>
    </row>
    <row r="31" spans="2:7" ht="27" customHeight="1" x14ac:dyDescent="0.2">
      <c r="B31" s="4122"/>
      <c r="C31" s="4124" t="s">
        <v>117</v>
      </c>
      <c r="D31" s="4123" t="s">
        <v>2232</v>
      </c>
      <c r="E31" s="4551" t="s">
        <v>2248</v>
      </c>
      <c r="F31" s="4552"/>
    </row>
    <row r="32" spans="2:7" x14ac:dyDescent="0.2">
      <c r="B32" s="4122"/>
      <c r="C32" s="4123" t="s">
        <v>2234</v>
      </c>
      <c r="D32" s="4123" t="s">
        <v>2249</v>
      </c>
      <c r="E32" s="4554" t="s">
        <v>2250</v>
      </c>
      <c r="F32" s="4555"/>
    </row>
    <row r="33" spans="2:7" x14ac:dyDescent="0.2">
      <c r="B33" s="4122"/>
      <c r="C33" s="4123" t="s">
        <v>2234</v>
      </c>
      <c r="D33" s="4123" t="s">
        <v>2251</v>
      </c>
      <c r="E33" s="4554" t="s">
        <v>2252</v>
      </c>
      <c r="F33" s="4555"/>
    </row>
    <row r="34" spans="2:7" x14ac:dyDescent="0.2">
      <c r="B34" s="4122"/>
      <c r="C34" s="4123" t="s">
        <v>2234</v>
      </c>
      <c r="D34" s="4123" t="s">
        <v>2253</v>
      </c>
      <c r="E34" s="4554" t="s">
        <v>2259</v>
      </c>
      <c r="F34" s="4555"/>
    </row>
    <row r="35" spans="2:7" x14ac:dyDescent="0.2">
      <c r="B35" s="4122"/>
      <c r="C35" s="4123" t="s">
        <v>2234</v>
      </c>
      <c r="D35" s="4123" t="s">
        <v>2235</v>
      </c>
      <c r="E35" s="4554" t="s">
        <v>2260</v>
      </c>
      <c r="F35" s="4555"/>
    </row>
    <row r="36" spans="2:7" ht="13.5" x14ac:dyDescent="0.2">
      <c r="B36" s="874" t="s">
        <v>2254</v>
      </c>
      <c r="C36" s="4124" t="s">
        <v>2214</v>
      </c>
      <c r="D36" s="4123" t="s">
        <v>2237</v>
      </c>
      <c r="E36" s="4554" t="s">
        <v>2218</v>
      </c>
      <c r="F36" s="4555"/>
    </row>
    <row r="37" spans="2:7" x14ac:dyDescent="0.2">
      <c r="B37" s="4122"/>
      <c r="C37" s="4123" t="s">
        <v>2214</v>
      </c>
      <c r="D37" s="4123" t="s">
        <v>2215</v>
      </c>
      <c r="E37" s="4554" t="s">
        <v>2255</v>
      </c>
      <c r="F37" s="4555"/>
    </row>
    <row r="38" spans="2:7" x14ac:dyDescent="0.2">
      <c r="B38" s="4122"/>
      <c r="C38" s="4123" t="s">
        <v>2214</v>
      </c>
      <c r="D38" s="4123" t="s">
        <v>2239</v>
      </c>
      <c r="E38" s="4554" t="s">
        <v>2218</v>
      </c>
      <c r="F38" s="4555"/>
      <c r="G38" s="4194"/>
    </row>
    <row r="39" spans="2:7" ht="15" customHeight="1" x14ac:dyDescent="0.2">
      <c r="B39" s="4122"/>
      <c r="C39" s="4123" t="s">
        <v>2214</v>
      </c>
      <c r="D39" s="4123" t="s">
        <v>2240</v>
      </c>
      <c r="E39" s="4554" t="s">
        <v>2218</v>
      </c>
      <c r="F39" s="4555"/>
    </row>
    <row r="40" spans="2:7" ht="42.75" customHeight="1" x14ac:dyDescent="0.2">
      <c r="B40" s="4122"/>
      <c r="C40" s="4124" t="s">
        <v>2225</v>
      </c>
      <c r="D40" s="4124" t="s">
        <v>2226</v>
      </c>
      <c r="E40" s="4551" t="s">
        <v>2227</v>
      </c>
      <c r="F40" s="4552"/>
    </row>
    <row r="41" spans="2:7" x14ac:dyDescent="0.2">
      <c r="B41" s="4122"/>
      <c r="C41" s="4123" t="s">
        <v>2225</v>
      </c>
      <c r="D41" s="4123" t="s">
        <v>2256</v>
      </c>
      <c r="E41" s="4554" t="s">
        <v>2257</v>
      </c>
      <c r="F41" s="4555"/>
    </row>
    <row r="42" spans="2:7" x14ac:dyDescent="0.2">
      <c r="B42" s="4122"/>
      <c r="C42" s="4124" t="s">
        <v>2225</v>
      </c>
      <c r="D42" s="4123" t="s">
        <v>2246</v>
      </c>
      <c r="E42" s="4554" t="s">
        <v>2247</v>
      </c>
      <c r="F42" s="4555"/>
    </row>
    <row r="43" spans="2:7" ht="44.25" customHeight="1" x14ac:dyDescent="0.2">
      <c r="B43" s="4122"/>
      <c r="C43" s="4124" t="s">
        <v>117</v>
      </c>
      <c r="D43" s="4124" t="s">
        <v>2230</v>
      </c>
      <c r="E43" s="4551" t="s">
        <v>2231</v>
      </c>
      <c r="F43" s="4552"/>
    </row>
    <row r="44" spans="2:7" ht="12.75" customHeight="1" x14ac:dyDescent="0.2">
      <c r="B44" s="4122"/>
      <c r="C44" s="4124" t="s">
        <v>117</v>
      </c>
      <c r="D44" s="4123" t="s">
        <v>2232</v>
      </c>
      <c r="E44" s="4551" t="s">
        <v>2258</v>
      </c>
      <c r="F44" s="4552"/>
    </row>
    <row r="45" spans="2:7" x14ac:dyDescent="0.2">
      <c r="B45" s="4122"/>
      <c r="C45" s="4123" t="s">
        <v>2234</v>
      </c>
      <c r="D45" s="4123" t="s">
        <v>2249</v>
      </c>
      <c r="E45" s="4554" t="s">
        <v>2250</v>
      </c>
      <c r="F45" s="4555"/>
    </row>
    <row r="46" spans="2:7" x14ac:dyDescent="0.2">
      <c r="B46" s="4122"/>
      <c r="C46" s="4123" t="s">
        <v>2234</v>
      </c>
      <c r="D46" s="4123" t="s">
        <v>2251</v>
      </c>
      <c r="E46" s="4554" t="s">
        <v>2252</v>
      </c>
      <c r="F46" s="4555"/>
    </row>
    <row r="47" spans="2:7" x14ac:dyDescent="0.2">
      <c r="B47" s="4122"/>
      <c r="C47" s="4123" t="s">
        <v>2234</v>
      </c>
      <c r="D47" s="4123" t="s">
        <v>2253</v>
      </c>
      <c r="E47" s="4554" t="s">
        <v>2259</v>
      </c>
      <c r="F47" s="4555"/>
    </row>
    <row r="48" spans="2:7" x14ac:dyDescent="0.2">
      <c r="B48" s="875"/>
      <c r="C48" s="4123" t="s">
        <v>2234</v>
      </c>
      <c r="D48" s="4123" t="s">
        <v>2235</v>
      </c>
      <c r="E48" s="4554" t="s">
        <v>2260</v>
      </c>
      <c r="F48" s="4555"/>
    </row>
    <row r="49" spans="2:6" ht="18" customHeight="1" x14ac:dyDescent="0.2">
      <c r="B49" s="874" t="s">
        <v>2004</v>
      </c>
      <c r="C49" s="4123"/>
      <c r="D49" s="4123"/>
      <c r="E49" s="4554"/>
      <c r="F49" s="4555"/>
    </row>
    <row r="50" spans="2:6" ht="18" customHeight="1" x14ac:dyDescent="0.2">
      <c r="B50" s="875"/>
      <c r="C50" s="4123"/>
      <c r="D50" s="4123"/>
      <c r="E50" s="4554"/>
      <c r="F50" s="4555"/>
    </row>
    <row r="51" spans="2:6" ht="18" customHeight="1" x14ac:dyDescent="0.2">
      <c r="B51" s="874" t="s">
        <v>1971</v>
      </c>
      <c r="C51" s="4123"/>
      <c r="D51" s="4123"/>
      <c r="E51" s="4554"/>
      <c r="F51" s="4555"/>
    </row>
    <row r="52" spans="2:6" ht="18" customHeight="1" x14ac:dyDescent="0.2">
      <c r="B52" s="875"/>
      <c r="C52" s="4123"/>
      <c r="D52" s="4123"/>
      <c r="E52" s="4554"/>
      <c r="F52" s="4555"/>
    </row>
    <row r="53" spans="2:6" ht="18" customHeight="1" x14ac:dyDescent="0.2">
      <c r="B53" s="2578" t="s">
        <v>2261</v>
      </c>
      <c r="C53" s="4123"/>
      <c r="D53" s="4123"/>
      <c r="E53" s="4554"/>
      <c r="F53" s="4555"/>
    </row>
    <row r="54" spans="2:6" ht="18" customHeight="1" x14ac:dyDescent="0.2">
      <c r="B54" s="2579" t="s">
        <v>2262</v>
      </c>
      <c r="C54" s="4123"/>
      <c r="D54" s="4123"/>
      <c r="E54" s="4554"/>
      <c r="F54" s="4555"/>
    </row>
    <row r="55" spans="2:6" ht="18" customHeight="1" x14ac:dyDescent="0.2">
      <c r="B55" s="2578" t="s">
        <v>905</v>
      </c>
      <c r="C55" s="4123"/>
      <c r="D55" s="4123"/>
      <c r="E55" s="4554"/>
      <c r="F55" s="4555"/>
    </row>
    <row r="56" spans="2:6" ht="18" customHeight="1" x14ac:dyDescent="0.2">
      <c r="B56" s="2579"/>
      <c r="C56" s="4123"/>
      <c r="D56" s="4123"/>
      <c r="E56" s="4554"/>
      <c r="F56" s="4555"/>
    </row>
    <row r="57" spans="2:6" ht="18" customHeight="1" x14ac:dyDescent="0.2">
      <c r="B57" s="2580" t="s">
        <v>2263</v>
      </c>
      <c r="C57" s="4123"/>
      <c r="D57" s="4123"/>
      <c r="E57" s="4554"/>
      <c r="F57" s="4555"/>
    </row>
    <row r="58" spans="2:6" ht="18" customHeight="1" thickBot="1" x14ac:dyDescent="0.25">
      <c r="B58" s="2581"/>
      <c r="C58" s="4125"/>
      <c r="D58" s="4125"/>
      <c r="E58" s="4564"/>
      <c r="F58" s="4565"/>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X50" activePane="bottomRight" state="frozen"/>
      <selection pane="topRight" activeCell="E1" sqref="E1"/>
      <selection pane="bottomLeft" activeCell="A11" sqref="A11"/>
      <selection pane="bottomRight" activeCell="AJ10" sqref="AJ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E10"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1298003.4793776651</v>
      </c>
      <c r="D10" s="1938" t="s">
        <v>97</v>
      </c>
      <c r="E10" s="615"/>
      <c r="F10" s="615"/>
      <c r="G10" s="615"/>
      <c r="H10" s="1851">
        <f>IF(SUM(H11:H14)=0,"NO",SUM(H11:H14))</f>
        <v>88692.181352404077</v>
      </c>
      <c r="I10" s="1851">
        <f>IF(SUM(I11:I15)=0,"NO",SUM(I11:I15))</f>
        <v>11.627075175791759</v>
      </c>
      <c r="J10" s="2217">
        <f>IF(SUM(J11:J15)=0,"NO",SUM(J11:J15))</f>
        <v>4.0735815519180409</v>
      </c>
    </row>
    <row r="11" spans="2:11" ht="18" customHeight="1" x14ac:dyDescent="0.2">
      <c r="B11" s="282" t="s">
        <v>243</v>
      </c>
      <c r="C11" s="1938">
        <f>IF(SUM(C17:C18,C21:C24,C82,C89:C92,C100)=0,"NO",SUM(C17:C18,C21:C24,C82,C89:C92,C100))</f>
        <v>1275812.6451205779</v>
      </c>
      <c r="D11" s="1934" t="s">
        <v>97</v>
      </c>
      <c r="E11" s="1938">
        <f>IFERROR(H11*1000/$C11,"NA")</f>
        <v>68.792627054748522</v>
      </c>
      <c r="F11" s="1938">
        <f t="shared" ref="F11:G15" si="0">IFERROR(I11*1000000/$C11,"NA")</f>
        <v>8.8036143064108909</v>
      </c>
      <c r="G11" s="1938">
        <f t="shared" si="0"/>
        <v>3.1690604431017624</v>
      </c>
      <c r="H11" s="1938">
        <f>IF(SUM(H17:H18,H21:H24,H82,H89:H92,H100)=0,"NO",SUM(H17:H18,H21:H24,H82,H89:H92,H100))</f>
        <v>87766.503487512135</v>
      </c>
      <c r="I11" s="1938">
        <f>IF(SUM(I17:I18,I21:I24,I82,I89:I92,I100)=0,"NO",SUM(I17:I18,I21:I24,I82,I89:I92,I100))</f>
        <v>11.231762454883441</v>
      </c>
      <c r="J11" s="3064">
        <f>IF(SUM(J17:J18,J21:J24,J82,J89:J92,J100)=0,"NO",SUM(J17:J18,J21:J24,J82,J89:J92,J100))</f>
        <v>4.0431273864606503</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17986.819000000003</v>
      </c>
      <c r="D13" s="1934" t="s">
        <v>97</v>
      </c>
      <c r="E13" s="1938">
        <f t="shared" si="1"/>
        <v>51.411918339264993</v>
      </c>
      <c r="F13" s="1938">
        <f t="shared" si="0"/>
        <v>13.825821601586972</v>
      </c>
      <c r="G13" s="1938">
        <f t="shared" si="0"/>
        <v>0.15147659516671624</v>
      </c>
      <c r="H13" s="1938">
        <f>IF(SUM(H26,H84,H94,H102)=0,"NO",SUM(H26,H84,H94,H102))</f>
        <v>924.73686961114026</v>
      </c>
      <c r="I13" s="1938">
        <f>IF(SUM(I26,I84,I94,I102)=0,"NO",SUM(I26,I84,I94,I102))</f>
        <v>0.24868255067403502</v>
      </c>
      <c r="J13" s="3064">
        <f>IF(SUM(J26,J84,J94,J102)=0,"NO",SUM(J26,J84,J94,J102))</f>
        <v>2.7245821000000006E-3</v>
      </c>
    </row>
    <row r="14" spans="2:11" ht="18" customHeight="1" x14ac:dyDescent="0.2">
      <c r="B14" s="282" t="s">
        <v>290</v>
      </c>
      <c r="C14" s="1938">
        <f>IF(SUM(C28,C86,C96,C103)=0,"NO",SUM(C28,C86,C96,C103))</f>
        <v>12.837589097024679</v>
      </c>
      <c r="D14" s="1934" t="s">
        <v>97</v>
      </c>
      <c r="E14" s="1938">
        <f t="shared" si="1"/>
        <v>73.299999999999983</v>
      </c>
      <c r="F14" s="1938" t="str">
        <f t="shared" si="0"/>
        <v>NA</v>
      </c>
      <c r="G14" s="1938" t="str">
        <f t="shared" si="0"/>
        <v>NA</v>
      </c>
      <c r="H14" s="1938">
        <f>IF(SUM(H28,H86,H96,H103)=0,"NO",SUM(H28,H86,H96,H103))</f>
        <v>0.94099528081190886</v>
      </c>
      <c r="I14" s="1938" t="str">
        <f>IF(SUM(I28,I86,I96,I103)=0,"NO",SUM(I28,I86,I96,I103))</f>
        <v>NO</v>
      </c>
      <c r="J14" s="3064" t="str">
        <f>IF(SUM(J28,J86,J96,J103)=0,"NO",SUM(J28,J86,J96,J103))</f>
        <v>NO</v>
      </c>
    </row>
    <row r="15" spans="2:11" ht="18" customHeight="1" x14ac:dyDescent="0.2">
      <c r="B15" s="282" t="s">
        <v>249</v>
      </c>
      <c r="C15" s="1938">
        <f>IF(SUM(C19,C27,C85,C95,C104)=0,"NO",SUM(C19,C27,C85,C95,C104))</f>
        <v>4191.1776679903614</v>
      </c>
      <c r="D15" s="1938" t="s">
        <v>97</v>
      </c>
      <c r="E15" s="1938">
        <f t="shared" si="1"/>
        <v>67.259999999999991</v>
      </c>
      <c r="F15" s="1938">
        <f t="shared" si="0"/>
        <v>34.985434130878126</v>
      </c>
      <c r="G15" s="1938">
        <f t="shared" si="0"/>
        <v>6.6161794020739837</v>
      </c>
      <c r="H15" s="1938">
        <f>IF(SUM(H19,H27,H85,H95,H104)=0,"NO",SUM(H19,H27,H85,H95,H104))</f>
        <v>281.89860994903165</v>
      </c>
      <c r="I15" s="1938">
        <f>IF(SUM(I19,I27,I85,I95,I104)=0,"NO",SUM(I19,I27,I85,I95,I104))</f>
        <v>0.14663017023428418</v>
      </c>
      <c r="J15" s="3064">
        <f>IF(SUM(J19,J27,J85,J95,J104)=0,"NO",SUM(J19,J27,J85,J95,J104))</f>
        <v>2.7729583357390303E-2</v>
      </c>
    </row>
    <row r="16" spans="2:11" ht="18" customHeight="1" x14ac:dyDescent="0.2">
      <c r="B16" s="1240" t="s">
        <v>291</v>
      </c>
      <c r="C16" s="1938">
        <f>IF(SUM(C17:C19)=0,"NO",SUM(C17:C19))</f>
        <v>62993.499322246622</v>
      </c>
      <c r="D16" s="1934" t="s">
        <v>97</v>
      </c>
      <c r="E16" s="615"/>
      <c r="F16" s="615"/>
      <c r="G16" s="615"/>
      <c r="H16" s="1938">
        <f>IF(SUM(H17:H18)=0,"NO",SUM(H17:H18))</f>
        <v>4378.9753717280655</v>
      </c>
      <c r="I16" s="1938">
        <f>IF(SUM(I17:I19)=0,"NO",SUM(I17:I19))</f>
        <v>1.914254637692336E-2</v>
      </c>
      <c r="J16" s="3064">
        <f>IF(SUM(J17:J19)=0,"NO",SUM(J17:J19))</f>
        <v>3.4517822494398574E-2</v>
      </c>
    </row>
    <row r="17" spans="2:10" ht="18" customHeight="1" x14ac:dyDescent="0.2">
      <c r="B17" s="282" t="s">
        <v>292</v>
      </c>
      <c r="C17" s="699">
        <v>2066.2235001153845</v>
      </c>
      <c r="D17" s="1934" t="s">
        <v>97</v>
      </c>
      <c r="E17" s="1938">
        <f t="shared" ref="E17:E19" si="2">IFERROR(H17*1000/$C17,"NA")</f>
        <v>67.000000000000014</v>
      </c>
      <c r="F17" s="1938">
        <f t="shared" ref="F17:G19" si="3">IFERROR(I17*1000000/$C17,"NA")</f>
        <v>0.50000000000000011</v>
      </c>
      <c r="G17" s="1938">
        <f t="shared" si="3"/>
        <v>2.0000000000000004</v>
      </c>
      <c r="H17" s="699">
        <v>138.43697450773078</v>
      </c>
      <c r="I17" s="699">
        <v>1.0331117500576924E-3</v>
      </c>
      <c r="J17" s="2921">
        <v>4.1324470002307694E-3</v>
      </c>
    </row>
    <row r="18" spans="2:10" ht="18" customHeight="1" x14ac:dyDescent="0.2">
      <c r="B18" s="282" t="s">
        <v>293</v>
      </c>
      <c r="C18" s="699">
        <v>60927.27582213124</v>
      </c>
      <c r="D18" s="1934" t="s">
        <v>97</v>
      </c>
      <c r="E18" s="1938">
        <f t="shared" si="2"/>
        <v>69.599999999999994</v>
      </c>
      <c r="F18" s="1938">
        <f t="shared" si="3"/>
        <v>0.2972303353876129</v>
      </c>
      <c r="G18" s="1938">
        <f t="shared" si="3"/>
        <v>0.49871547815257167</v>
      </c>
      <c r="H18" s="699">
        <v>4240.5383972203344</v>
      </c>
      <c r="I18" s="699">
        <v>1.8109434626865668E-2</v>
      </c>
      <c r="J18" s="2921">
        <v>3.0385375494167803E-2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1137275.6286229559</v>
      </c>
      <c r="D20" s="1934" t="s">
        <v>97</v>
      </c>
      <c r="E20" s="615"/>
      <c r="F20" s="615"/>
      <c r="G20" s="615"/>
      <c r="H20" s="1938">
        <f>IF(SUM(H21:H24,H26,H28)=0,"NO",SUM(H21:H24,H26,H28))</f>
        <v>77811.111072260232</v>
      </c>
      <c r="I20" s="1938">
        <f>IF(SUM(I21:I24,I26:I28)=0,"NO",SUM(I21:I24,I26:I28))</f>
        <v>6.6449304164709657</v>
      </c>
      <c r="J20" s="3064">
        <f>IF(SUM(J21:J24,J26:J28)=0,"NO",SUM(J21:J24,J26:J28))</f>
        <v>2.428596897436798</v>
      </c>
    </row>
    <row r="21" spans="2:10" ht="18" customHeight="1" x14ac:dyDescent="0.2">
      <c r="B21" s="282" t="s">
        <v>281</v>
      </c>
      <c r="C21" s="1938">
        <f>IF(SUM(C31,C41,C51,C61,C72)=0,"NO",SUM(C31,C41,C51,C61,C72))</f>
        <v>515965.91207998962</v>
      </c>
      <c r="D21" s="1934" t="s">
        <v>97</v>
      </c>
      <c r="E21" s="1938">
        <f t="shared" ref="E21:E23" si="4">IFERROR(H21*1000/$C21,"NA")</f>
        <v>67.40000000000002</v>
      </c>
      <c r="F21" s="1938">
        <f t="shared" ref="F21:G23" si="5">IFERROR(I21*1000000/$C21,"NA")</f>
        <v>7.4065830406999789</v>
      </c>
      <c r="G21" s="1938">
        <f t="shared" si="5"/>
        <v>2.6761519498182853</v>
      </c>
      <c r="H21" s="1938">
        <f t="shared" ref="H21:J23" si="6">IF(SUM(H31,H41,H51,H61,H72)=0,"NO",SUM(H31,H41,H51,H61,H72))</f>
        <v>34776.102474191306</v>
      </c>
      <c r="I21" s="1938">
        <f t="shared" si="6"/>
        <v>3.8215443739909474</v>
      </c>
      <c r="J21" s="3064">
        <f t="shared" si="6"/>
        <v>1.3808031816526343</v>
      </c>
    </row>
    <row r="22" spans="2:10" ht="18" customHeight="1" x14ac:dyDescent="0.2">
      <c r="B22" s="282" t="s">
        <v>282</v>
      </c>
      <c r="C22" s="1938">
        <f>IF(SUM(C32,C42,C52,C62,C73)=0,"NO",SUM(C32,C42,C52,C62,C73))</f>
        <v>606986.7527118919</v>
      </c>
      <c r="D22" s="1934" t="s">
        <v>97</v>
      </c>
      <c r="E22" s="1938">
        <f t="shared" si="4"/>
        <v>69.900000000000006</v>
      </c>
      <c r="F22" s="1938">
        <f t="shared" si="5"/>
        <v>3.859740386841982</v>
      </c>
      <c r="G22" s="1938">
        <f t="shared" si="5"/>
        <v>1.6355271855404665</v>
      </c>
      <c r="H22" s="1938">
        <f t="shared" si="6"/>
        <v>42428.374014561254</v>
      </c>
      <c r="I22" s="1938">
        <f t="shared" si="6"/>
        <v>2.342811283720156</v>
      </c>
      <c r="J22" s="3064">
        <f t="shared" si="6"/>
        <v>0.99274333532322767</v>
      </c>
    </row>
    <row r="23" spans="2:10" ht="18" customHeight="1" x14ac:dyDescent="0.2">
      <c r="B23" s="282" t="s">
        <v>283</v>
      </c>
      <c r="C23" s="1938">
        <f>IF(SUM(C33,C43,C53,C63,C74)=0,"NO",SUM(C33,C43,C53,C63,C74))</f>
        <v>9194.9000000000015</v>
      </c>
      <c r="D23" s="1934" t="s">
        <v>97</v>
      </c>
      <c r="E23" s="1938">
        <f t="shared" si="4"/>
        <v>60.200000000000017</v>
      </c>
      <c r="F23" s="1938">
        <f t="shared" si="5"/>
        <v>31.390974474128068</v>
      </c>
      <c r="G23" s="1938">
        <f t="shared" si="5"/>
        <v>2.9100313537050098</v>
      </c>
      <c r="H23" s="1938">
        <f t="shared" si="6"/>
        <v>553.53298000000018</v>
      </c>
      <c r="I23" s="1938">
        <f t="shared" si="6"/>
        <v>0.28863687119216025</v>
      </c>
      <c r="J23" s="3064">
        <f t="shared" si="6"/>
        <v>2.67574472941822E-2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1028.7780000000002</v>
      </c>
      <c r="D26" s="1934" t="s">
        <v>97</v>
      </c>
      <c r="E26" s="1938">
        <f t="shared" si="7"/>
        <v>51.411918339265</v>
      </c>
      <c r="F26" s="1938">
        <f t="shared" si="8"/>
        <v>112.41587387928131</v>
      </c>
      <c r="G26" s="1938">
        <f t="shared" si="8"/>
        <v>1</v>
      </c>
      <c r="H26" s="1938">
        <f t="shared" ref="H26:J29" si="10">IF(SUM(H36,H46,H56,H66,H77)=0,"NO",SUM(H36,H46,H56,H66,H77))</f>
        <v>52.891450525232379</v>
      </c>
      <c r="I26" s="1938">
        <f t="shared" si="10"/>
        <v>0.11565097789777928</v>
      </c>
      <c r="J26" s="3064">
        <f t="shared" si="10"/>
        <v>1.0287780000000002E-3</v>
      </c>
    </row>
    <row r="27" spans="2:10" ht="18" customHeight="1" x14ac:dyDescent="0.2">
      <c r="B27" s="282" t="s">
        <v>249</v>
      </c>
      <c r="C27" s="1938">
        <f t="shared" si="9"/>
        <v>4096.4188053929747</v>
      </c>
      <c r="D27" s="1934" t="s">
        <v>97</v>
      </c>
      <c r="E27" s="1938">
        <f t="shared" si="7"/>
        <v>67.260000000000005</v>
      </c>
      <c r="F27" s="1938">
        <f t="shared" si="8"/>
        <v>18.622829670025276</v>
      </c>
      <c r="G27" s="1938">
        <f t="shared" si="8"/>
        <v>6.6556073638907876</v>
      </c>
      <c r="H27" s="1938">
        <f t="shared" si="10"/>
        <v>275.52512885073145</v>
      </c>
      <c r="I27" s="1938">
        <f t="shared" si="10"/>
        <v>7.6286909669921785E-2</v>
      </c>
      <c r="J27" s="3064">
        <f t="shared" si="10"/>
        <v>2.7264155166754185E-2</v>
      </c>
    </row>
    <row r="28" spans="2:10" ht="18" customHeight="1" x14ac:dyDescent="0.2">
      <c r="B28" s="282" t="s">
        <v>290</v>
      </c>
      <c r="C28" s="1938">
        <f>C29</f>
        <v>2.8670256814359578</v>
      </c>
      <c r="D28" s="1934" t="s">
        <v>97</v>
      </c>
      <c r="E28" s="615"/>
      <c r="F28" s="615"/>
      <c r="G28" s="615"/>
      <c r="H28" s="1938">
        <f>H29</f>
        <v>0.21015298244925568</v>
      </c>
      <c r="I28" s="1938" t="str">
        <f>I29</f>
        <v>NE</v>
      </c>
      <c r="J28" s="3064" t="str">
        <f>J29</f>
        <v>NE</v>
      </c>
    </row>
    <row r="29" spans="2:10" ht="18" customHeight="1" x14ac:dyDescent="0.2">
      <c r="B29" s="3083" t="s">
        <v>297</v>
      </c>
      <c r="C29" s="1938">
        <f t="shared" si="9"/>
        <v>2.8670256814359578</v>
      </c>
      <c r="D29" s="1934" t="s">
        <v>97</v>
      </c>
      <c r="E29" s="3081">
        <f t="shared" ref="E29" si="11">IFERROR(H29*1000/$C29,"NA")</f>
        <v>73.3</v>
      </c>
      <c r="F29" s="3081" t="str">
        <f>IFERROR(I29*1000000/$C29,"NA")</f>
        <v>NA</v>
      </c>
      <c r="G29" s="3081" t="str">
        <f>IFERROR(J29*1000000/$C29,"NA")</f>
        <v>NA</v>
      </c>
      <c r="H29" s="1938">
        <f t="shared" si="10"/>
        <v>0.21015298244925568</v>
      </c>
      <c r="I29" s="1938" t="str">
        <f>IF(SUM(I39,I49,I59,I69,I80)=0,"NE",SUM(I39,I49,I59,I69,I80))</f>
        <v>NE</v>
      </c>
      <c r="J29" s="3064" t="str">
        <f>IF(SUM(J39,J49,J59,J69,J80)=0,"NE",SUM(J39,J49,J59,J69,J80))</f>
        <v>NE</v>
      </c>
    </row>
    <row r="30" spans="2:10" ht="18" customHeight="1" x14ac:dyDescent="0.2">
      <c r="B30" s="1241" t="s">
        <v>298</v>
      </c>
      <c r="C30" s="1938">
        <f>IF(SUM(C31:C34,C36:C38)=0,"NO",SUM(C31:C34,C36:C38))</f>
        <v>589383.53499898408</v>
      </c>
      <c r="D30" s="1934" t="s">
        <v>97</v>
      </c>
      <c r="E30" s="615"/>
      <c r="F30" s="615"/>
      <c r="G30" s="615"/>
      <c r="H30" s="1938">
        <f>IF(SUM(H31:H34,H36,H38)=0,"NO",SUM(H31:H34,H36,H38))</f>
        <v>39716.743134916622</v>
      </c>
      <c r="I30" s="1938">
        <f>IF(SUM(I31:I34,I36:I38)=0,"NO",SUM(I31:I34,I36:I38))</f>
        <v>3.8375947945734938</v>
      </c>
      <c r="J30" s="3064">
        <f>IF(SUM(J31:J34,J36:J38)=0,"NO",SUM(J31:J34,J36:J38))</f>
        <v>1.3722575403003177</v>
      </c>
    </row>
    <row r="31" spans="2:10" ht="18" customHeight="1" x14ac:dyDescent="0.2">
      <c r="B31" s="282" t="s">
        <v>281</v>
      </c>
      <c r="C31" s="699">
        <v>461213.73193471337</v>
      </c>
      <c r="D31" s="1934" t="s">
        <v>97</v>
      </c>
      <c r="E31" s="1938">
        <f t="shared" ref="E31:E33" si="12">IFERROR(H31*1000/$C31,"NA")</f>
        <v>67.40000000000002</v>
      </c>
      <c r="F31" s="1938">
        <f t="shared" ref="F31:G33" si="13">IFERROR(I31*1000000/$C31,"NA")</f>
        <v>6.5257664271743101</v>
      </c>
      <c r="G31" s="1938">
        <f t="shared" si="13"/>
        <v>2.5773532647512214</v>
      </c>
      <c r="H31" s="699">
        <v>31085.805532399689</v>
      </c>
      <c r="I31" s="699">
        <v>3.0097730876113244</v>
      </c>
      <c r="J31" s="2921">
        <v>1.1887107177500282</v>
      </c>
    </row>
    <row r="32" spans="2:10" ht="18" customHeight="1" x14ac:dyDescent="0.2">
      <c r="B32" s="282" t="s">
        <v>282</v>
      </c>
      <c r="C32" s="699">
        <v>117121.37206111886</v>
      </c>
      <c r="D32" s="1934" t="s">
        <v>97</v>
      </c>
      <c r="E32" s="1938">
        <f t="shared" si="12"/>
        <v>69.900000000000006</v>
      </c>
      <c r="F32" s="1938">
        <f t="shared" si="13"/>
        <v>4.2542979499635756</v>
      </c>
      <c r="G32" s="1938">
        <f t="shared" si="13"/>
        <v>1.180799557921373</v>
      </c>
      <c r="H32" s="699">
        <v>8186.7839070722093</v>
      </c>
      <c r="I32" s="699">
        <v>0.49826921305653915</v>
      </c>
      <c r="J32" s="2921">
        <v>0.1382968643529138</v>
      </c>
    </row>
    <row r="33" spans="2:10" ht="18" customHeight="1" x14ac:dyDescent="0.2">
      <c r="B33" s="282" t="s">
        <v>283</v>
      </c>
      <c r="C33" s="699">
        <v>7353.042097026605</v>
      </c>
      <c r="D33" s="1934" t="s">
        <v>97</v>
      </c>
      <c r="E33" s="1938">
        <f t="shared" si="12"/>
        <v>60.20000000000001</v>
      </c>
      <c r="F33" s="1938">
        <f t="shared" si="13"/>
        <v>35.114466871122133</v>
      </c>
      <c r="G33" s="1938">
        <f t="shared" si="13"/>
        <v>3.1099173573957954</v>
      </c>
      <c r="H33" s="699">
        <v>442.65313424100168</v>
      </c>
      <c r="I33" s="699">
        <v>0.25819815311800715</v>
      </c>
      <c r="J33" s="2921">
        <v>2.2867353247205017E-2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29.187030015504288</v>
      </c>
      <c r="D36" s="1934" t="s">
        <v>97</v>
      </c>
      <c r="E36" s="1938">
        <f t="shared" si="14"/>
        <v>51.411918339265</v>
      </c>
      <c r="F36" s="1938">
        <f t="shared" si="15"/>
        <v>261</v>
      </c>
      <c r="G36" s="1938">
        <f t="shared" si="15"/>
        <v>1</v>
      </c>
      <c r="H36" s="699">
        <v>1.5005612037227829</v>
      </c>
      <c r="I36" s="699">
        <v>7.6178148340466196E-3</v>
      </c>
      <c r="J36" s="2921">
        <v>2.9187030015504287E-5</v>
      </c>
    </row>
    <row r="37" spans="2:10" ht="18" customHeight="1" x14ac:dyDescent="0.2">
      <c r="B37" s="282" t="s">
        <v>249</v>
      </c>
      <c r="C37" s="699">
        <v>3666.2018761096519</v>
      </c>
      <c r="D37" s="1934" t="s">
        <v>97</v>
      </c>
      <c r="E37" s="1938">
        <f t="shared" si="14"/>
        <v>67.259999999999991</v>
      </c>
      <c r="F37" s="1938">
        <f t="shared" si="15"/>
        <v>17.384892623864339</v>
      </c>
      <c r="G37" s="1938">
        <f t="shared" si="15"/>
        <v>6.0971595879153124</v>
      </c>
      <c r="H37" s="699">
        <v>246.58873818713516</v>
      </c>
      <c r="I37" s="699">
        <v>6.373652595357629E-2</v>
      </c>
      <c r="J37" s="2921">
        <v>2.2353417920155074E-2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239814.02290449134</v>
      </c>
      <c r="D40" s="1934" t="s">
        <v>97</v>
      </c>
      <c r="E40" s="615"/>
      <c r="F40" s="615"/>
      <c r="G40" s="615"/>
      <c r="H40" s="1938">
        <f>IF(SUM(H41:H44,H46,H48)=0,"NO",SUM(H41:H44,H46,H48))</f>
        <v>16594.094684885531</v>
      </c>
      <c r="I40" s="1938">
        <f>IF(SUM(I41:I44,I46:I48)=0,"NO",SUM(I41:I44,I46:I48))</f>
        <v>1.6295130846223878</v>
      </c>
      <c r="J40" s="3064">
        <f>IF(SUM(J41:J44,J46:J48)=0,"NO",SUM(J41:J44,J46:J48))</f>
        <v>0.50206655011753787</v>
      </c>
    </row>
    <row r="41" spans="2:10" ht="18" customHeight="1" x14ac:dyDescent="0.2">
      <c r="B41" s="282" t="s">
        <v>281</v>
      </c>
      <c r="C41" s="699">
        <v>50349.032790935853</v>
      </c>
      <c r="D41" s="1934" t="s">
        <v>97</v>
      </c>
      <c r="E41" s="1938">
        <f t="shared" ref="E41:E43" si="17">IFERROR(H41*1000/$C41,"NA")</f>
        <v>67.40000000000002</v>
      </c>
      <c r="F41" s="1938">
        <f t="shared" ref="F41:G43" si="18">IFERROR(I41*1000000/$C41,"NA")</f>
        <v>10.918974123038511</v>
      </c>
      <c r="G41" s="1938">
        <f t="shared" si="18"/>
        <v>3.7295780765903488</v>
      </c>
      <c r="H41" s="699">
        <v>3393.5248101090774</v>
      </c>
      <c r="I41" s="699">
        <v>0.54975978616424603</v>
      </c>
      <c r="J41" s="2921">
        <v>0.18778064887460294</v>
      </c>
    </row>
    <row r="42" spans="2:10" ht="18" customHeight="1" x14ac:dyDescent="0.2">
      <c r="B42" s="282" t="s">
        <v>282</v>
      </c>
      <c r="C42" s="699">
        <v>187738.66992149933</v>
      </c>
      <c r="D42" s="1934" t="s">
        <v>97</v>
      </c>
      <c r="E42" s="1938">
        <f t="shared" si="17"/>
        <v>69.90000000000002</v>
      </c>
      <c r="F42" s="1938">
        <f t="shared" si="18"/>
        <v>5.4920665679829286</v>
      </c>
      <c r="G42" s="1938">
        <f t="shared" si="18"/>
        <v>1.6322713076631106</v>
      </c>
      <c r="H42" s="699">
        <v>13122.933027512807</v>
      </c>
      <c r="I42" s="699">
        <v>1.0310732725934486</v>
      </c>
      <c r="J42" s="2921">
        <v>0.30644044425169881</v>
      </c>
    </row>
    <row r="43" spans="2:10" ht="18" customHeight="1" x14ac:dyDescent="0.2">
      <c r="B43" s="282" t="s">
        <v>283</v>
      </c>
      <c r="C43" s="699">
        <v>1251.8877934272302</v>
      </c>
      <c r="D43" s="1934" t="s">
        <v>97</v>
      </c>
      <c r="E43" s="1938">
        <f t="shared" si="17"/>
        <v>60.200000000000045</v>
      </c>
      <c r="F43" s="1938">
        <f t="shared" si="18"/>
        <v>19.641859900099213</v>
      </c>
      <c r="G43" s="1938">
        <f t="shared" si="18"/>
        <v>2.3089164144481438</v>
      </c>
      <c r="H43" s="699">
        <v>75.363645164319308</v>
      </c>
      <c r="I43" s="699">
        <v>2.4589404649142003E-2</v>
      </c>
      <c r="J43" s="2921">
        <v>2.8905042752913985E-3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44.215469345616071</v>
      </c>
      <c r="D46" s="1934" t="s">
        <v>97</v>
      </c>
      <c r="E46" s="1938">
        <f t="shared" si="19"/>
        <v>51.411918339264993</v>
      </c>
      <c r="F46" s="1938">
        <f t="shared" si="20"/>
        <v>261</v>
      </c>
      <c r="G46" s="1938">
        <f t="shared" si="20"/>
        <v>1</v>
      </c>
      <c r="H46" s="699">
        <v>2.273202099329088</v>
      </c>
      <c r="I46" s="699">
        <v>1.1540237499205795E-2</v>
      </c>
      <c r="J46" s="2921">
        <v>4.4215469345616072E-5</v>
      </c>
    </row>
    <row r="47" spans="2:10" ht="18" customHeight="1" x14ac:dyDescent="0.2">
      <c r="B47" s="282" t="s">
        <v>249</v>
      </c>
      <c r="C47" s="699">
        <v>430.21692928332305</v>
      </c>
      <c r="D47" s="1934" t="s">
        <v>97</v>
      </c>
      <c r="E47" s="1938">
        <f t="shared" si="19"/>
        <v>67.260000000000005</v>
      </c>
      <c r="F47" s="1938">
        <f t="shared" si="20"/>
        <v>29.172221877118027</v>
      </c>
      <c r="G47" s="1938">
        <f t="shared" si="20"/>
        <v>11.414560684024366</v>
      </c>
      <c r="H47" s="699">
        <v>28.93639066359631</v>
      </c>
      <c r="I47" s="699">
        <v>1.2550383716345495E-2</v>
      </c>
      <c r="J47" s="2921">
        <v>4.9107372465991101E-3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304820.70347537362</v>
      </c>
      <c r="D50" s="1934" t="s">
        <v>97</v>
      </c>
      <c r="E50" s="615"/>
      <c r="F50" s="615"/>
      <c r="G50" s="615"/>
      <c r="H50" s="1938">
        <f>IF(SUM(H51:H54,H56,H58)=0,"NO",SUM(H51:H54,H56,H58))</f>
        <v>21280.709784753759</v>
      </c>
      <c r="I50" s="1938">
        <f>IF(SUM(I51:I54,I56:I58)=0,"NO",SUM(I51:I54,I56:I58))</f>
        <v>0.93171695511949404</v>
      </c>
      <c r="J50" s="3064">
        <f>IF(SUM(J51:J54,J56:J58)=0,"NO",SUM(J51:J54,J56:J58))</f>
        <v>0.55099139925686835</v>
      </c>
    </row>
    <row r="51" spans="2:10" ht="18" customHeight="1" x14ac:dyDescent="0.2">
      <c r="B51" s="282" t="s">
        <v>281</v>
      </c>
      <c r="C51" s="699">
        <v>1148.6471359148863</v>
      </c>
      <c r="D51" s="1934" t="s">
        <v>97</v>
      </c>
      <c r="E51" s="1938">
        <f t="shared" ref="E51:E53" si="22">IFERROR(H51*1000/$C51,"NA")</f>
        <v>67.40000000000002</v>
      </c>
      <c r="F51" s="1938">
        <f t="shared" ref="F51:G53" si="23">IFERROR(I51*1000000/$C51,"NA")</f>
        <v>13.847523371151816</v>
      </c>
      <c r="G51" s="1938">
        <f t="shared" si="23"/>
        <v>0.89706162468066297</v>
      </c>
      <c r="H51" s="699">
        <v>77.418816960663364</v>
      </c>
      <c r="I51" s="699">
        <v>1.5905918059787985E-2</v>
      </c>
      <c r="J51" s="2921">
        <v>1.0304072659285983E-3</v>
      </c>
    </row>
    <row r="52" spans="2:10" ht="18" customHeight="1" x14ac:dyDescent="0.2">
      <c r="B52" s="282" t="s">
        <v>282</v>
      </c>
      <c r="C52" s="699">
        <v>302126.71072927373</v>
      </c>
      <c r="D52" s="1934" t="s">
        <v>97</v>
      </c>
      <c r="E52" s="1938">
        <f t="shared" si="22"/>
        <v>69.900000000000006</v>
      </c>
      <c r="F52" s="1938">
        <f t="shared" si="23"/>
        <v>2.6924756043800837</v>
      </c>
      <c r="G52" s="1938">
        <f t="shared" si="23"/>
        <v>1.8138284608991957</v>
      </c>
      <c r="H52" s="699">
        <v>21118.657079976234</v>
      </c>
      <c r="I52" s="699">
        <v>0.81346879807016803</v>
      </c>
      <c r="J52" s="2921">
        <v>0.54800602671861509</v>
      </c>
    </row>
    <row r="53" spans="2:10" ht="18" customHeight="1" x14ac:dyDescent="0.2">
      <c r="B53" s="282" t="s">
        <v>283</v>
      </c>
      <c r="C53" s="699">
        <v>589.97010954616599</v>
      </c>
      <c r="D53" s="1934" t="s">
        <v>97</v>
      </c>
      <c r="E53" s="1938">
        <f t="shared" si="22"/>
        <v>60.20000000000001</v>
      </c>
      <c r="F53" s="1938">
        <f t="shared" si="23"/>
        <v>9.9145928418487141</v>
      </c>
      <c r="G53" s="1938">
        <f t="shared" si="23"/>
        <v>1.6943057885673489</v>
      </c>
      <c r="H53" s="699">
        <v>35.516200594679198</v>
      </c>
      <c r="I53" s="699">
        <v>5.8493134250111193E-3</v>
      </c>
      <c r="J53" s="2921">
        <v>9.9958977168578206E-4</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955.37550063887977</v>
      </c>
      <c r="D56" s="1934" t="s">
        <v>97</v>
      </c>
      <c r="E56" s="1938">
        <f t="shared" si="24"/>
        <v>51.411918339265007</v>
      </c>
      <c r="F56" s="1938">
        <f t="shared" si="25"/>
        <v>101</v>
      </c>
      <c r="G56" s="1938">
        <f t="shared" si="25"/>
        <v>0.99999999999999989</v>
      </c>
      <c r="H56" s="699">
        <v>49.117687222180507</v>
      </c>
      <c r="I56" s="699">
        <v>9.6492925564526863E-2</v>
      </c>
      <c r="J56" s="2921">
        <v>9.553755006388797E-4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3257.367244106948</v>
      </c>
      <c r="D60" s="1934" t="s">
        <v>97</v>
      </c>
      <c r="E60" s="615"/>
      <c r="F60" s="615"/>
      <c r="G60" s="615"/>
      <c r="H60" s="1938">
        <f>IF(SUM(H61:H64,H66,H68)=0,"NO",SUM(H61:H64,H66,H68))</f>
        <v>219.56346770432876</v>
      </c>
      <c r="I60" s="1938">
        <f>IF(SUM(I61:I64,I66:I68)=0,"NO",SUM(I61:I64,I66:I68))</f>
        <v>0.2461055821555892</v>
      </c>
      <c r="J60" s="3064">
        <f>IF(SUM(J61:J64,J66:J68)=0,"NO",SUM(J61:J64,J66:J68))</f>
        <v>3.2814077620745225E-3</v>
      </c>
    </row>
    <row r="61" spans="2:10" ht="18" customHeight="1" x14ac:dyDescent="0.2">
      <c r="B61" s="282" t="s">
        <v>281</v>
      </c>
      <c r="C61" s="699">
        <v>3254.5002184255122</v>
      </c>
      <c r="D61" s="1934" t="s">
        <v>97</v>
      </c>
      <c r="E61" s="1938">
        <f t="shared" ref="E61:E63" si="27">IFERROR(H61*1000/$C61,"NA")</f>
        <v>67.400000000000006</v>
      </c>
      <c r="F61" s="1938">
        <f t="shared" ref="F61:G63" si="28">IFERROR(I61*1000000/$C61,"NA")</f>
        <v>75.620084694494835</v>
      </c>
      <c r="G61" s="1938">
        <f t="shared" si="28"/>
        <v>1.0082677959265978</v>
      </c>
      <c r="H61" s="699">
        <v>219.35331472187951</v>
      </c>
      <c r="I61" s="699">
        <v>0.2461055821555892</v>
      </c>
      <c r="J61" s="2921">
        <v>3.2814077620745225E-3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2.8670256814359578</v>
      </c>
      <c r="D68" s="1934" t="s">
        <v>97</v>
      </c>
      <c r="E68" s="615"/>
      <c r="F68" s="615"/>
      <c r="G68" s="615"/>
      <c r="H68" s="1938">
        <f>H69</f>
        <v>0.21015298244925568</v>
      </c>
      <c r="I68" s="1938" t="str">
        <f>I69</f>
        <v>NE</v>
      </c>
      <c r="J68" s="3064" t="str">
        <f>J69</f>
        <v>NE</v>
      </c>
    </row>
    <row r="69" spans="2:10" ht="18" customHeight="1" x14ac:dyDescent="0.2">
      <c r="B69" s="3083" t="s">
        <v>297</v>
      </c>
      <c r="C69" s="699">
        <v>2.8670256814359578</v>
      </c>
      <c r="D69" s="1934" t="s">
        <v>97</v>
      </c>
      <c r="E69" s="3081">
        <f t="shared" ref="E69" si="31">IFERROR(H69*1000/$C69,"NA")</f>
        <v>73.3</v>
      </c>
      <c r="F69" s="3081" t="str">
        <f>IFERROR(I69*1000000/$C69,"NA")</f>
        <v>NA</v>
      </c>
      <c r="G69" s="3081" t="str">
        <f>IFERROR(J69*1000000/$C69,"NA")</f>
        <v>NA</v>
      </c>
      <c r="H69" s="699">
        <v>0.21015298244925568</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52194.991999999998</v>
      </c>
      <c r="D81" s="1934" t="s">
        <v>97</v>
      </c>
      <c r="E81" s="615"/>
      <c r="F81" s="615"/>
      <c r="G81" s="615"/>
      <c r="H81" s="1938">
        <f>IF(SUM(H82:H84,H86)=0,"NO",SUM(H82:H84,H86))</f>
        <v>3648.4372890000004</v>
      </c>
      <c r="I81" s="1938">
        <f>IF(SUM(I82:I86)=0,"NO",SUM(I82:I86))</f>
        <v>0.20877202400000003</v>
      </c>
      <c r="J81" s="3064">
        <f>IF(SUM(J82:J86)=0,"NO",SUM(J82:J86))</f>
        <v>1.56579018</v>
      </c>
    </row>
    <row r="82" spans="2:10" ht="18" customHeight="1" x14ac:dyDescent="0.2">
      <c r="B82" s="282" t="s">
        <v>243</v>
      </c>
      <c r="C82" s="699">
        <v>52194.991999999998</v>
      </c>
      <c r="D82" s="1934" t="s">
        <v>97</v>
      </c>
      <c r="E82" s="1938">
        <f t="shared" ref="E82:E85" si="37">IFERROR(H82*1000/$C82,"NA")</f>
        <v>69.900140783621552</v>
      </c>
      <c r="F82" s="1938">
        <f t="shared" ref="F82:G85" si="38">IFERROR(I82*1000000/$C82,"NA")</f>
        <v>3.9998478014902279</v>
      </c>
      <c r="G82" s="1938">
        <f t="shared" si="38"/>
        <v>29.998858511176703</v>
      </c>
      <c r="H82" s="699">
        <v>3648.4372890000004</v>
      </c>
      <c r="I82" s="699">
        <v>0.20877202400000003</v>
      </c>
      <c r="J82" s="2921">
        <v>1.56579018</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28041.655311114428</v>
      </c>
      <c r="D88" s="1934" t="s">
        <v>97</v>
      </c>
      <c r="E88" s="615"/>
      <c r="F88" s="615"/>
      <c r="G88" s="615"/>
      <c r="H88" s="1938">
        <f>IF(SUM(H89:H92,H94,H96)=0,"NO",SUM(H89:H92,H94,H96))</f>
        <v>1945.6700979196662</v>
      </c>
      <c r="I88" s="3299">
        <f>IF(SUM(I89:I92,I94:I96)=0,"NE",SUM(I89:I92,I94:I96))</f>
        <v>4.5915374994990845</v>
      </c>
      <c r="J88" s="3300">
        <f>IF(SUM(J89:J92,J94:J96)=0,"NE",SUM(J89:J92,J94:J96))</f>
        <v>4.2862922906692955E-2</v>
      </c>
    </row>
    <row r="89" spans="2:10" ht="18" customHeight="1" x14ac:dyDescent="0.2">
      <c r="B89" s="282" t="s">
        <v>306</v>
      </c>
      <c r="C89" s="699">
        <v>6092.6100000000006</v>
      </c>
      <c r="D89" s="1934" t="s">
        <v>97</v>
      </c>
      <c r="E89" s="1938">
        <f t="shared" ref="E89:E91" si="40">IFERROR(H89*1000/$C89,"NA")</f>
        <v>73.59999999999998</v>
      </c>
      <c r="F89" s="1938">
        <f t="shared" ref="F89:G91" si="41">IFERROR(I89*1000000/$C89,"NA")</f>
        <v>6.9999999999999991</v>
      </c>
      <c r="G89" s="1938">
        <f t="shared" si="41"/>
        <v>2</v>
      </c>
      <c r="H89" s="699">
        <v>448.41609599999998</v>
      </c>
      <c r="I89" s="4435">
        <v>4.2648269999999995E-2</v>
      </c>
      <c r="J89" s="4436">
        <v>1.2185220000000002E-2</v>
      </c>
    </row>
    <row r="90" spans="2:10" ht="18" customHeight="1" x14ac:dyDescent="0.2">
      <c r="B90" s="282" t="s">
        <v>307</v>
      </c>
      <c r="C90" s="699">
        <v>9594.0307987218148</v>
      </c>
      <c r="D90" s="1934" t="s">
        <v>97</v>
      </c>
      <c r="E90" s="1938">
        <f t="shared" si="40"/>
        <v>69.900000000000006</v>
      </c>
      <c r="F90" s="1938">
        <f t="shared" si="41"/>
        <v>7</v>
      </c>
      <c r="G90" s="1938">
        <f t="shared" si="41"/>
        <v>2</v>
      </c>
      <c r="H90" s="699">
        <v>670.62275283065492</v>
      </c>
      <c r="I90" s="4435">
        <v>6.71582155910527E-2</v>
      </c>
      <c r="J90" s="4436">
        <v>1.9188061597443629E-2</v>
      </c>
    </row>
    <row r="91" spans="2:10" ht="18" customHeight="1" x14ac:dyDescent="0.2">
      <c r="B91" s="282" t="s">
        <v>281</v>
      </c>
      <c r="C91" s="699">
        <v>12263.069224599352</v>
      </c>
      <c r="D91" s="1934" t="s">
        <v>97</v>
      </c>
      <c r="E91" s="1938">
        <f t="shared" si="40"/>
        <v>67.399999999999991</v>
      </c>
      <c r="F91" s="1938">
        <f t="shared" si="41"/>
        <v>359.99999999999994</v>
      </c>
      <c r="G91" s="1938">
        <f t="shared" si="41"/>
        <v>0.89999999999999969</v>
      </c>
      <c r="H91" s="699">
        <v>826.53086573799635</v>
      </c>
      <c r="I91" s="4435">
        <v>4.4147049208557663</v>
      </c>
      <c r="J91" s="4436">
        <v>1.1036762302139414E-2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t="s">
        <v>199</v>
      </c>
      <c r="D94" s="1934" t="s">
        <v>97</v>
      </c>
      <c r="E94" s="1938" t="str">
        <f t="shared" ref="E94:E95" si="44">IFERROR(H94*1000/$C94,"NA")</f>
        <v>NA</v>
      </c>
      <c r="F94" s="1938" t="str">
        <f t="shared" si="43"/>
        <v>NA</v>
      </c>
      <c r="G94" s="1938" t="str">
        <f t="shared" si="43"/>
        <v>NA</v>
      </c>
      <c r="H94" s="699" t="s">
        <v>199</v>
      </c>
      <c r="I94" s="3301" t="s">
        <v>199</v>
      </c>
      <c r="J94" s="3302" t="s">
        <v>199</v>
      </c>
    </row>
    <row r="95" spans="2:10" ht="18" customHeight="1" x14ac:dyDescent="0.2">
      <c r="B95" s="282" t="s">
        <v>249</v>
      </c>
      <c r="C95" s="699">
        <v>90.575801421980657</v>
      </c>
      <c r="D95" s="1934" t="s">
        <v>97</v>
      </c>
      <c r="E95" s="1938">
        <f t="shared" si="44"/>
        <v>67.260000000000005</v>
      </c>
      <c r="F95" s="1938">
        <f t="shared" si="43"/>
        <v>739.99999999999989</v>
      </c>
      <c r="G95" s="1938">
        <f t="shared" si="43"/>
        <v>5</v>
      </c>
      <c r="H95" s="699">
        <v>6.0921284036424197</v>
      </c>
      <c r="I95" s="3301">
        <v>6.7026093052265673E-2</v>
      </c>
      <c r="J95" s="3302">
        <v>4.5287900710990327E-4</v>
      </c>
    </row>
    <row r="96" spans="2:10" ht="18" customHeight="1" x14ac:dyDescent="0.2">
      <c r="B96" s="282" t="s">
        <v>299</v>
      </c>
      <c r="C96" s="1938">
        <f>IF(SUM(C97:C98)=0,"NO",SUM(C97:C98))</f>
        <v>1.369486371280848</v>
      </c>
      <c r="D96" s="1934" t="s">
        <v>97</v>
      </c>
      <c r="E96" s="615"/>
      <c r="F96" s="615"/>
      <c r="G96" s="615"/>
      <c r="H96" s="1938">
        <f>IF(SUM(H97:H98)=0,"NO",SUM(H97:H98))</f>
        <v>0.10038335101488616</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1.369486371280848</v>
      </c>
      <c r="D98" s="1934" t="s">
        <v>97</v>
      </c>
      <c r="E98" s="3081">
        <f t="shared" ref="E98" si="46">IFERROR(H98*1000/$C98,"NA")</f>
        <v>73.3</v>
      </c>
      <c r="F98" s="3081" t="str">
        <f>IFERROR(I98*1000000/$C98,"NA")</f>
        <v>NA</v>
      </c>
      <c r="G98" s="3081" t="str">
        <f>IFERROR(J98*1000000/$C98,"NA")</f>
        <v>NA</v>
      </c>
      <c r="H98" s="699">
        <v>0.10038335101488616</v>
      </c>
      <c r="I98" s="3301" t="s">
        <v>221</v>
      </c>
      <c r="J98" s="3302" t="s">
        <v>221</v>
      </c>
    </row>
    <row r="99" spans="2:10" ht="18" customHeight="1" x14ac:dyDescent="0.2">
      <c r="B99" s="1240" t="s">
        <v>310</v>
      </c>
      <c r="C99" s="1938">
        <f>IF(SUM(C100:C104)=0,"NO",SUM(C100:C104))</f>
        <v>17497.704121348379</v>
      </c>
      <c r="D99" s="1934" t="s">
        <v>97</v>
      </c>
      <c r="E99" s="615"/>
      <c r="F99" s="615"/>
      <c r="G99" s="615"/>
      <c r="H99" s="1938">
        <f>IF(SUM(H100:H103)=0,"NO",SUM(H100:H103))</f>
        <v>907.98752149612778</v>
      </c>
      <c r="I99" s="1938">
        <f>IF(SUM(I100:I104)=0,"NO",SUM(I100:I104))</f>
        <v>0.16269268944478582</v>
      </c>
      <c r="J99" s="3064">
        <f>IF(SUM(J100:J104)=0,"NO",SUM(J100:J104))</f>
        <v>1.8137290801519511E-3</v>
      </c>
    </row>
    <row r="100" spans="2:10" ht="18" customHeight="1" x14ac:dyDescent="0.2">
      <c r="B100" s="282" t="s">
        <v>243</v>
      </c>
      <c r="C100" s="1938">
        <f>IF(SUM(C106,C113:C116)=0,"NO",SUM(C106,C113:C116))</f>
        <v>526.87898312866696</v>
      </c>
      <c r="D100" s="1934" t="s">
        <v>97</v>
      </c>
      <c r="E100" s="3081">
        <f t="shared" ref="E100:E104" si="47">IFERROR(H100*1000/$C100,"NA")</f>
        <v>67.399999999999991</v>
      </c>
      <c r="F100" s="3081">
        <f t="shared" ref="F100:G104" si="48">IFERROR(I100*1000000/$C100,"NA")</f>
        <v>49.999999999999993</v>
      </c>
      <c r="G100" s="3081">
        <f t="shared" si="48"/>
        <v>0.19999999999999998</v>
      </c>
      <c r="H100" s="1938">
        <f>IF(SUM(H106,H113:H116)=0,"NO",SUM(H106,H113:H116))</f>
        <v>35.511643462872151</v>
      </c>
      <c r="I100" s="1938">
        <f>IF(SUM(I106,I113:I116)=0,"NO",SUM(I106,I113:I116))</f>
        <v>2.6343949156433344E-2</v>
      </c>
      <c r="J100" s="3064">
        <f>IF(SUM(J106,J113:J116)=0,"NO",SUM(J106,J113:J116))</f>
        <v>1.0537579662573338E-4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16958.041000000001</v>
      </c>
      <c r="D102" s="1934" t="s">
        <v>97</v>
      </c>
      <c r="E102" s="3081">
        <f t="shared" si="47"/>
        <v>51.411918339265</v>
      </c>
      <c r="F102" s="3081">
        <f t="shared" si="48"/>
        <v>7.8447488584474909</v>
      </c>
      <c r="G102" s="3081">
        <f t="shared" si="48"/>
        <v>0.10000000000000002</v>
      </c>
      <c r="H102" s="1938">
        <f t="shared" si="49"/>
        <v>871.84541908590791</v>
      </c>
      <c r="I102" s="1938">
        <f t="shared" si="49"/>
        <v>0.13303157277625574</v>
      </c>
      <c r="J102" s="3064">
        <f t="shared" si="49"/>
        <v>1.6958041000000004E-3</v>
      </c>
    </row>
    <row r="103" spans="2:10" ht="18" customHeight="1" x14ac:dyDescent="0.2">
      <c r="B103" s="282" t="s">
        <v>290</v>
      </c>
      <c r="C103" s="1938">
        <f>IF(SUM(C109,C120)=0,"NO",SUM(C109,C120))</f>
        <v>8.601077044307873</v>
      </c>
      <c r="D103" s="1934" t="s">
        <v>97</v>
      </c>
      <c r="E103" s="3081">
        <f t="shared" si="47"/>
        <v>73.299999999999983</v>
      </c>
      <c r="F103" s="3081" t="str">
        <f t="shared" si="48"/>
        <v>NA</v>
      </c>
      <c r="G103" s="3081" t="str">
        <f t="shared" si="48"/>
        <v>NA</v>
      </c>
      <c r="H103" s="1938">
        <f t="shared" si="49"/>
        <v>0.63045894734776697</v>
      </c>
      <c r="I103" s="1938" t="str">
        <f t="shared" si="49"/>
        <v>NO</v>
      </c>
      <c r="J103" s="3064" t="str">
        <f t="shared" si="49"/>
        <v>NO</v>
      </c>
    </row>
    <row r="104" spans="2:10" ht="18" customHeight="1" x14ac:dyDescent="0.2">
      <c r="B104" s="282" t="s">
        <v>249</v>
      </c>
      <c r="C104" s="1938">
        <f>IF(SUM(C110,C121)=0,"NO",SUM(C110,C121))</f>
        <v>4.1830611754057054</v>
      </c>
      <c r="D104" s="1934" t="s">
        <v>97</v>
      </c>
      <c r="E104" s="3081">
        <f t="shared" si="47"/>
        <v>67.260000000000005</v>
      </c>
      <c r="F104" s="3081">
        <f t="shared" si="48"/>
        <v>793.00000000000011</v>
      </c>
      <c r="G104" s="3081">
        <f t="shared" si="48"/>
        <v>3.0000000000000004</v>
      </c>
      <c r="H104" s="1938">
        <f t="shared" si="49"/>
        <v>0.28135269465778778</v>
      </c>
      <c r="I104" s="1938">
        <f t="shared" si="49"/>
        <v>3.3171675120967246E-3</v>
      </c>
      <c r="J104" s="3064">
        <f t="shared" si="49"/>
        <v>1.254918352621712E-5</v>
      </c>
    </row>
    <row r="105" spans="2:10" ht="18" customHeight="1" x14ac:dyDescent="0.2">
      <c r="B105" s="1243" t="s">
        <v>311</v>
      </c>
      <c r="C105" s="1938">
        <f>IF(SUM(C106:C110)=0,"NO",SUM(C106:C110))</f>
        <v>16958.041000000001</v>
      </c>
      <c r="D105" s="1934" t="s">
        <v>97</v>
      </c>
      <c r="E105" s="615"/>
      <c r="F105" s="615"/>
      <c r="G105" s="615"/>
      <c r="H105" s="1938">
        <f>IF(SUM(H106:H109)=0,"NO",SUM(H106:H109))</f>
        <v>871.84541908590791</v>
      </c>
      <c r="I105" s="1938">
        <f>IF(SUM(I106:I110)=0,"NO",SUM(I106:I110))</f>
        <v>0.13303157277625574</v>
      </c>
      <c r="J105" s="3064">
        <f>IF(SUM(J106:J110)=0,"NO",SUM(J106:J110))</f>
        <v>1.6958041000000004E-3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16958.041000000001</v>
      </c>
      <c r="D108" s="1934" t="s">
        <v>97</v>
      </c>
      <c r="E108" s="3081">
        <f t="shared" si="50"/>
        <v>51.411918339265</v>
      </c>
      <c r="F108" s="3081">
        <f t="shared" si="51"/>
        <v>7.8447488584474909</v>
      </c>
      <c r="G108" s="3081">
        <f t="shared" si="51"/>
        <v>0.10000000000000002</v>
      </c>
      <c r="H108" s="699">
        <v>871.84541908590791</v>
      </c>
      <c r="I108" s="699">
        <v>0.13303157277625574</v>
      </c>
      <c r="J108" s="2921">
        <v>1.6958041000000004E-3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539.66312134838051</v>
      </c>
      <c r="D111" s="1934" t="s">
        <v>97</v>
      </c>
      <c r="E111" s="615"/>
      <c r="F111" s="615"/>
      <c r="G111" s="615"/>
      <c r="H111" s="1938">
        <f>H112</f>
        <v>36.14210241021992</v>
      </c>
      <c r="I111" s="1938">
        <f>I112</f>
        <v>2.9661116668530069E-2</v>
      </c>
      <c r="J111" s="3064">
        <f>J112</f>
        <v>1.1792498015195051E-4</v>
      </c>
    </row>
    <row r="112" spans="2:10" ht="18" customHeight="1" x14ac:dyDescent="0.2">
      <c r="B112" s="3068" t="s">
        <v>313</v>
      </c>
      <c r="C112" s="3077">
        <f>IF(SUM(C113:C116,C118:C121)=0,"NO",SUM(C113:C116,C118:C121))</f>
        <v>539.66312134838051</v>
      </c>
      <c r="D112" s="3077" t="s">
        <v>97</v>
      </c>
      <c r="E112" s="615"/>
      <c r="F112" s="615"/>
      <c r="G112" s="615"/>
      <c r="H112" s="3077">
        <f>IF(SUM(H113:H116,H118:H120)=0,"NO",SUM(H113:H116,H118:H120))</f>
        <v>36.14210241021992</v>
      </c>
      <c r="I112" s="3077">
        <f>IF(SUM(I113:I116,I118:I121)=0,"NO",SUM(I113:I116,I118:I121))</f>
        <v>2.9661116668530069E-2</v>
      </c>
      <c r="J112" s="3078">
        <f>IF(SUM(J113:J116,J118:J121)=0,"NO",SUM(J113:J116,J118:J121))</f>
        <v>1.1792498015195051E-4</v>
      </c>
    </row>
    <row r="113" spans="2:10" ht="18" customHeight="1" x14ac:dyDescent="0.2">
      <c r="B113" s="282" t="s">
        <v>281</v>
      </c>
      <c r="C113" s="699">
        <v>526.87898312866696</v>
      </c>
      <c r="D113" s="1938" t="s">
        <v>97</v>
      </c>
      <c r="E113" s="1938">
        <f t="shared" ref="E113:E115" si="52">IFERROR(H113*1000/$C113,"NA")</f>
        <v>67.399999999999991</v>
      </c>
      <c r="F113" s="1938">
        <f t="shared" ref="F113:G115" si="53">IFERROR(I113*1000000/$C113,"NA")</f>
        <v>49.999999999999993</v>
      </c>
      <c r="G113" s="1938">
        <f t="shared" si="53"/>
        <v>0.19999999999999998</v>
      </c>
      <c r="H113" s="699">
        <v>35.511643462872151</v>
      </c>
      <c r="I113" s="699">
        <v>2.6343949156433344E-2</v>
      </c>
      <c r="J113" s="2921">
        <v>1.0537579662573338E-4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8.601077044307873</v>
      </c>
      <c r="D120" s="1934" t="s">
        <v>97</v>
      </c>
      <c r="E120" s="3081">
        <f t="shared" si="54"/>
        <v>73.299999999999983</v>
      </c>
      <c r="F120" s="3081" t="str">
        <f t="shared" si="55"/>
        <v>NA</v>
      </c>
      <c r="G120" s="3081" t="str">
        <f t="shared" si="55"/>
        <v>NA</v>
      </c>
      <c r="H120" s="699">
        <v>0.63045894734776697</v>
      </c>
      <c r="I120" s="699" t="s">
        <v>221</v>
      </c>
      <c r="J120" s="2921" t="s">
        <v>221</v>
      </c>
    </row>
    <row r="121" spans="2:10" ht="18" customHeight="1" thickBot="1" x14ac:dyDescent="0.25">
      <c r="B121" s="2210" t="s">
        <v>249</v>
      </c>
      <c r="C121" s="1562">
        <v>4.1830611754057054</v>
      </c>
      <c r="D121" s="2891" t="s">
        <v>97</v>
      </c>
      <c r="E121" s="3082">
        <f t="shared" si="54"/>
        <v>67.260000000000005</v>
      </c>
      <c r="F121" s="3082">
        <f t="shared" si="55"/>
        <v>793.00000000000011</v>
      </c>
      <c r="G121" s="3082">
        <f t="shared" si="55"/>
        <v>3.0000000000000004</v>
      </c>
      <c r="H121" s="1562">
        <v>0.28135269465778778</v>
      </c>
      <c r="I121" s="1562">
        <v>3.3171675120967246E-3</v>
      </c>
      <c r="J121" s="1564">
        <v>1.254918352621712E-5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topLeftCell="A26"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430403.93909644766</v>
      </c>
      <c r="D10" s="3087" t="s">
        <v>97</v>
      </c>
      <c r="E10" s="2161"/>
      <c r="F10" s="2161"/>
      <c r="G10" s="2161"/>
      <c r="H10" s="3087">
        <f>IF(SUM(H11:H15)=0,"NO",SUM(H11:H15))</f>
        <v>22560.268192552965</v>
      </c>
      <c r="I10" s="3087">
        <f>IF(SUM(I11:I16)=0,"NO",SUM(I11:I16))</f>
        <v>35.427280177340101</v>
      </c>
      <c r="J10" s="3087">
        <f>IF(SUM(J11:J16)=0,"NO",SUM(J11:J16))</f>
        <v>0.74166403458600705</v>
      </c>
      <c r="K10" s="416" t="str">
        <f>IF(SUM(K11:K16)=0,"NO",SUM(K11:K16))</f>
        <v>NO</v>
      </c>
    </row>
    <row r="11" spans="2:12" ht="18" customHeight="1" x14ac:dyDescent="0.2">
      <c r="B11" s="282" t="s">
        <v>243</v>
      </c>
      <c r="C11" s="1938">
        <f>IF(SUM(C18,C39,C60)=0,"NO",SUM(C18,C39,C60))</f>
        <v>169643.29199124503</v>
      </c>
      <c r="D11" s="3087" t="s">
        <v>97</v>
      </c>
      <c r="E11" s="1938">
        <f t="shared" ref="E11:E16" si="0">IFERROR(H11*1000/$C11,"NA")</f>
        <v>68.633883331943636</v>
      </c>
      <c r="F11" s="1938">
        <f t="shared" ref="F11:G16" si="1">IFERROR(I11*1000000/$C11,"NA")</f>
        <v>8.251831561027247</v>
      </c>
      <c r="G11" s="1938">
        <f t="shared" si="1"/>
        <v>2.7016999168570202</v>
      </c>
      <c r="H11" s="1938">
        <f>IF(SUM(H18,H39,H60)=0,"NO",SUM(H18,H39,H60))</f>
        <v>11643.277910573959</v>
      </c>
      <c r="I11" s="1938">
        <f>IF(SUM(I18,I39,I60)=0,"NO",SUM(I18,I39,I60))</f>
        <v>1.3998678709699166</v>
      </c>
      <c r="J11" s="1938">
        <f>IF(SUM(J18,J39,J60)=0,"NO",SUM(J18,J39,J60))</f>
        <v>0.45832526786809791</v>
      </c>
      <c r="K11" s="3064" t="str">
        <f>IF(SUM(K18,K39,K60)=0,"NO",SUM(K18,K39,K60))</f>
        <v>NO</v>
      </c>
    </row>
    <row r="12" spans="2:12" ht="18" customHeight="1" x14ac:dyDescent="0.2">
      <c r="B12" s="282" t="s">
        <v>245</v>
      </c>
      <c r="C12" s="1938">
        <f t="shared" ref="C12:C16" si="2">IF(SUM(C19,C40,C61)=0,"NO",SUM(C19,C40,C61))</f>
        <v>107.20100000000002</v>
      </c>
      <c r="D12" s="3087" t="s">
        <v>97</v>
      </c>
      <c r="E12" s="1938">
        <f t="shared" si="0"/>
        <v>90</v>
      </c>
      <c r="F12" s="1938">
        <f t="shared" si="1"/>
        <v>0.95238095238095233</v>
      </c>
      <c r="G12" s="1938">
        <f t="shared" si="1"/>
        <v>0.66666666666666663</v>
      </c>
      <c r="H12" s="1938">
        <f t="shared" ref="H12:K16" si="3">IF(SUM(H19,H40,H61)=0,"NO",SUM(H19,H40,H61))</f>
        <v>9.6480900000000016</v>
      </c>
      <c r="I12" s="1938">
        <f t="shared" si="3"/>
        <v>1.0209619047619049E-4</v>
      </c>
      <c r="J12" s="1938">
        <f t="shared" si="3"/>
        <v>7.1467333333333346E-5</v>
      </c>
      <c r="K12" s="3064" t="str">
        <f t="shared" si="3"/>
        <v>NO</v>
      </c>
    </row>
    <row r="13" spans="2:12" ht="18" customHeight="1" x14ac:dyDescent="0.2">
      <c r="B13" s="282" t="s">
        <v>246</v>
      </c>
      <c r="C13" s="1938">
        <f t="shared" si="2"/>
        <v>212147.90776300005</v>
      </c>
      <c r="D13" s="3087" t="s">
        <v>97</v>
      </c>
      <c r="E13" s="1938">
        <f t="shared" si="0"/>
        <v>51.413856997185604</v>
      </c>
      <c r="F13" s="1938">
        <f t="shared" si="1"/>
        <v>0.90909090909090906</v>
      </c>
      <c r="G13" s="1938">
        <f t="shared" si="1"/>
        <v>0.90909090909090906</v>
      </c>
      <c r="H13" s="1938">
        <f t="shared" si="3"/>
        <v>10907.342191979005</v>
      </c>
      <c r="I13" s="1938">
        <f t="shared" si="3"/>
        <v>0.19286173433000003</v>
      </c>
      <c r="J13" s="1938">
        <f t="shared" si="3"/>
        <v>0.19286173433000003</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48505.538342202533</v>
      </c>
      <c r="D16" s="3087" t="s">
        <v>97</v>
      </c>
      <c r="E16" s="1938">
        <f t="shared" si="0"/>
        <v>77.126106582316169</v>
      </c>
      <c r="F16" s="1938">
        <f t="shared" si="1"/>
        <v>697.5378406719351</v>
      </c>
      <c r="G16" s="1938">
        <f t="shared" si="1"/>
        <v>1.8638194347369583</v>
      </c>
      <c r="H16" s="1938">
        <f t="shared" si="3"/>
        <v>3741.0433200133366</v>
      </c>
      <c r="I16" s="1938">
        <f t="shared" si="3"/>
        <v>33.834448475849712</v>
      </c>
      <c r="J16" s="1938">
        <f t="shared" si="3"/>
        <v>9.0405565054575782E-2</v>
      </c>
      <c r="K16" s="3064" t="str">
        <f t="shared" si="3"/>
        <v>NO</v>
      </c>
    </row>
    <row r="17" spans="2:11" ht="18" customHeight="1" x14ac:dyDescent="0.2">
      <c r="B17" s="1240" t="s">
        <v>322</v>
      </c>
      <c r="C17" s="3087">
        <f>IF(SUM(C18:C23)=0,"NO",SUM(C18:C23))</f>
        <v>86884.901813999997</v>
      </c>
      <c r="D17" s="3087" t="s">
        <v>97</v>
      </c>
      <c r="E17" s="615"/>
      <c r="F17" s="615"/>
      <c r="G17" s="615"/>
      <c r="H17" s="3057">
        <f>IF(SUM(H18:H22)=0,"NO",SUM(H18:H22))</f>
        <v>5157.0676096824118</v>
      </c>
      <c r="I17" s="3057">
        <f>IF(SUM(I18:I23)=0,"NO",SUM(I18:I23))</f>
        <v>0.10877428766985497</v>
      </c>
      <c r="J17" s="3088">
        <f>IF(SUM(J18:J23)=0,"NO",SUM(J18:J23))</f>
        <v>9.484643574604544E-2</v>
      </c>
      <c r="K17" s="3064" t="str">
        <f>IF(SUM(K18:K23)=0,"NO",SUM(K18:K23))</f>
        <v>NO</v>
      </c>
    </row>
    <row r="18" spans="2:11" ht="18" customHeight="1" x14ac:dyDescent="0.2">
      <c r="B18" s="282" t="s">
        <v>243</v>
      </c>
      <c r="C18" s="3087">
        <f>IF(SUM(C26,C33)=0,"NO",SUM(C26,C33))</f>
        <v>40579.665211</v>
      </c>
      <c r="D18" s="3087" t="s">
        <v>97</v>
      </c>
      <c r="E18" s="1938">
        <f t="shared" ref="E18" si="4">IFERROR(H18*1000/$C18,"NA")</f>
        <v>69.61709255187661</v>
      </c>
      <c r="F18" s="1938">
        <f t="shared" ref="F18:G23" si="5">IFERROR(I18*1000000/$C18,"NA")</f>
        <v>1.6020601323996138</v>
      </c>
      <c r="G18" s="1938">
        <f t="shared" si="5"/>
        <v>1.2741579131863281</v>
      </c>
      <c r="H18" s="3087">
        <f>IF(SUM(H26,H33)=0,"NO",SUM(H26,H33))</f>
        <v>2825.0383087183545</v>
      </c>
      <c r="I18" s="3087">
        <f>IF(SUM(I26,I33)=0,"NO",SUM(I26,I33))</f>
        <v>6.5011063820666654E-2</v>
      </c>
      <c r="J18" s="3087">
        <f>IF(SUM(J26,J33)=0,"NO",SUM(J26,J33))</f>
        <v>5.1704901543047598E-2</v>
      </c>
      <c r="K18" s="3064" t="str">
        <f>IF(SUM(K26,K33)=0,"NO",SUM(K26,K33))</f>
        <v>NO</v>
      </c>
    </row>
    <row r="19" spans="2:11" ht="18" customHeight="1" x14ac:dyDescent="0.2">
      <c r="B19" s="282" t="s">
        <v>245</v>
      </c>
      <c r="C19" s="3087">
        <f t="shared" ref="C19:C21" si="6">IF(SUM(C27,C34)=0,"NO",SUM(C27,C34))</f>
        <v>107.20100000000002</v>
      </c>
      <c r="D19" s="3087" t="s">
        <v>97</v>
      </c>
      <c r="E19" s="1938">
        <f t="shared" ref="E19:E23" si="7">IFERROR(H19*1000/$C19,"NA")</f>
        <v>90</v>
      </c>
      <c r="F19" s="1938">
        <f t="shared" si="5"/>
        <v>0.95238095238095233</v>
      </c>
      <c r="G19" s="1938">
        <f t="shared" si="5"/>
        <v>0.66666666666666663</v>
      </c>
      <c r="H19" s="3087">
        <f t="shared" ref="H19:K21" si="8">IF(SUM(H27,H34)=0,"NO",SUM(H27,H34))</f>
        <v>9.6480900000000016</v>
      </c>
      <c r="I19" s="3087">
        <f t="shared" si="8"/>
        <v>1.0209619047619049E-4</v>
      </c>
      <c r="J19" s="3087">
        <f t="shared" si="8"/>
        <v>7.1467333333333346E-5</v>
      </c>
      <c r="K19" s="3064" t="str">
        <f t="shared" si="8"/>
        <v>NO</v>
      </c>
    </row>
    <row r="20" spans="2:11" ht="18" customHeight="1" x14ac:dyDescent="0.2">
      <c r="B20" s="282" t="s">
        <v>246</v>
      </c>
      <c r="C20" s="3087">
        <f t="shared" si="6"/>
        <v>45164.039852000009</v>
      </c>
      <c r="D20" s="3087" t="s">
        <v>97</v>
      </c>
      <c r="E20" s="1938">
        <f t="shared" si="7"/>
        <v>51.421024748325621</v>
      </c>
      <c r="F20" s="1938">
        <f t="shared" si="5"/>
        <v>0.90909090909090906</v>
      </c>
      <c r="G20" s="1938">
        <f t="shared" si="5"/>
        <v>0.90909090909090906</v>
      </c>
      <c r="H20" s="3087">
        <f t="shared" si="8"/>
        <v>2322.3812109640571</v>
      </c>
      <c r="I20" s="3087">
        <f t="shared" si="8"/>
        <v>4.1058218047272735E-2</v>
      </c>
      <c r="J20" s="3087">
        <f t="shared" si="8"/>
        <v>4.1058218047272735E-2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1033.9957510000002</v>
      </c>
      <c r="D23" s="3087" t="s">
        <v>97</v>
      </c>
      <c r="E23" s="1938">
        <f t="shared" si="7"/>
        <v>58.703137799580425</v>
      </c>
      <c r="F23" s="1938">
        <f t="shared" si="5"/>
        <v>2.5173310518172465</v>
      </c>
      <c r="G23" s="1938">
        <f t="shared" si="5"/>
        <v>1.945703181513146</v>
      </c>
      <c r="H23" s="3087">
        <f>IF(SUM(H31,H37)=0,"NO",SUM(H31,H37))</f>
        <v>60.698795055133658</v>
      </c>
      <c r="I23" s="3087">
        <f>IF(SUM(I31,I37)=0,"NO",SUM(I31,I37))</f>
        <v>2.6029096114393944E-3</v>
      </c>
      <c r="J23" s="3087">
        <f>IF(SUM(J31,J37)=0,"NO",SUM(J31,J37))</f>
        <v>2.011848822391775E-3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86884.901813999997</v>
      </c>
      <c r="D25" s="3057" t="s">
        <v>97</v>
      </c>
      <c r="E25" s="615"/>
      <c r="F25" s="615"/>
      <c r="G25" s="615"/>
      <c r="H25" s="3057">
        <f>IF(SUM(H26:H30)=0,"NO",SUM(H26:H30))</f>
        <v>5157.0676096824118</v>
      </c>
      <c r="I25" s="3057">
        <f>IF(SUM(I26:I31)=0,"NO",SUM(I26:I31))</f>
        <v>0.10877428766985497</v>
      </c>
      <c r="J25" s="3088">
        <f>IF(SUM(J26:J31)=0,"NO",SUM(J26:J31))</f>
        <v>9.484643574604544E-2</v>
      </c>
      <c r="K25" s="3064" t="str">
        <f>IF(SUM(K26:K31)=0,"NO",SUM(K26:K31))</f>
        <v>NO</v>
      </c>
    </row>
    <row r="26" spans="2:11" ht="18" customHeight="1" x14ac:dyDescent="0.2">
      <c r="B26" s="282" t="s">
        <v>243</v>
      </c>
      <c r="C26" s="699">
        <v>40579.665211</v>
      </c>
      <c r="D26" s="3057" t="s">
        <v>97</v>
      </c>
      <c r="E26" s="1938">
        <f t="shared" ref="E26:E31" si="9">IFERROR(H26*1000/$C26,"NA")</f>
        <v>69.61709255187661</v>
      </c>
      <c r="F26" s="1938">
        <f t="shared" ref="F26:G31" si="10">IFERROR(I26*1000000/$C26,"NA")</f>
        <v>1.6020601323996138</v>
      </c>
      <c r="G26" s="1938">
        <f t="shared" si="10"/>
        <v>1.2741579131863281</v>
      </c>
      <c r="H26" s="699">
        <v>2825.0383087183545</v>
      </c>
      <c r="I26" s="699">
        <v>6.5011063820666654E-2</v>
      </c>
      <c r="J26" s="699">
        <v>5.1704901543047598E-2</v>
      </c>
      <c r="K26" s="2921" t="s">
        <v>199</v>
      </c>
    </row>
    <row r="27" spans="2:11" ht="18" customHeight="1" x14ac:dyDescent="0.2">
      <c r="B27" s="282" t="s">
        <v>245</v>
      </c>
      <c r="C27" s="699">
        <v>107.20100000000002</v>
      </c>
      <c r="D27" s="3057" t="s">
        <v>97</v>
      </c>
      <c r="E27" s="1938">
        <f t="shared" si="9"/>
        <v>90</v>
      </c>
      <c r="F27" s="1938">
        <f t="shared" si="10"/>
        <v>0.95238095238095233</v>
      </c>
      <c r="G27" s="1938">
        <f t="shared" si="10"/>
        <v>0.66666666666666663</v>
      </c>
      <c r="H27" s="699">
        <v>9.6480900000000016</v>
      </c>
      <c r="I27" s="699">
        <v>1.0209619047619049E-4</v>
      </c>
      <c r="J27" s="699">
        <v>7.1467333333333346E-5</v>
      </c>
      <c r="K27" s="2921" t="s">
        <v>199</v>
      </c>
    </row>
    <row r="28" spans="2:11" ht="18" customHeight="1" x14ac:dyDescent="0.2">
      <c r="B28" s="282" t="s">
        <v>246</v>
      </c>
      <c r="C28" s="699">
        <v>45164.039852000009</v>
      </c>
      <c r="D28" s="3057" t="s">
        <v>97</v>
      </c>
      <c r="E28" s="1938">
        <f t="shared" si="9"/>
        <v>51.421024748325621</v>
      </c>
      <c r="F28" s="1938">
        <f t="shared" si="10"/>
        <v>0.90909090909090906</v>
      </c>
      <c r="G28" s="1938">
        <f t="shared" si="10"/>
        <v>0.90909090909090906</v>
      </c>
      <c r="H28" s="699">
        <v>2322.3812109640571</v>
      </c>
      <c r="I28" s="699">
        <v>4.1058218047272735E-2</v>
      </c>
      <c r="J28" s="699">
        <v>4.1058218047272735E-2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1033.9957510000002</v>
      </c>
      <c r="D31" s="3057" t="s">
        <v>97</v>
      </c>
      <c r="E31" s="1938">
        <f t="shared" si="9"/>
        <v>58.703137799580425</v>
      </c>
      <c r="F31" s="1938">
        <f t="shared" si="10"/>
        <v>2.5173310518172465</v>
      </c>
      <c r="G31" s="1938">
        <f t="shared" si="10"/>
        <v>1.945703181513146</v>
      </c>
      <c r="H31" s="699">
        <v>60.698795055133658</v>
      </c>
      <c r="I31" s="699">
        <v>2.6029096114393944E-3</v>
      </c>
      <c r="J31" s="699">
        <v>2.011848822391775E-3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232272.95668544763</v>
      </c>
      <c r="D38" s="3057" t="s">
        <v>97</v>
      </c>
      <c r="E38" s="615"/>
      <c r="F38" s="615"/>
      <c r="G38" s="615"/>
      <c r="H38" s="1938">
        <f>IF(SUM(H39:H43)=0,"NO",SUM(H39:H43))</f>
        <v>9695.3519887328421</v>
      </c>
      <c r="I38" s="1938">
        <f>IF(SUM(I39:I44)=0,"NO",SUM(I39:I44))</f>
        <v>34.589155444057887</v>
      </c>
      <c r="J38" s="1938">
        <f>IF(SUM(J39:J44)=0,"NO",SUM(J39:J44))</f>
        <v>0.25030249456693138</v>
      </c>
      <c r="K38" s="3064" t="str">
        <f>IF(SUM(K39:K44)=0,"NO",SUM(K39:K44))</f>
        <v>NO</v>
      </c>
    </row>
    <row r="39" spans="2:11" ht="18" customHeight="1" x14ac:dyDescent="0.2">
      <c r="B39" s="282" t="s">
        <v>243</v>
      </c>
      <c r="C39" s="3087">
        <f>IF(SUM(C47,C54)=0,"NO",SUM(C47,C54))</f>
        <v>19047.405183245039</v>
      </c>
      <c r="D39" s="3057" t="s">
        <v>97</v>
      </c>
      <c r="E39" s="1938">
        <f t="shared" ref="E39:E44" si="13">IFERROR(H39*1000/$C39,"NA")</f>
        <v>61.615763769601202</v>
      </c>
      <c r="F39" s="1938">
        <f t="shared" ref="F39:G44" si="14">IFERROR(I39*1000000/$C39,"NA")</f>
        <v>31.848139383671228</v>
      </c>
      <c r="G39" s="1938">
        <f t="shared" si="14"/>
        <v>0.58923068945140444</v>
      </c>
      <c r="H39" s="1938">
        <f>IF(SUM(H47,H54)=0,"NO",SUM(H47,H54))</f>
        <v>1173.6204181947037</v>
      </c>
      <c r="I39" s="1938">
        <f>IF(SUM(I47,I54)=0,"NO",SUM(I47,I54))</f>
        <v>0.60662441517324983</v>
      </c>
      <c r="J39" s="1938">
        <f>IF(SUM(J47,J54)=0,"NO",SUM(J47,J54))</f>
        <v>1.122331568838373E-2</v>
      </c>
      <c r="K39" s="3064" t="str">
        <f>IF(SUM(K47,K54)=0,"NO",SUM(K47,K54))</f>
        <v>NO</v>
      </c>
    </row>
    <row r="40" spans="2:11" ht="18" customHeight="1" x14ac:dyDescent="0.2">
      <c r="B40" s="282" t="s">
        <v>245</v>
      </c>
      <c r="C40" s="3087" t="str">
        <f t="shared" ref="C40:C42" si="15">IF(SUM(C48,C55)=0,"NO",SUM(C48,C55))</f>
        <v>NO</v>
      </c>
      <c r="D40" s="3057" t="s">
        <v>97</v>
      </c>
      <c r="E40" s="1938" t="str">
        <f t="shared" si="13"/>
        <v>NA</v>
      </c>
      <c r="F40" s="1938" t="str">
        <f t="shared" si="14"/>
        <v>NA</v>
      </c>
      <c r="G40" s="1938" t="str">
        <f t="shared" si="14"/>
        <v>NA</v>
      </c>
      <c r="H40" s="1938" t="str">
        <f t="shared" ref="H40:K42" si="16">IF(SUM(H48,H55)=0,"NO",SUM(H48,H55))</f>
        <v>NO</v>
      </c>
      <c r="I40" s="1938" t="str">
        <f t="shared" si="16"/>
        <v>NO</v>
      </c>
      <c r="J40" s="1938" t="str">
        <f t="shared" si="16"/>
        <v>NO</v>
      </c>
      <c r="K40" s="3064" t="str">
        <f t="shared" si="16"/>
        <v>NO</v>
      </c>
    </row>
    <row r="41" spans="2:11" ht="18" customHeight="1" x14ac:dyDescent="0.2">
      <c r="B41" s="282" t="s">
        <v>246</v>
      </c>
      <c r="C41" s="3087">
        <f t="shared" si="15"/>
        <v>165754.00891100004</v>
      </c>
      <c r="D41" s="3057" t="s">
        <v>97</v>
      </c>
      <c r="E41" s="1938">
        <f t="shared" si="13"/>
        <v>51.411918339265007</v>
      </c>
      <c r="F41" s="1938">
        <f t="shared" si="14"/>
        <v>0.90909090909090895</v>
      </c>
      <c r="G41" s="1938">
        <f t="shared" si="14"/>
        <v>0.90909090909090895</v>
      </c>
      <c r="H41" s="1938">
        <f t="shared" si="16"/>
        <v>8521.7315705381388</v>
      </c>
      <c r="I41" s="1938">
        <f t="shared" si="16"/>
        <v>0.15068546264636365</v>
      </c>
      <c r="J41" s="1938">
        <f t="shared" si="16"/>
        <v>0.15068546264636365</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47471.542591202531</v>
      </c>
      <c r="D44" s="3057" t="s">
        <v>97</v>
      </c>
      <c r="E44" s="1938">
        <f t="shared" si="13"/>
        <v>77.527384282646992</v>
      </c>
      <c r="F44" s="1938">
        <f t="shared" si="14"/>
        <v>712.67634712397182</v>
      </c>
      <c r="G44" s="1938">
        <f t="shared" si="14"/>
        <v>1.8620358936590613</v>
      </c>
      <c r="H44" s="1938">
        <f>IF(SUM(H52,H58)=0,"NO",SUM(H52,H58))</f>
        <v>3680.3445249582028</v>
      </c>
      <c r="I44" s="1938">
        <f>IF(SUM(I52,I58)=0,"NO",SUM(I52,I58))</f>
        <v>33.831845566238272</v>
      </c>
      <c r="J44" s="1938">
        <f>IF(SUM(J52,J58)=0,"NO",SUM(J52,J58))</f>
        <v>8.8393716232184005E-2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228968.57063200005</v>
      </c>
      <c r="D46" s="3057" t="s">
        <v>97</v>
      </c>
      <c r="E46" s="615"/>
      <c r="F46" s="615"/>
      <c r="G46" s="615"/>
      <c r="H46" s="1938">
        <f>IF(SUM(H47:H51)=0,"NO",SUM(H47:H51))</f>
        <v>9471.028203911339</v>
      </c>
      <c r="I46" s="1938">
        <f>IF(SUM(I47:I52)=0,"NO",SUM(I47:I52))</f>
        <v>33.979790310163906</v>
      </c>
      <c r="J46" s="1938">
        <f>IF(SUM(J47:J52)=0,"NO",SUM(J47:J52))</f>
        <v>0.24886101163902075</v>
      </c>
      <c r="K46" s="3064" t="str">
        <f>IF(SUM(K47:K52)=0,"NO",SUM(K47:K52))</f>
        <v>NO</v>
      </c>
    </row>
    <row r="47" spans="2:11" ht="18" customHeight="1" x14ac:dyDescent="0.2">
      <c r="B47" s="282" t="s">
        <v>243</v>
      </c>
      <c r="C47" s="699">
        <v>15769.047066000001</v>
      </c>
      <c r="D47" s="3057" t="s">
        <v>97</v>
      </c>
      <c r="E47" s="1938">
        <f t="shared" ref="E47:E52" si="17">IFERROR(H47*1000/$C47,"NA")</f>
        <v>60.2</v>
      </c>
      <c r="F47" s="1938">
        <f t="shared" ref="F47:G52" si="18">IFERROR(I47*1000000/$C47,"NA")</f>
        <v>1.0476190476190479</v>
      </c>
      <c r="G47" s="1938">
        <f t="shared" si="18"/>
        <v>0.62857142857142845</v>
      </c>
      <c r="H47" s="699">
        <v>949.29663337320005</v>
      </c>
      <c r="I47" s="699">
        <v>1.6519954069142861E-2</v>
      </c>
      <c r="J47" s="699">
        <v>9.9119724414857141E-3</v>
      </c>
      <c r="K47" s="2921" t="s">
        <v>199</v>
      </c>
    </row>
    <row r="48" spans="2:11" ht="18" customHeight="1" x14ac:dyDescent="0.2">
      <c r="B48" s="282" t="s">
        <v>245</v>
      </c>
      <c r="C48" s="699" t="s">
        <v>199</v>
      </c>
      <c r="D48" s="3057" t="s">
        <v>97</v>
      </c>
      <c r="E48" s="1938" t="str">
        <f t="shared" si="17"/>
        <v>NA</v>
      </c>
      <c r="F48" s="1938" t="str">
        <f t="shared" si="18"/>
        <v>NA</v>
      </c>
      <c r="G48" s="1938" t="str">
        <f t="shared" si="18"/>
        <v>NA</v>
      </c>
      <c r="H48" s="699" t="s">
        <v>199</v>
      </c>
      <c r="I48" s="699" t="s">
        <v>199</v>
      </c>
      <c r="J48" s="699" t="s">
        <v>199</v>
      </c>
      <c r="K48" s="2921" t="s">
        <v>199</v>
      </c>
    </row>
    <row r="49" spans="2:11" ht="18" customHeight="1" x14ac:dyDescent="0.2">
      <c r="B49" s="282" t="s">
        <v>246</v>
      </c>
      <c r="C49" s="699">
        <v>165754.00891100004</v>
      </c>
      <c r="D49" s="3057" t="s">
        <v>97</v>
      </c>
      <c r="E49" s="1938">
        <f t="shared" si="17"/>
        <v>51.411918339265007</v>
      </c>
      <c r="F49" s="1938">
        <f t="shared" si="18"/>
        <v>0.90909090909090895</v>
      </c>
      <c r="G49" s="1938">
        <f t="shared" si="18"/>
        <v>0.90909090909090895</v>
      </c>
      <c r="H49" s="699">
        <v>8521.7315705381388</v>
      </c>
      <c r="I49" s="699">
        <v>0.15068546264636365</v>
      </c>
      <c r="J49" s="699">
        <v>0.15068546264636365</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47445.514655000006</v>
      </c>
      <c r="D52" s="3057" t="s">
        <v>97</v>
      </c>
      <c r="E52" s="1938">
        <f t="shared" si="17"/>
        <v>77.533016823995098</v>
      </c>
      <c r="F52" s="1938">
        <f t="shared" si="18"/>
        <v>712.66135775566079</v>
      </c>
      <c r="G52" s="1938">
        <f t="shared" si="18"/>
        <v>1.8603144510704512</v>
      </c>
      <c r="H52" s="699">
        <v>3678.593885969221</v>
      </c>
      <c r="I52" s="699">
        <v>33.812584893448403</v>
      </c>
      <c r="J52" s="699">
        <v>8.8263576551171383E-2</v>
      </c>
      <c r="K52" s="2921" t="s">
        <v>199</v>
      </c>
    </row>
    <row r="53" spans="2:11" ht="18" customHeight="1" x14ac:dyDescent="0.2">
      <c r="B53" s="1241" t="s">
        <v>329</v>
      </c>
      <c r="C53" s="3057">
        <f>IF(SUM(C54:C58)=0,"NO",SUM(C54:C58))</f>
        <v>3304.3860534475634</v>
      </c>
      <c r="D53" s="3057" t="s">
        <v>97</v>
      </c>
      <c r="E53" s="615"/>
      <c r="F53" s="615"/>
      <c r="G53" s="615"/>
      <c r="H53" s="3057">
        <f>IF(SUM(H54:H57)=0,"NO",SUM(H54:H57))</f>
        <v>224.32378482150369</v>
      </c>
      <c r="I53" s="3057">
        <f>IF(SUM(I54:I58)=0,"NO",SUM(I54:I58))</f>
        <v>0.60936513389397506</v>
      </c>
      <c r="J53" s="3057">
        <f>IF(SUM(J54:J58)=0,"NO",SUM(J54:J58))</f>
        <v>1.4414829279106377E-3</v>
      </c>
      <c r="K53" s="2931"/>
    </row>
    <row r="54" spans="2:11" ht="18" customHeight="1" x14ac:dyDescent="0.2">
      <c r="B54" s="282" t="s">
        <v>243</v>
      </c>
      <c r="C54" s="699">
        <v>3278.358117245039</v>
      </c>
      <c r="D54" s="3057" t="s">
        <v>97</v>
      </c>
      <c r="E54" s="1938">
        <f t="shared" ref="E54:E58" si="19">IFERROR(H54*1000/$C54,"NA")</f>
        <v>68.425649913443152</v>
      </c>
      <c r="F54" s="1938">
        <f t="shared" ref="F54:G58" si="20">IFERROR(I54*1000000/$C54,"NA")</f>
        <v>179.99999999999997</v>
      </c>
      <c r="G54" s="1938">
        <f t="shared" si="20"/>
        <v>0.4</v>
      </c>
      <c r="H54" s="699">
        <v>224.32378482150369</v>
      </c>
      <c r="I54" s="699">
        <v>0.59010446110410697</v>
      </c>
      <c r="J54" s="699">
        <v>1.3113432468980157E-3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26.027936202524398</v>
      </c>
      <c r="D58" s="3057" t="s">
        <v>97</v>
      </c>
      <c r="E58" s="1938">
        <f t="shared" si="19"/>
        <v>67.259999999999991</v>
      </c>
      <c r="F58" s="1938">
        <f t="shared" si="20"/>
        <v>739.99999999999989</v>
      </c>
      <c r="G58" s="1938">
        <f t="shared" si="20"/>
        <v>5</v>
      </c>
      <c r="H58" s="699">
        <v>1.7506389889817908</v>
      </c>
      <c r="I58" s="699">
        <v>1.9260672789868052E-2</v>
      </c>
      <c r="J58" s="699">
        <v>1.3013968101262198E-4</v>
      </c>
      <c r="K58" s="2931"/>
    </row>
    <row r="59" spans="2:11" ht="18" customHeight="1" x14ac:dyDescent="0.2">
      <c r="B59" s="1244" t="s">
        <v>330</v>
      </c>
      <c r="C59" s="3057">
        <f>IF(SUM(C60:C65)=0,"NO",SUM(C60:C65))</f>
        <v>111246.08059699999</v>
      </c>
      <c r="D59" s="3057" t="s">
        <v>97</v>
      </c>
      <c r="E59" s="615"/>
      <c r="F59" s="615"/>
      <c r="G59" s="615"/>
      <c r="H59" s="1938">
        <f>IF(SUM(H60:H64)=0,"NO",SUM(H60:H64))</f>
        <v>7707.8485941377103</v>
      </c>
      <c r="I59" s="1938">
        <f>IF(SUM(I60:I65)=0,"NO",SUM(I60:I65))</f>
        <v>0.72935044561236362</v>
      </c>
      <c r="J59" s="1938">
        <f>IF(SUM(J60:J65)=0,"NO",SUM(J60:J65))</f>
        <v>0.39651510427303022</v>
      </c>
      <c r="K59" s="3064" t="str">
        <f>IF(SUM(K60:K65)=0,"NO",SUM(K60:K65))</f>
        <v>NO</v>
      </c>
    </row>
    <row r="60" spans="2:11" ht="18" customHeight="1" x14ac:dyDescent="0.2">
      <c r="B60" s="282" t="s">
        <v>243</v>
      </c>
      <c r="C60" s="1938">
        <f>IF(SUM(C67,C74:C77,C84:C87)=0,"NO",SUM(C67,C74:C77,C84:C87))</f>
        <v>110016.221597</v>
      </c>
      <c r="D60" s="3057" t="s">
        <v>97</v>
      </c>
      <c r="E60" s="1938">
        <f t="shared" ref="E60:E65" si="21">IFERROR(H60*1000/$C60,"NA")</f>
        <v>69.48629095501822</v>
      </c>
      <c r="F60" s="1938">
        <f t="shared" ref="F60:G65" si="22">IFERROR(I60*1000000/$C60,"NA")</f>
        <v>6.6193183278333736</v>
      </c>
      <c r="G60" s="1938">
        <f t="shared" si="22"/>
        <v>3.5939886400120522</v>
      </c>
      <c r="H60" s="1938">
        <f>IF(SUM(H67,H74:H77,H84:H87)=0,"NO",SUM(H67,H74:H77,H84:H87))</f>
        <v>7644.6191836609005</v>
      </c>
      <c r="I60" s="1938">
        <f>IF(SUM(I67,I74:I77,I84:I87)=0,"NO",SUM(I67,I74:I77,I84:I87))</f>
        <v>0.72823239197599998</v>
      </c>
      <c r="J60" s="1938">
        <f>IF(SUM(J67,J74:J77,J84:J87)=0,"NO",SUM(J67,J74:J77,J84:J87))</f>
        <v>0.39539705063666658</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1229.8589999999999</v>
      </c>
      <c r="D62" s="3057" t="s">
        <v>97</v>
      </c>
      <c r="E62" s="1938">
        <f t="shared" si="21"/>
        <v>51.411918339265007</v>
      </c>
      <c r="F62" s="1938">
        <f t="shared" si="22"/>
        <v>0.90909090909090895</v>
      </c>
      <c r="G62" s="1938">
        <f t="shared" si="22"/>
        <v>0.90909090909090906</v>
      </c>
      <c r="H62" s="1938">
        <f>IF(SUM(H69,H79,H89)=0,"NO",SUM(H69,H79,H89))</f>
        <v>63.229410476810116</v>
      </c>
      <c r="I62" s="1938">
        <f>IF(SUM(I69,I79,I89)=0,"NO",SUM(I69,I79,I89))</f>
        <v>1.1180536363636362E-3</v>
      </c>
      <c r="J62" s="1938">
        <f>IF(SUM(J69,J79,J89)=0,"NO",SUM(J69,J79,J89))</f>
        <v>1.1180536363636364E-3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111246.08059699999</v>
      </c>
      <c r="D66" s="3057" t="s">
        <v>97</v>
      </c>
      <c r="E66" s="2135"/>
      <c r="F66" s="2135"/>
      <c r="G66" s="2135"/>
      <c r="H66" s="1938">
        <f>IF(SUM(H67:H71)=0,"NO",SUM(H67:H71))</f>
        <v>7707.8485941377103</v>
      </c>
      <c r="I66" s="1938">
        <f>IF(SUM(I67:I72)=0,"NO",SUM(I67:I72))</f>
        <v>0.72935044561236362</v>
      </c>
      <c r="J66" s="1938">
        <f>IF(SUM(J67:J72)=0,"NO",SUM(J67:J72))</f>
        <v>0.39651510427303022</v>
      </c>
      <c r="K66" s="3064" t="str">
        <f>IF(SUM(K67:K72)=0,"NO",SUM(K67:K72))</f>
        <v>NO</v>
      </c>
    </row>
    <row r="67" spans="2:11" ht="18" customHeight="1" x14ac:dyDescent="0.2">
      <c r="B67" s="282" t="s">
        <v>243</v>
      </c>
      <c r="C67" s="699">
        <v>110016.221597</v>
      </c>
      <c r="D67" s="3057" t="s">
        <v>97</v>
      </c>
      <c r="E67" s="1938">
        <f t="shared" ref="E67:E72" si="23">IFERROR(H67*1000/$C67,"NA")</f>
        <v>69.48629095501822</v>
      </c>
      <c r="F67" s="1938">
        <f t="shared" ref="F67:G72" si="24">IFERROR(I67*1000000/$C67,"NA")</f>
        <v>6.6193183278333736</v>
      </c>
      <c r="G67" s="1938">
        <f t="shared" si="24"/>
        <v>3.5939886400120522</v>
      </c>
      <c r="H67" s="699">
        <v>7644.6191836609005</v>
      </c>
      <c r="I67" s="699">
        <v>0.72823239197599998</v>
      </c>
      <c r="J67" s="699">
        <v>0.39539705063666658</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1229.8589999999999</v>
      </c>
      <c r="D69" s="3057" t="s">
        <v>97</v>
      </c>
      <c r="E69" s="1938">
        <f t="shared" si="23"/>
        <v>51.411918339265007</v>
      </c>
      <c r="F69" s="1938">
        <f t="shared" si="24"/>
        <v>0.90909090909090895</v>
      </c>
      <c r="G69" s="1938">
        <f t="shared" si="24"/>
        <v>0.90909090909090906</v>
      </c>
      <c r="H69" s="699">
        <v>63.229410476810116</v>
      </c>
      <c r="I69" s="699">
        <v>1.1180536363636362E-3</v>
      </c>
      <c r="J69" s="699">
        <v>1.1180536363636364E-3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11616.626814023099</v>
      </c>
      <c r="D93" s="3057" t="s">
        <v>97</v>
      </c>
      <c r="E93" s="2160"/>
      <c r="F93" s="2160"/>
      <c r="G93" s="2160"/>
      <c r="H93" s="3087">
        <f>IF(SUM(H94:H98)=0,"NO",SUM(H94:H98))</f>
        <v>809.41589359057934</v>
      </c>
      <c r="I93" s="3087">
        <f>IF(SUM(I94:I99)=0,"NO",SUM(I94:I99))</f>
        <v>2.4977556541527311E-2</v>
      </c>
      <c r="J93" s="3091">
        <f>IF(SUM(J94:J99)=0,"NO",SUM(J94:J99))</f>
        <v>2.2826572413449233E-2</v>
      </c>
      <c r="K93" s="442" t="str">
        <f>IF(SUM(K94:K99)=0,"NO",SUM(K94:K99))</f>
        <v>NO</v>
      </c>
    </row>
    <row r="94" spans="2:11" ht="18" customHeight="1" x14ac:dyDescent="0.2">
      <c r="B94" s="282" t="s">
        <v>243</v>
      </c>
      <c r="C94" s="1938">
        <f>IF(SUM(C102,C110)=0,"NO",SUM(C102,C110))</f>
        <v>11616.434374968752</v>
      </c>
      <c r="D94" s="1938" t="s">
        <v>97</v>
      </c>
      <c r="E94" s="1938">
        <f t="shared" ref="E94:E99" si="32">IFERROR(H94*1000/$C94,"NA")</f>
        <v>69.678514720034883</v>
      </c>
      <c r="F94" s="1938">
        <f t="shared" ref="F94:G99" si="33">IFERROR(I94*1000000/$C94,"NA")</f>
        <v>2.1370544153310487</v>
      </c>
      <c r="G94" s="1938">
        <f t="shared" si="33"/>
        <v>1.9649743079056987</v>
      </c>
      <c r="H94" s="1938">
        <f t="shared" ref="H94:K97" si="34">IF(SUM(H102,H110)=0,"NO",SUM(H102,H110))</f>
        <v>809.41589359057934</v>
      </c>
      <c r="I94" s="1938">
        <f t="shared" si="34"/>
        <v>2.4824952371430342E-2</v>
      </c>
      <c r="J94" s="1938">
        <f t="shared" si="34"/>
        <v>2.2825995096286193E-2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0.19243905434674202</v>
      </c>
      <c r="D99" s="1938" t="s">
        <v>97</v>
      </c>
      <c r="E99" s="1938">
        <f t="shared" si="32"/>
        <v>67.260000000000147</v>
      </c>
      <c r="F99" s="1938">
        <f t="shared" si="33"/>
        <v>793.00000000000171</v>
      </c>
      <c r="G99" s="1938">
        <f t="shared" si="33"/>
        <v>3.0000000000000062</v>
      </c>
      <c r="H99" s="1938">
        <f>IF(SUM(H107,H114)=0,"NO",SUM(H107,H114))</f>
        <v>1.2943450795361897E-2</v>
      </c>
      <c r="I99" s="1938">
        <f>IF(SUM(I107,I114)=0,"NO",SUM(I107,I114))</f>
        <v>1.5260417009696676E-4</v>
      </c>
      <c r="J99" s="1938">
        <f>IF(SUM(J107,J114)=0,"NO",SUM(J107,J114))</f>
        <v>5.7731716304022725E-7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11616.626814023099</v>
      </c>
      <c r="D108" s="1938" t="s">
        <v>97</v>
      </c>
      <c r="E108" s="1957"/>
      <c r="F108" s="1957"/>
      <c r="G108" s="1957"/>
      <c r="H108" s="3057">
        <f>H109</f>
        <v>809.41589359057934</v>
      </c>
      <c r="I108" s="3057">
        <f>I109</f>
        <v>2.4977556541527311E-2</v>
      </c>
      <c r="J108" s="3088">
        <f>J109</f>
        <v>2.2826572413449233E-2</v>
      </c>
      <c r="K108" s="2931"/>
    </row>
    <row r="109" spans="2:11" ht="18" customHeight="1" x14ac:dyDescent="0.2">
      <c r="B109" s="3103" t="s">
        <v>339</v>
      </c>
      <c r="C109" s="3077">
        <f>IF(SUM(C110:C114)=0,"NO",SUM(C110:C114))</f>
        <v>11616.626814023099</v>
      </c>
      <c r="D109" s="1938" t="s">
        <v>97</v>
      </c>
      <c r="E109" s="615"/>
      <c r="F109" s="615"/>
      <c r="G109" s="615"/>
      <c r="H109" s="3077">
        <f>IF(SUM(H110:H113)=0,"NO",SUM(H110:H113))</f>
        <v>809.41589359057934</v>
      </c>
      <c r="I109" s="3077">
        <f>IF(SUM(I110:I114)=0,"NO",SUM(I110:I114))</f>
        <v>2.4977556541527311E-2</v>
      </c>
      <c r="J109" s="3077">
        <f>IF(SUM(J110:J114)=0,"NO",SUM(J110:J114))</f>
        <v>2.2826572413449233E-2</v>
      </c>
      <c r="K109" s="2931"/>
    </row>
    <row r="110" spans="2:11" ht="18" customHeight="1" x14ac:dyDescent="0.2">
      <c r="B110" s="282" t="s">
        <v>243</v>
      </c>
      <c r="C110" s="699">
        <v>11616.434374968752</v>
      </c>
      <c r="D110" s="1938" t="s">
        <v>97</v>
      </c>
      <c r="E110" s="1938">
        <f t="shared" ref="E110:E114" si="37">IFERROR(H110*1000/$C110,"NA")</f>
        <v>69.678514720034883</v>
      </c>
      <c r="F110" s="1938">
        <f t="shared" ref="F110:G114" si="38">IFERROR(I110*1000000/$C110,"NA")</f>
        <v>2.1370544153310487</v>
      </c>
      <c r="G110" s="1938">
        <f t="shared" si="38"/>
        <v>1.9649743079056987</v>
      </c>
      <c r="H110" s="699">
        <v>809.41589359057934</v>
      </c>
      <c r="I110" s="699">
        <v>2.4824952371430342E-2</v>
      </c>
      <c r="J110" s="699">
        <v>2.2825995096286193E-2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0.19243905434674202</v>
      </c>
      <c r="D114" s="2891" t="s">
        <v>97</v>
      </c>
      <c r="E114" s="2891">
        <f t="shared" si="37"/>
        <v>67.260000000000147</v>
      </c>
      <c r="F114" s="2891">
        <f t="shared" si="38"/>
        <v>793.00000000000171</v>
      </c>
      <c r="G114" s="2891">
        <f t="shared" si="38"/>
        <v>3.0000000000000062</v>
      </c>
      <c r="H114" s="1562">
        <v>1.2943450795361897E-2</v>
      </c>
      <c r="I114" s="1562">
        <v>1.5260417009696676E-4</v>
      </c>
      <c r="J114" s="1562">
        <v>5.7731716304022725E-7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4" t="s">
        <v>344</v>
      </c>
      <c r="C152" s="4495"/>
      <c r="D152" s="4495"/>
      <c r="E152" s="4495"/>
      <c r="F152" s="4495"/>
      <c r="G152" s="4495"/>
      <c r="H152" s="4495"/>
      <c r="I152" s="4495"/>
      <c r="J152" s="4495"/>
      <c r="K152" s="4496"/>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868332.08</v>
      </c>
      <c r="G11" s="3326">
        <v>547012.89</v>
      </c>
      <c r="H11" s="3326">
        <v>593039.69999999995</v>
      </c>
      <c r="I11" s="3346"/>
      <c r="J11" s="3326">
        <v>-21929.73</v>
      </c>
      <c r="K11" s="3334">
        <f t="shared" ref="K11:K28" si="0">IF((SUM(F11:G11)-SUM(H11:J11))=0,"NO",(SUM(F11:G11)-SUM(H11:J11)))</f>
        <v>844235</v>
      </c>
      <c r="L11" s="2597">
        <f>IF(K11="NO","NA",1)</f>
        <v>1</v>
      </c>
      <c r="M11" s="5" t="s">
        <v>97</v>
      </c>
      <c r="N11" s="3334">
        <f>K11</f>
        <v>844235</v>
      </c>
      <c r="O11" s="3307">
        <v>18.9807162534435</v>
      </c>
      <c r="P11" s="3334">
        <f>IFERROR(N11*O11/1000,"NA")</f>
        <v>16024.184986225873</v>
      </c>
      <c r="Q11" s="3334" t="str">
        <f>'Table1.A(d)'!G11</f>
        <v>NA</v>
      </c>
      <c r="R11" s="3334">
        <f>IF(SUM(P11,-SUM(Q11))=0,"NO",SUM(P11,-SUM(Q11)))</f>
        <v>16024.184986225873</v>
      </c>
      <c r="S11" s="2597">
        <f>IF(R11="NO","NA",1)</f>
        <v>1</v>
      </c>
      <c r="T11" s="3340">
        <f>IF(R11="NO","NO",R11*S11*44/12)</f>
        <v>58755.344949494873</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163992.99600000001</v>
      </c>
      <c r="G13" s="3326" t="s">
        <v>199</v>
      </c>
      <c r="H13" s="3326" t="s">
        <v>199</v>
      </c>
      <c r="I13" s="3346"/>
      <c r="J13" s="3326" t="s">
        <v>199</v>
      </c>
      <c r="K13" s="3334">
        <f t="shared" si="0"/>
        <v>163992.99600000001</v>
      </c>
      <c r="L13" s="2597">
        <f t="shared" si="1"/>
        <v>1</v>
      </c>
      <c r="M13" s="5" t="s">
        <v>97</v>
      </c>
      <c r="N13" s="3334">
        <f t="shared" si="2"/>
        <v>163992.99600000001</v>
      </c>
      <c r="O13" s="3307">
        <v>15.409090909090899</v>
      </c>
      <c r="P13" s="3334">
        <f t="shared" si="3"/>
        <v>2526.9829838181804</v>
      </c>
      <c r="Q13" s="3334" t="str">
        <f>'Table1.A(d)'!G13</f>
        <v>NA</v>
      </c>
      <c r="R13" s="3334">
        <f>IF(SUM(P13,-SUM(Q13))=0,"NO",SUM(P13,-SUM(Q13)))</f>
        <v>2526.9829838181804</v>
      </c>
      <c r="S13" s="2597">
        <f t="shared" si="4"/>
        <v>1</v>
      </c>
      <c r="T13" s="3340">
        <f t="shared" si="5"/>
        <v>9265.6042739999957</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244616.78205827801</v>
      </c>
      <c r="H15" s="3326">
        <v>379.4</v>
      </c>
      <c r="I15" s="3326" t="s">
        <v>199</v>
      </c>
      <c r="J15" s="3326">
        <v>6723.8799999999901</v>
      </c>
      <c r="K15" s="3334">
        <f t="shared" si="0"/>
        <v>237513.50205827801</v>
      </c>
      <c r="L15" s="2597">
        <f>IF(K15="NO","NA",1)</f>
        <v>1</v>
      </c>
      <c r="M15" s="5" t="s">
        <v>97</v>
      </c>
      <c r="N15" s="3334">
        <f t="shared" si="2"/>
        <v>237513.50205827801</v>
      </c>
      <c r="O15" s="3307">
        <v>18.3818181818182</v>
      </c>
      <c r="P15" s="3334">
        <f t="shared" si="3"/>
        <v>4365.9300105621696</v>
      </c>
      <c r="Q15" s="3334" t="str">
        <f>'Table1.A(d)'!G15</f>
        <v>NA</v>
      </c>
      <c r="R15" s="3334">
        <f>IF(SUM(P15,-SUM(Q15))=0,"NO",SUM(P15,-SUM(Q15)))</f>
        <v>4365.9300105621696</v>
      </c>
      <c r="S15" s="2597">
        <f>IF(R15="NO","NA",1)</f>
        <v>1</v>
      </c>
      <c r="T15" s="3340">
        <f>IF(R15="NO","NO",R15*S15*44/12)</f>
        <v>16008.410038727956</v>
      </c>
    </row>
    <row r="16" spans="2:20" ht="18" customHeight="1" x14ac:dyDescent="0.2">
      <c r="B16" s="1730"/>
      <c r="C16" s="1570"/>
      <c r="D16" s="36" t="s">
        <v>293</v>
      </c>
      <c r="E16" s="2595" t="s">
        <v>374</v>
      </c>
      <c r="F16" s="3347"/>
      <c r="G16" s="3326">
        <v>91363.919523692297</v>
      </c>
      <c r="H16" s="3326">
        <v>11.04</v>
      </c>
      <c r="I16" s="3326">
        <v>55180.422400000003</v>
      </c>
      <c r="J16" s="3326">
        <v>-1099.68</v>
      </c>
      <c r="K16" s="3334">
        <f t="shared" si="0"/>
        <v>37272.137123692293</v>
      </c>
      <c r="L16" s="2597">
        <f t="shared" ref="L16:L28" si="6">IF(K16="NO","NA",1)</f>
        <v>1</v>
      </c>
      <c r="M16" s="5" t="s">
        <v>97</v>
      </c>
      <c r="N16" s="3334">
        <f t="shared" si="2"/>
        <v>37272.137123692293</v>
      </c>
      <c r="O16" s="3307">
        <v>18.981818181818198</v>
      </c>
      <c r="P16" s="3334">
        <f t="shared" si="3"/>
        <v>707.49293012972339</v>
      </c>
      <c r="Q16" s="3334" t="str">
        <f>'Table1.A(d)'!G16</f>
        <v>NA</v>
      </c>
      <c r="R16" s="3334">
        <f t="shared" ref="R16:R44" si="7">IF(SUM(P16,-SUM(Q16))=0,"NO",SUM(P16,-SUM(Q16)))</f>
        <v>707.49293012972339</v>
      </c>
      <c r="S16" s="2597">
        <f t="shared" ref="S16:S28" si="8">IF(R16="NO","NA",1)</f>
        <v>1</v>
      </c>
      <c r="T16" s="3340">
        <f t="shared" ref="T16:T28" si="9">IF(R16="NO","NO",R16*S16*44/12)</f>
        <v>2594.1407438089859</v>
      </c>
    </row>
    <row r="17" spans="2:20" ht="18" customHeight="1" x14ac:dyDescent="0.2">
      <c r="B17" s="1730"/>
      <c r="C17" s="1570"/>
      <c r="D17" s="36" t="s">
        <v>379</v>
      </c>
      <c r="E17" s="2595" t="s">
        <v>374</v>
      </c>
      <c r="F17" s="3346"/>
      <c r="G17" s="3326">
        <v>205.00120880169999</v>
      </c>
      <c r="H17" s="3326" t="s">
        <v>199</v>
      </c>
      <c r="I17" s="3326" t="s">
        <v>199</v>
      </c>
      <c r="J17" s="3326" t="s">
        <v>199</v>
      </c>
      <c r="K17" s="3334">
        <f t="shared" si="0"/>
        <v>205.00120880169999</v>
      </c>
      <c r="L17" s="2597">
        <f t="shared" si="6"/>
        <v>1</v>
      </c>
      <c r="M17" s="5" t="s">
        <v>97</v>
      </c>
      <c r="N17" s="3334">
        <f t="shared" si="2"/>
        <v>205.00120880169999</v>
      </c>
      <c r="O17" s="3307">
        <v>18.7909090909091</v>
      </c>
      <c r="P17" s="3334">
        <f t="shared" si="3"/>
        <v>3.852159078119219</v>
      </c>
      <c r="Q17" s="3334" t="str">
        <f>'Table1.A(d)'!G17</f>
        <v>NA</v>
      </c>
      <c r="R17" s="3334">
        <f t="shared" si="7"/>
        <v>3.852159078119219</v>
      </c>
      <c r="S17" s="2597">
        <f t="shared" si="8"/>
        <v>1</v>
      </c>
      <c r="T17" s="3340">
        <f t="shared" si="9"/>
        <v>14.124583286437137</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812037.74235266203</v>
      </c>
      <c r="H19" s="3326">
        <v>1015.18</v>
      </c>
      <c r="I19" s="3326">
        <v>1914.2898</v>
      </c>
      <c r="J19" s="3326">
        <v>2152.3200000000002</v>
      </c>
      <c r="K19" s="3334">
        <f t="shared" si="0"/>
        <v>806955.952552662</v>
      </c>
      <c r="L19" s="2597">
        <f t="shared" si="6"/>
        <v>1</v>
      </c>
      <c r="M19" s="5" t="s">
        <v>97</v>
      </c>
      <c r="N19" s="3334">
        <f t="shared" si="2"/>
        <v>806955.952552662</v>
      </c>
      <c r="O19" s="3307">
        <v>19.063636363636402</v>
      </c>
      <c r="P19" s="3334">
        <f t="shared" si="3"/>
        <v>15383.514840935777</v>
      </c>
      <c r="Q19" s="3334" t="str">
        <f>'Table1.A(d)'!G19</f>
        <v>NA</v>
      </c>
      <c r="R19" s="3334">
        <f t="shared" si="7"/>
        <v>15383.514840935777</v>
      </c>
      <c r="S19" s="2597">
        <f t="shared" si="8"/>
        <v>1</v>
      </c>
      <c r="T19" s="3340">
        <f t="shared" si="9"/>
        <v>56406.221083431185</v>
      </c>
    </row>
    <row r="20" spans="2:20" ht="18" customHeight="1" x14ac:dyDescent="0.2">
      <c r="B20" s="1730"/>
      <c r="C20" s="1570"/>
      <c r="D20" s="36" t="s">
        <v>306</v>
      </c>
      <c r="E20" s="2595" t="s">
        <v>374</v>
      </c>
      <c r="F20" s="3346"/>
      <c r="G20" s="3326">
        <v>11428.9123630062</v>
      </c>
      <c r="H20" s="3326">
        <v>16296.85</v>
      </c>
      <c r="I20" s="3326">
        <v>15270.460800000001</v>
      </c>
      <c r="J20" s="3326">
        <v>174</v>
      </c>
      <c r="K20" s="3334">
        <f t="shared" si="0"/>
        <v>-20312.398436993797</v>
      </c>
      <c r="L20" s="2597">
        <f t="shared" si="6"/>
        <v>1</v>
      </c>
      <c r="M20" s="5" t="s">
        <v>97</v>
      </c>
      <c r="N20" s="3334">
        <f t="shared" si="2"/>
        <v>-20312.398436993797</v>
      </c>
      <c r="O20" s="3307">
        <v>20.072727272727299</v>
      </c>
      <c r="P20" s="3334">
        <f t="shared" si="3"/>
        <v>-407.72523408074875</v>
      </c>
      <c r="Q20" s="3334" t="str">
        <f>'Table1.A(d)'!G20</f>
        <v>NA</v>
      </c>
      <c r="R20" s="3334">
        <f t="shared" si="7"/>
        <v>-407.72523408074875</v>
      </c>
      <c r="S20" s="2597">
        <f t="shared" si="8"/>
        <v>1</v>
      </c>
      <c r="T20" s="3340">
        <f t="shared" si="9"/>
        <v>-1494.9925249627456</v>
      </c>
    </row>
    <row r="21" spans="2:20" ht="18" customHeight="1" x14ac:dyDescent="0.2">
      <c r="B21" s="1730"/>
      <c r="C21" s="1570"/>
      <c r="D21" s="36" t="s">
        <v>283</v>
      </c>
      <c r="E21" s="2595" t="s">
        <v>374</v>
      </c>
      <c r="F21" s="3346"/>
      <c r="G21" s="3326">
        <v>16864.34</v>
      </c>
      <c r="H21" s="3326">
        <v>125550.94</v>
      </c>
      <c r="I21" s="3346"/>
      <c r="J21" s="3326">
        <v>560.48000000000104</v>
      </c>
      <c r="K21" s="3334">
        <f t="shared" si="0"/>
        <v>-109247.08</v>
      </c>
      <c r="L21" s="2597">
        <f t="shared" si="6"/>
        <v>1</v>
      </c>
      <c r="M21" s="5" t="s">
        <v>97</v>
      </c>
      <c r="N21" s="3334">
        <f t="shared" si="2"/>
        <v>-109247.08</v>
      </c>
      <c r="O21" s="3307">
        <v>16.4181818181818</v>
      </c>
      <c r="P21" s="3334">
        <f t="shared" si="3"/>
        <v>-1793.6384225454526</v>
      </c>
      <c r="Q21" s="3334" t="str">
        <f>'Table1.A(d)'!G21</f>
        <v>NA</v>
      </c>
      <c r="R21" s="3334">
        <f t="shared" si="7"/>
        <v>-1793.6384225454526</v>
      </c>
      <c r="S21" s="2597">
        <f t="shared" si="8"/>
        <v>1</v>
      </c>
      <c r="T21" s="3340">
        <f t="shared" si="9"/>
        <v>-6576.6742159999931</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284.66563472727302</v>
      </c>
      <c r="R22" s="3334">
        <f t="shared" si="7"/>
        <v>-284.66563472727302</v>
      </c>
      <c r="S22" s="2597">
        <f t="shared" si="8"/>
        <v>1</v>
      </c>
      <c r="T22" s="3340">
        <f t="shared" si="9"/>
        <v>-1043.773994000001</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35472.241706535002</v>
      </c>
      <c r="H24" s="3326" t="s">
        <v>199</v>
      </c>
      <c r="I24" s="3346"/>
      <c r="J24" s="3326" t="s">
        <v>199</v>
      </c>
      <c r="K24" s="3334">
        <f t="shared" si="0"/>
        <v>35472.241706535002</v>
      </c>
      <c r="L24" s="2597">
        <f t="shared" si="6"/>
        <v>1</v>
      </c>
      <c r="M24" s="5" t="s">
        <v>97</v>
      </c>
      <c r="N24" s="3334">
        <f t="shared" si="2"/>
        <v>35472.241706535002</v>
      </c>
      <c r="O24" s="3307">
        <v>22.009090909090901</v>
      </c>
      <c r="P24" s="3334">
        <f t="shared" si="3"/>
        <v>780.7117924683746</v>
      </c>
      <c r="Q24" s="3334">
        <f>'Table1.A(d)'!G24</f>
        <v>700.65676800000006</v>
      </c>
      <c r="R24" s="3334">
        <f t="shared" si="7"/>
        <v>80.05502446837454</v>
      </c>
      <c r="S24" s="2597">
        <f t="shared" si="8"/>
        <v>1</v>
      </c>
      <c r="T24" s="3340">
        <f t="shared" si="9"/>
        <v>293.5350897173733</v>
      </c>
    </row>
    <row r="25" spans="2:20" ht="18" customHeight="1" x14ac:dyDescent="0.2">
      <c r="B25" s="1730"/>
      <c r="C25" s="1570"/>
      <c r="D25" s="36" t="s">
        <v>297</v>
      </c>
      <c r="E25" s="2595" t="s">
        <v>374</v>
      </c>
      <c r="F25" s="3346"/>
      <c r="G25" s="3326">
        <v>16086.366443889599</v>
      </c>
      <c r="H25" s="3326">
        <v>6623.16</v>
      </c>
      <c r="I25" s="3326" t="s">
        <v>199</v>
      </c>
      <c r="J25" s="3326">
        <v>-438.34</v>
      </c>
      <c r="K25" s="3334">
        <f t="shared" si="0"/>
        <v>9901.5464438895997</v>
      </c>
      <c r="L25" s="2597">
        <f t="shared" si="6"/>
        <v>1</v>
      </c>
      <c r="M25" s="5" t="s">
        <v>97</v>
      </c>
      <c r="N25" s="3334">
        <f t="shared" si="2"/>
        <v>9901.5464438895997</v>
      </c>
      <c r="O25" s="3307">
        <v>18.991363636363602</v>
      </c>
      <c r="P25" s="3334">
        <f t="shared" si="3"/>
        <v>188.04386907825028</v>
      </c>
      <c r="Q25" s="3334">
        <f>'Table1.A(d)'!G25</f>
        <v>222.18778002709101</v>
      </c>
      <c r="R25" s="3334">
        <f t="shared" si="7"/>
        <v>-34.143910948840727</v>
      </c>
      <c r="S25" s="2597">
        <f t="shared" si="8"/>
        <v>1</v>
      </c>
      <c r="T25" s="3340">
        <f t="shared" si="9"/>
        <v>-125.19434014574934</v>
      </c>
    </row>
    <row r="26" spans="2:20" ht="18" customHeight="1" x14ac:dyDescent="0.2">
      <c r="B26" s="1730"/>
      <c r="C26" s="1570"/>
      <c r="D26" s="36" t="s">
        <v>384</v>
      </c>
      <c r="E26" s="2595" t="s">
        <v>374</v>
      </c>
      <c r="F26" s="3346"/>
      <c r="G26" s="3326">
        <v>24270.806681999999</v>
      </c>
      <c r="H26" s="3326" t="s">
        <v>199</v>
      </c>
      <c r="I26" s="3346"/>
      <c r="J26" s="3326" t="s">
        <v>199</v>
      </c>
      <c r="K26" s="3334">
        <f t="shared" si="0"/>
        <v>24270.806681999999</v>
      </c>
      <c r="L26" s="2597">
        <f t="shared" si="6"/>
        <v>1</v>
      </c>
      <c r="M26" s="5" t="s">
        <v>97</v>
      </c>
      <c r="N26" s="3334">
        <f t="shared" si="2"/>
        <v>24270.806681999999</v>
      </c>
      <c r="O26" s="3307">
        <v>25.261363636363601</v>
      </c>
      <c r="P26" s="3334">
        <f t="shared" si="3"/>
        <v>613.11367334188549</v>
      </c>
      <c r="Q26" s="3334">
        <f>'Table1.A(d)'!G26</f>
        <v>613.11367334188606</v>
      </c>
      <c r="R26" s="3334">
        <f t="shared" si="7"/>
        <v>-5.6843418860808015E-13</v>
      </c>
      <c r="S26" s="2597">
        <f t="shared" si="8"/>
        <v>1</v>
      </c>
      <c r="T26" s="3340">
        <f t="shared" si="9"/>
        <v>-2.0842586915629604E-12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18547.267783135801</v>
      </c>
      <c r="H28" s="3326">
        <v>4640.5634399999999</v>
      </c>
      <c r="I28" s="3346"/>
      <c r="J28" s="3326">
        <v>2168.1999999999998</v>
      </c>
      <c r="K28" s="3334">
        <f t="shared" si="0"/>
        <v>11738.504343135803</v>
      </c>
      <c r="L28" s="2597">
        <f t="shared" si="6"/>
        <v>1</v>
      </c>
      <c r="M28" s="5" t="s">
        <v>97</v>
      </c>
      <c r="N28" s="3334">
        <f t="shared" si="2"/>
        <v>11738.504343135803</v>
      </c>
      <c r="O28" s="3307">
        <v>19.0363636363636</v>
      </c>
      <c r="P28" s="3334">
        <f t="shared" si="3"/>
        <v>223.45843722296658</v>
      </c>
      <c r="Q28" s="3334">
        <f>'Table1.A(d)'!G28</f>
        <v>688.20208672765102</v>
      </c>
      <c r="R28" s="3334">
        <f t="shared" si="7"/>
        <v>-464.74364950468441</v>
      </c>
      <c r="S28" s="2597">
        <f t="shared" si="8"/>
        <v>1</v>
      </c>
      <c r="T28" s="3340">
        <f t="shared" si="9"/>
        <v>-1704.0600481838428</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2041998.2096820006</v>
      </c>
      <c r="O31" s="3329"/>
      <c r="P31" s="3336">
        <f>SUM(P11:P29)</f>
        <v>38615.922026235123</v>
      </c>
      <c r="Q31" s="3336">
        <f>SUM(Q11:Q29)</f>
        <v>2508.8259428239012</v>
      </c>
      <c r="R31" s="3334">
        <f t="shared" si="7"/>
        <v>36107.096083411219</v>
      </c>
      <c r="S31" s="2598"/>
      <c r="T31" s="3342">
        <f>SUM(T11:T29)</f>
        <v>132392.68563917451</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29.836402531421999</v>
      </c>
      <c r="P34" s="3334" t="str">
        <f t="shared" si="13"/>
        <v>NA</v>
      </c>
      <c r="Q34" s="3334">
        <f>'Table1.A(d)'!G34</f>
        <v>0.143214732150826</v>
      </c>
      <c r="R34" s="3334">
        <f t="shared" si="7"/>
        <v>-0.143214732150826</v>
      </c>
      <c r="S34" s="2597">
        <f t="shared" si="14"/>
        <v>1</v>
      </c>
      <c r="T34" s="3340">
        <f t="shared" si="15"/>
        <v>-0.52512068455302863</v>
      </c>
    </row>
    <row r="35" spans="2:20" ht="18" customHeight="1" x14ac:dyDescent="0.2">
      <c r="B35" s="1730"/>
      <c r="C35" s="1570"/>
      <c r="D35" s="31" t="s">
        <v>392</v>
      </c>
      <c r="E35" s="2595" t="s">
        <v>374</v>
      </c>
      <c r="F35" s="3326">
        <v>11359619</v>
      </c>
      <c r="G35" s="3326">
        <v>3559</v>
      </c>
      <c r="H35" s="3326">
        <v>10323577</v>
      </c>
      <c r="I35" s="3326" t="s">
        <v>199</v>
      </c>
      <c r="J35" s="3326">
        <v>-204100</v>
      </c>
      <c r="K35" s="3334">
        <f t="shared" si="10"/>
        <v>1243701</v>
      </c>
      <c r="L35" s="2597">
        <f t="shared" si="11"/>
        <v>1</v>
      </c>
      <c r="M35" s="55" t="s">
        <v>97</v>
      </c>
      <c r="N35" s="3334">
        <f t="shared" si="12"/>
        <v>1243701</v>
      </c>
      <c r="O35" s="3307">
        <v>24.451272079040699</v>
      </c>
      <c r="P35" s="3334">
        <f t="shared" si="13"/>
        <v>30410.071535974996</v>
      </c>
      <c r="Q35" s="3334">
        <f>'Table1.A(d)'!G35</f>
        <v>460.04888745619598</v>
      </c>
      <c r="R35" s="3334">
        <f t="shared" si="7"/>
        <v>29950.0226485188</v>
      </c>
      <c r="S35" s="2597">
        <f t="shared" si="14"/>
        <v>1</v>
      </c>
      <c r="T35" s="3340">
        <f t="shared" si="15"/>
        <v>109816.74971123559</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430037</v>
      </c>
      <c r="G37" s="3326" t="s">
        <v>199</v>
      </c>
      <c r="H37" s="3326" t="s">
        <v>199</v>
      </c>
      <c r="I37" s="3346"/>
      <c r="J37" s="3326">
        <v>2984</v>
      </c>
      <c r="K37" s="3334">
        <f t="shared" si="10"/>
        <v>427053</v>
      </c>
      <c r="L37" s="2597">
        <f t="shared" si="11"/>
        <v>1</v>
      </c>
      <c r="M37" s="55" t="s">
        <v>97</v>
      </c>
      <c r="N37" s="3334">
        <f t="shared" si="12"/>
        <v>427053</v>
      </c>
      <c r="O37" s="3307">
        <v>25.3438600581079</v>
      </c>
      <c r="P37" s="3334">
        <f t="shared" si="13"/>
        <v>10823.171469395153</v>
      </c>
      <c r="Q37" s="3334" t="str">
        <f>'Table1.A(d)'!G37</f>
        <v>NO</v>
      </c>
      <c r="R37" s="3334">
        <f t="shared" si="7"/>
        <v>10823.171469395153</v>
      </c>
      <c r="S37" s="2597">
        <f t="shared" si="14"/>
        <v>1</v>
      </c>
      <c r="T37" s="3340">
        <f t="shared" si="15"/>
        <v>39684.962054448893</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8942</v>
      </c>
      <c r="H41" s="3326">
        <v>22688</v>
      </c>
      <c r="I41" s="3346"/>
      <c r="J41" s="3326">
        <v>-4349</v>
      </c>
      <c r="K41" s="3334">
        <f t="shared" si="16"/>
        <v>-9397</v>
      </c>
      <c r="L41" s="2597">
        <f t="shared" si="17"/>
        <v>1</v>
      </c>
      <c r="M41" s="55" t="s">
        <v>97</v>
      </c>
      <c r="N41" s="3334">
        <f t="shared" si="18"/>
        <v>-9397</v>
      </c>
      <c r="O41" s="3307">
        <v>29.836402531421999</v>
      </c>
      <c r="P41" s="3334">
        <f t="shared" si="19"/>
        <v>-280.37267458777251</v>
      </c>
      <c r="Q41" s="3334">
        <f>'Table1.A(d)'!G41</f>
        <v>1932.86890011747</v>
      </c>
      <c r="R41" s="3334">
        <f t="shared" si="7"/>
        <v>-2213.2415747052428</v>
      </c>
      <c r="S41" s="2597">
        <f t="shared" si="20"/>
        <v>1</v>
      </c>
      <c r="T41" s="3340">
        <f t="shared" si="21"/>
        <v>-8115.2191072525566</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20.283185926832701</v>
      </c>
      <c r="P42" s="3334" t="str">
        <f t="shared" si="19"/>
        <v>NA</v>
      </c>
      <c r="Q42" s="3334">
        <f>'Table1.A(d)'!G42</f>
        <v>173.978929293286</v>
      </c>
      <c r="R42" s="3334">
        <f t="shared" si="7"/>
        <v>-173.978929293286</v>
      </c>
      <c r="S42" s="2597">
        <f t="shared" si="20"/>
        <v>1</v>
      </c>
      <c r="T42" s="3340">
        <f t="shared" si="21"/>
        <v>-637.92274074204863</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1661357</v>
      </c>
      <c r="O45" s="3329"/>
      <c r="P45" s="3336">
        <f>SUM(P33:P43)</f>
        <v>40952.870330782374</v>
      </c>
      <c r="Q45" s="3336">
        <f>SUM(Q33:Q43)</f>
        <v>2567.0399315991031</v>
      </c>
      <c r="R45" s="3336">
        <f>SUM(R33:R43)</f>
        <v>38385.830399183273</v>
      </c>
      <c r="S45" s="41"/>
      <c r="T45" s="3342">
        <f>SUM(T33:T43)</f>
        <v>140748.04479700534</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5705302.0839999998</v>
      </c>
      <c r="G47" s="3326">
        <v>207573</v>
      </c>
      <c r="H47" s="3326">
        <v>4314444</v>
      </c>
      <c r="I47" s="3326" t="s">
        <v>199</v>
      </c>
      <c r="J47" s="3326">
        <v>59583.670189588229</v>
      </c>
      <c r="K47" s="3334">
        <f t="shared" ref="K47" si="22">IF((SUM(F47:G47)-SUM(H47:J47))=0,"NO",(SUM(F47:G47)-SUM(H47:J47)))</f>
        <v>1538847.4138104115</v>
      </c>
      <c r="L47" s="2597">
        <f t="shared" ref="L47" si="23">IF(K47="NO","NA",1)</f>
        <v>1</v>
      </c>
      <c r="M47" s="55" t="s">
        <v>97</v>
      </c>
      <c r="N47" s="3334">
        <f t="shared" ref="N47" si="24">K47</f>
        <v>1538847.4138104115</v>
      </c>
      <c r="O47" s="3307">
        <v>13.967966790320601</v>
      </c>
      <c r="P47" s="3334">
        <f t="shared" ref="P47" si="25">IFERROR(N47*O47/1000,"NA")</f>
        <v>21494.569571474571</v>
      </c>
      <c r="Q47" s="3334">
        <f>'Table1.A(d)'!G47</f>
        <v>746.63784216445401</v>
      </c>
      <c r="R47" s="3334">
        <f t="shared" ref="R47" si="26">IF(SUM(P47,-SUM(Q47))=0,"NO",SUM(P47,-SUM(Q47)))</f>
        <v>20747.931729310116</v>
      </c>
      <c r="S47" s="2597">
        <f t="shared" ref="S47" si="27">IF(R47="NO","NA",1)</f>
        <v>1</v>
      </c>
      <c r="T47" s="3340">
        <f t="shared" ref="T47" si="28">IF(R47="NO","NO",R47*S47*44/12)</f>
        <v>76075.749674137085</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1538847.4138104115</v>
      </c>
      <c r="O50" s="3331"/>
      <c r="P50" s="3336">
        <f>SUM(P47:P48)</f>
        <v>21494.569571474571</v>
      </c>
      <c r="Q50" s="3336">
        <f>SUM(Q47:Q48)</f>
        <v>746.63784216445401</v>
      </c>
      <c r="R50" s="3336">
        <f>SUM(R47:R48)</f>
        <v>20747.931729310116</v>
      </c>
      <c r="S50" s="2379"/>
      <c r="T50" s="3342">
        <f>SUM(T47:T48)</f>
        <v>76075.749674137085</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-2766.3298104117698</v>
      </c>
      <c r="K52" s="3334">
        <f t="shared" ref="K52:K53" si="29">IF((SUM(F52:G52)-SUM(H52:J52))=0,"NO",(SUM(F52:G52)-SUM(H52:J52)))</f>
        <v>2766.3298104117698</v>
      </c>
      <c r="L52" s="2597">
        <f t="shared" ref="L52:L53" si="30">IF(K52="NO","NA",1)</f>
        <v>1</v>
      </c>
      <c r="M52" s="55" t="s">
        <v>97</v>
      </c>
      <c r="N52" s="3334">
        <f t="shared" ref="N52:N53" si="31">K52</f>
        <v>2766.3298104117698</v>
      </c>
      <c r="O52" s="3307">
        <v>13.351548893439116</v>
      </c>
      <c r="P52" s="3334">
        <f t="shared" ref="P52:P53" si="32">IFERROR(N52*O52/1000,"NA")</f>
        <v>36.934787719090906</v>
      </c>
      <c r="Q52" s="3339" t="str">
        <f>'Table1.A(d)'!G52</f>
        <v>NA</v>
      </c>
      <c r="R52" s="3334">
        <f t="shared" ref="R52:R53" si="33">IF(SUM(P52,-SUM(Q52))=0,"NO",SUM(P52,-SUM(Q52)))</f>
        <v>36.934787719090906</v>
      </c>
      <c r="S52" s="2597">
        <f t="shared" ref="S52:S53" si="34">IF(R52="NO","NA",1)</f>
        <v>1</v>
      </c>
      <c r="T52" s="3340">
        <f t="shared" ref="T52:T53" si="35">IF(R52="NO","NO",R52*S52*44/12)</f>
        <v>135.42755496999999</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2766.3298104117698</v>
      </c>
      <c r="O54" s="3332"/>
      <c r="P54" s="3338">
        <f>SUM(P51:P53)</f>
        <v>36.934787719090906</v>
      </c>
      <c r="Q54" s="3338">
        <f>SUM(Q51:Q53)</f>
        <v>0</v>
      </c>
      <c r="R54" s="3338">
        <f>SUM(R51:R53)</f>
        <v>36.934787719090906</v>
      </c>
      <c r="S54" s="2399"/>
      <c r="T54" s="3344">
        <f>SUM(T51:T53)</f>
        <v>135.42755496999999</v>
      </c>
    </row>
    <row r="55" spans="2:20" ht="18" customHeight="1" thickBot="1" x14ac:dyDescent="0.25">
      <c r="B55" s="2395" t="s">
        <v>409</v>
      </c>
      <c r="C55" s="2396"/>
      <c r="D55" s="2396"/>
      <c r="E55" s="100"/>
      <c r="F55" s="3356"/>
      <c r="G55" s="3356"/>
      <c r="H55" s="3356"/>
      <c r="I55" s="3356"/>
      <c r="J55" s="3356"/>
      <c r="K55" s="3357"/>
      <c r="L55" s="2397"/>
      <c r="M55" s="2398"/>
      <c r="N55" s="3338">
        <f>SUM(N31,N45,N50,N54)</f>
        <v>5244968.9533028239</v>
      </c>
      <c r="O55" s="3332"/>
      <c r="P55" s="3338">
        <f>SUM(P31,P45,P50,P54)</f>
        <v>101100.29671621115</v>
      </c>
      <c r="Q55" s="3338">
        <f>SUM(Q31,Q45,Q50,Q54)</f>
        <v>5822.5037165874583</v>
      </c>
      <c r="R55" s="3338">
        <f>SUM(R31,R45,R50,R54)</f>
        <v>95277.792999623693</v>
      </c>
      <c r="S55" s="2399"/>
      <c r="T55" s="3344">
        <f>SUM(T31,T45,T50,T54)</f>
        <v>349351.90766528697</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2041.9982096820006</v>
      </c>
      <c r="D10" s="4127">
        <f>C10-'Table1.A(d)'!E31/1000</f>
        <v>1918.6317935464108</v>
      </c>
      <c r="E10" s="4126">
        <f>'Table1.A(b)'!T31</f>
        <v>132392.68563917451</v>
      </c>
      <c r="F10" s="4126">
        <f>'Table1.A(a)s1'!C11/1000</f>
        <v>1922.5663089014624</v>
      </c>
      <c r="G10" s="4126">
        <f>'Table1.A(a)s1'!H11</f>
        <v>132233.06607227342</v>
      </c>
      <c r="H10" s="4126">
        <f>100*((D10-F10)/F10)</f>
        <v>-0.20464913677280613</v>
      </c>
      <c r="I10" s="4128">
        <f>100*((E10-G10)/G10)</f>
        <v>0.12071078107940897</v>
      </c>
      <c r="L10"/>
    </row>
    <row r="11" spans="2:12" ht="18" customHeight="1" x14ac:dyDescent="0.2">
      <c r="B11" s="50" t="s">
        <v>430</v>
      </c>
      <c r="C11" s="4126">
        <f>'Table1.A(b)'!N45/1000</f>
        <v>1661.357</v>
      </c>
      <c r="D11" s="4126">
        <f>C11-'Table1.A(d)'!E45/1000</f>
        <v>1570.8233879826</v>
      </c>
      <c r="E11" s="4126">
        <f>'Table1.A(b)'!T45</f>
        <v>140748.04479700534</v>
      </c>
      <c r="F11" s="4126">
        <f>'Table1.A(a)s1'!C12/1000</f>
        <v>1593.365813232253</v>
      </c>
      <c r="G11" s="4126">
        <f>'Table1.A(a)s1'!H12</f>
        <v>143110.1188389601</v>
      </c>
      <c r="H11" s="4126">
        <f t="shared" ref="H11:H13" si="0">100*((D11-F11)/F11)</f>
        <v>-1.4147677239242449</v>
      </c>
      <c r="I11" s="4128">
        <f t="shared" ref="I11:I13" si="1">100*((E11-G11)/G11)</f>
        <v>-1.6505290199729172</v>
      </c>
      <c r="L11"/>
    </row>
    <row r="12" spans="2:12" ht="18" customHeight="1" x14ac:dyDescent="0.2">
      <c r="B12" s="50" t="s">
        <v>431</v>
      </c>
      <c r="C12" s="4126">
        <f>'Table1.A(b)'!N50/1000</f>
        <v>1538.8474138104116</v>
      </c>
      <c r="D12" s="4126">
        <f>C12-'Table1.A(d)'!E50/1000</f>
        <v>1485.3938329584116</v>
      </c>
      <c r="E12" s="4126">
        <f>'Table1.A(b)'!T50</f>
        <v>76075.749674137085</v>
      </c>
      <c r="F12" s="4126">
        <f>'Table1.A(a)s1'!C13/1000</f>
        <v>1476.127091337044</v>
      </c>
      <c r="G12" s="4126">
        <f>'Table1.A(a)s1'!H13</f>
        <v>75603.204460619687</v>
      </c>
      <c r="H12" s="4126">
        <f t="shared" si="0"/>
        <v>0.62777396849847023</v>
      </c>
      <c r="I12" s="4128">
        <f t="shared" si="1"/>
        <v>0.62503331292463704</v>
      </c>
      <c r="L12"/>
    </row>
    <row r="13" spans="2:12" ht="18" customHeight="1" x14ac:dyDescent="0.2">
      <c r="B13" s="50" t="s">
        <v>432</v>
      </c>
      <c r="C13" s="4126">
        <f>'Table1.A(b)'!N54/1000</f>
        <v>2.76632981041177</v>
      </c>
      <c r="D13" s="4126">
        <f>C13-SUM('Table1.A(d)'!E54)/1000</f>
        <v>2.76632981041177</v>
      </c>
      <c r="E13" s="4126">
        <f>'Table1.A(b)'!T54</f>
        <v>135.42755496999999</v>
      </c>
      <c r="F13" s="4126">
        <f>'Table1.A(a)s1'!C14/1000</f>
        <v>2.7791673995087947</v>
      </c>
      <c r="G13" s="4126">
        <f>'Table1.A(a)s1'!H14</f>
        <v>136.36855025087323</v>
      </c>
      <c r="H13" s="4126">
        <f t="shared" si="0"/>
        <v>-0.46192212456484955</v>
      </c>
      <c r="I13" s="4128">
        <f t="shared" si="1"/>
        <v>-0.69003834032268951</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5244.968953302824</v>
      </c>
      <c r="D15" s="4196">
        <f>SUM(D10:D14)</f>
        <v>4977.6153442978339</v>
      </c>
      <c r="E15" s="4196">
        <f>SUM(E10:E14)</f>
        <v>349351.90766528697</v>
      </c>
      <c r="F15" s="4196">
        <f>SUM(F10:F14)</f>
        <v>4994.8383808702683</v>
      </c>
      <c r="G15" s="4196">
        <f>SUM(G10:G14)</f>
        <v>351082.75792210409</v>
      </c>
      <c r="H15" s="4197">
        <f t="shared" ref="H15" si="2">100*((D15-F15)/F15)</f>
        <v>-0.34481669393742498</v>
      </c>
      <c r="I15" s="4198">
        <f t="shared" ref="I15" si="3">100*((E15-G15)/G15)</f>
        <v>-0.49300349212852934</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7" t="s">
        <v>435</v>
      </c>
      <c r="C35" s="4498"/>
      <c r="D35" s="4498"/>
      <c r="E35" s="4498"/>
      <c r="F35" s="4498"/>
      <c r="G35" s="4498"/>
      <c r="H35" s="4498"/>
      <c r="I35" s="4499"/>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3c3f7c97-9070-4768-a3ac-fb4f4af74aa6"/>
    <ds:schemaRef ds:uri="http://purl.org/dc/elements/1.1/"/>
    <ds:schemaRef ds:uri="http://schemas.microsoft.com/office/infopath/2007/PartnerControls"/>
    <ds:schemaRef ds:uri="http://schemas.microsoft.com/office/2006/documentManagement/types"/>
    <ds:schemaRef ds:uri="f3ac41a9-262d-4755-bd43-8a680e000c6c"/>
    <ds:schemaRef ds:uri="http://www.w3.org/XML/1998/namespace"/>
    <ds:schemaRef ds:uri="http://schemas.microsoft.com/office/2006/metadata/properties"/>
    <ds:schemaRef ds:uri="http://purl.org/dc/terms/"/>
    <ds:schemaRef ds:uri="http://schemas.openxmlformats.org/package/2006/metadata/core-properties"/>
    <ds:schemaRef ds:uri="81c01dc6-2c49-4730-b140-874c95cac377"/>
    <ds:schemaRef ds:uri="http://purl.org/dc/dcmitype/"/>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2024-04-12T01:13:48Z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