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7215" yWindow="0" windowWidth="13125" windowHeight="5610" activeTab="2"/>
  </bookViews>
  <sheets>
    <sheet name="info" sheetId="15" r:id="rId1"/>
    <sheet name="gap analysis" sheetId="3" r:id="rId2"/>
    <sheet name="planned_cdr_ltleds" sheetId="13" r:id="rId3"/>
    <sheet name="planned_cdr_ltleds_reanalysed" sheetId="14" r:id="rId4"/>
    <sheet name="current_cdr_nghgi" sheetId="10" r:id="rId5"/>
    <sheet name="current_cdr_other" sheetId="2" r:id="rId6"/>
    <sheet name="planned_cdr_ndcs"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14" l="1"/>
  <c r="H22" i="14"/>
  <c r="H23" i="14"/>
  <c r="H24" i="14"/>
  <c r="H25" i="14"/>
  <c r="H26" i="14"/>
  <c r="H27" i="14"/>
  <c r="H28" i="14"/>
  <c r="G21" i="14"/>
  <c r="G22" i="14"/>
  <c r="G23" i="14"/>
  <c r="G24" i="14"/>
  <c r="G25" i="14"/>
  <c r="G26" i="14"/>
  <c r="G27" i="14"/>
  <c r="G28" i="14"/>
  <c r="C21" i="14"/>
  <c r="D21" i="14" s="1"/>
  <c r="C22" i="14"/>
  <c r="E22" i="14" s="1"/>
  <c r="C23" i="14"/>
  <c r="D23" i="14" s="1"/>
  <c r="C24" i="14"/>
  <c r="E24" i="14" s="1"/>
  <c r="C25" i="14"/>
  <c r="D25" i="14" s="1"/>
  <c r="C26" i="14"/>
  <c r="D26" i="14" s="1"/>
  <c r="C27" i="14"/>
  <c r="E27" i="14" s="1"/>
  <c r="C28" i="14"/>
  <c r="E28" i="14" s="1"/>
  <c r="B21" i="14"/>
  <c r="B22" i="14"/>
  <c r="B23" i="14"/>
  <c r="B24" i="14"/>
  <c r="B25" i="14"/>
  <c r="B26" i="14"/>
  <c r="B27" i="14"/>
  <c r="B28" i="14"/>
  <c r="A21" i="14"/>
  <c r="A22" i="14"/>
  <c r="A23" i="14"/>
  <c r="A24" i="14"/>
  <c r="A25" i="14"/>
  <c r="A26" i="14"/>
  <c r="A27" i="14"/>
  <c r="A28" i="14"/>
  <c r="D24" i="14" l="1"/>
  <c r="D27" i="14"/>
  <c r="D28" i="14"/>
  <c r="E25" i="14"/>
  <c r="E21" i="14"/>
  <c r="D22" i="14"/>
  <c r="E26" i="14"/>
  <c r="E23" i="14"/>
  <c r="S25" i="13"/>
  <c r="F26" i="14" s="1"/>
  <c r="S23" i="13"/>
  <c r="F24" i="14" s="1"/>
  <c r="S26" i="13"/>
  <c r="F27" i="14" s="1"/>
  <c r="S22" i="13"/>
  <c r="F23" i="14" s="1"/>
  <c r="S20" i="13"/>
  <c r="F21" i="14" s="1"/>
  <c r="S21" i="13"/>
  <c r="F22" i="14" s="1"/>
  <c r="S24" i="13"/>
  <c r="F25" i="14" s="1"/>
  <c r="S27" i="13"/>
  <c r="F28" i="14" s="1"/>
  <c r="A111" i="14" l="1"/>
  <c r="B111" i="14"/>
  <c r="C111" i="14"/>
  <c r="E111" i="14" s="1"/>
  <c r="G111" i="14"/>
  <c r="V111" i="14" s="1"/>
  <c r="H111" i="14"/>
  <c r="G4" i="14"/>
  <c r="H4" i="14"/>
  <c r="G5" i="14"/>
  <c r="H5" i="14"/>
  <c r="G6" i="14"/>
  <c r="H6" i="14"/>
  <c r="G7" i="14"/>
  <c r="H7" i="14"/>
  <c r="G8" i="14"/>
  <c r="H8" i="14"/>
  <c r="G9" i="14"/>
  <c r="H9" i="14"/>
  <c r="G10" i="14"/>
  <c r="H10" i="14"/>
  <c r="G11" i="14"/>
  <c r="H11" i="14"/>
  <c r="G12" i="14"/>
  <c r="H12" i="14"/>
  <c r="G13" i="14"/>
  <c r="H13" i="14"/>
  <c r="G14" i="14"/>
  <c r="H14" i="14"/>
  <c r="G15" i="14"/>
  <c r="H15" i="14"/>
  <c r="G16" i="14"/>
  <c r="H16" i="14"/>
  <c r="G17" i="14"/>
  <c r="H17" i="14"/>
  <c r="G18" i="14"/>
  <c r="H18" i="14"/>
  <c r="G19" i="14"/>
  <c r="H19" i="14"/>
  <c r="G20" i="14"/>
  <c r="H20" i="14"/>
  <c r="V27" i="14"/>
  <c r="G29" i="14"/>
  <c r="H29" i="14"/>
  <c r="G30" i="14"/>
  <c r="H30" i="14"/>
  <c r="G31" i="14"/>
  <c r="H31" i="14"/>
  <c r="G32" i="14"/>
  <c r="H32" i="14"/>
  <c r="G33" i="14"/>
  <c r="H33" i="14"/>
  <c r="G34" i="14"/>
  <c r="H34" i="14"/>
  <c r="G35" i="14"/>
  <c r="H35" i="14"/>
  <c r="G36" i="14"/>
  <c r="H36" i="14"/>
  <c r="G37" i="14"/>
  <c r="H37" i="14"/>
  <c r="G38" i="14"/>
  <c r="H38" i="14"/>
  <c r="G39" i="14"/>
  <c r="H39" i="14"/>
  <c r="G40" i="14"/>
  <c r="H40" i="14"/>
  <c r="G41" i="14"/>
  <c r="H41" i="14"/>
  <c r="G42" i="14"/>
  <c r="H42" i="14"/>
  <c r="G43" i="14"/>
  <c r="H43" i="14"/>
  <c r="G44" i="14"/>
  <c r="H44" i="14"/>
  <c r="G45" i="14"/>
  <c r="H45" i="14"/>
  <c r="G46" i="14"/>
  <c r="H46" i="14"/>
  <c r="G47" i="14"/>
  <c r="H47" i="14"/>
  <c r="G48" i="14"/>
  <c r="H48" i="14"/>
  <c r="G49" i="14"/>
  <c r="H49" i="14"/>
  <c r="G50" i="14"/>
  <c r="H50" i="14"/>
  <c r="G51" i="14"/>
  <c r="H51" i="14"/>
  <c r="G52" i="14"/>
  <c r="H52" i="14"/>
  <c r="G53" i="14"/>
  <c r="H53" i="14"/>
  <c r="G54" i="14"/>
  <c r="H54" i="14"/>
  <c r="G55" i="14"/>
  <c r="H55" i="14"/>
  <c r="G56" i="14"/>
  <c r="H56" i="14"/>
  <c r="G57" i="14"/>
  <c r="H57" i="14"/>
  <c r="G58" i="14"/>
  <c r="H58" i="14"/>
  <c r="G59" i="14"/>
  <c r="H59" i="14"/>
  <c r="G60" i="14"/>
  <c r="H60" i="14"/>
  <c r="G61" i="14"/>
  <c r="H61" i="14"/>
  <c r="G62" i="14"/>
  <c r="H62" i="14"/>
  <c r="G63" i="14"/>
  <c r="H63" i="14"/>
  <c r="G64" i="14"/>
  <c r="H64" i="14"/>
  <c r="G65" i="14"/>
  <c r="H65" i="14"/>
  <c r="G66" i="14"/>
  <c r="H66" i="14"/>
  <c r="G67" i="14"/>
  <c r="H67" i="14"/>
  <c r="G68" i="14"/>
  <c r="H68" i="14"/>
  <c r="G69" i="14"/>
  <c r="H69" i="14"/>
  <c r="G70" i="14"/>
  <c r="H70" i="14"/>
  <c r="G71" i="14"/>
  <c r="H71" i="14"/>
  <c r="G72" i="14"/>
  <c r="H72" i="14"/>
  <c r="G73" i="14"/>
  <c r="H73" i="14"/>
  <c r="G74" i="14"/>
  <c r="H74" i="14"/>
  <c r="G75" i="14"/>
  <c r="H75" i="14"/>
  <c r="G76" i="14"/>
  <c r="H76" i="14"/>
  <c r="G77" i="14"/>
  <c r="H77" i="14"/>
  <c r="G78" i="14"/>
  <c r="H78" i="14"/>
  <c r="G79" i="14"/>
  <c r="H79" i="14"/>
  <c r="G80" i="14"/>
  <c r="H80" i="14"/>
  <c r="G81" i="14"/>
  <c r="H81" i="14"/>
  <c r="G82" i="14"/>
  <c r="H82" i="14"/>
  <c r="G83" i="14"/>
  <c r="H83" i="14"/>
  <c r="G84" i="14"/>
  <c r="H84" i="14"/>
  <c r="G85" i="14"/>
  <c r="H85" i="14"/>
  <c r="G86" i="14"/>
  <c r="H86" i="14"/>
  <c r="G87" i="14"/>
  <c r="H87" i="14"/>
  <c r="G88" i="14"/>
  <c r="H88" i="14"/>
  <c r="G89" i="14"/>
  <c r="H89" i="14"/>
  <c r="G90" i="14"/>
  <c r="H90" i="14"/>
  <c r="G91" i="14"/>
  <c r="H91" i="14"/>
  <c r="G92" i="14"/>
  <c r="H92" i="14"/>
  <c r="G93" i="14"/>
  <c r="H93" i="14"/>
  <c r="G94" i="14"/>
  <c r="H94" i="14"/>
  <c r="G95" i="14"/>
  <c r="H95" i="14"/>
  <c r="G96" i="14"/>
  <c r="H96" i="14"/>
  <c r="G97" i="14"/>
  <c r="H97" i="14"/>
  <c r="G98" i="14"/>
  <c r="H98" i="14"/>
  <c r="G99" i="14"/>
  <c r="H99" i="14"/>
  <c r="G100" i="14"/>
  <c r="H100" i="14"/>
  <c r="G101" i="14"/>
  <c r="H101" i="14"/>
  <c r="G102" i="14"/>
  <c r="H102" i="14"/>
  <c r="G103" i="14"/>
  <c r="H103" i="14"/>
  <c r="G104" i="14"/>
  <c r="H104" i="14"/>
  <c r="G105" i="14"/>
  <c r="H105" i="14"/>
  <c r="G106" i="14"/>
  <c r="H106" i="14"/>
  <c r="G107" i="14"/>
  <c r="H107" i="14"/>
  <c r="G108" i="14"/>
  <c r="H108" i="14"/>
  <c r="G109" i="14"/>
  <c r="H109" i="14"/>
  <c r="G110" i="14"/>
  <c r="H110" i="14"/>
  <c r="H3" i="14"/>
  <c r="G3" i="14"/>
  <c r="C3" i="14"/>
  <c r="D3" i="14" s="1"/>
  <c r="C4" i="14"/>
  <c r="D4" i="14" s="1"/>
  <c r="C5" i="14"/>
  <c r="D5" i="14" s="1"/>
  <c r="C6" i="14"/>
  <c r="D6" i="14" s="1"/>
  <c r="C7" i="14"/>
  <c r="E7" i="14" s="1"/>
  <c r="C8" i="14"/>
  <c r="E8" i="14" s="1"/>
  <c r="C9" i="14"/>
  <c r="E9" i="14" s="1"/>
  <c r="C10" i="14"/>
  <c r="D10" i="14" s="1"/>
  <c r="C11" i="14"/>
  <c r="D11" i="14" s="1"/>
  <c r="C12" i="14"/>
  <c r="D12" i="14" s="1"/>
  <c r="C13" i="14"/>
  <c r="D13" i="14" s="1"/>
  <c r="C14" i="14"/>
  <c r="D14" i="14" s="1"/>
  <c r="C15" i="14"/>
  <c r="E15" i="14" s="1"/>
  <c r="C16" i="14"/>
  <c r="E16" i="14" s="1"/>
  <c r="C17" i="14"/>
  <c r="E17" i="14" s="1"/>
  <c r="C18" i="14"/>
  <c r="D18" i="14" s="1"/>
  <c r="C19" i="14"/>
  <c r="D19" i="14" s="1"/>
  <c r="C20" i="14"/>
  <c r="D20" i="14" s="1"/>
  <c r="C29" i="14"/>
  <c r="D29" i="14" s="1"/>
  <c r="C30" i="14"/>
  <c r="D30" i="14" s="1"/>
  <c r="C31" i="14"/>
  <c r="E31" i="14" s="1"/>
  <c r="C32" i="14"/>
  <c r="E32" i="14" s="1"/>
  <c r="C33" i="14"/>
  <c r="E33" i="14" s="1"/>
  <c r="C34" i="14"/>
  <c r="D34" i="14" s="1"/>
  <c r="C35" i="14"/>
  <c r="D35" i="14" s="1"/>
  <c r="C36" i="14"/>
  <c r="D36" i="14" s="1"/>
  <c r="C37" i="14"/>
  <c r="D37" i="14" s="1"/>
  <c r="C38" i="14"/>
  <c r="D38" i="14" s="1"/>
  <c r="C39" i="14"/>
  <c r="E39" i="14" s="1"/>
  <c r="C40" i="14"/>
  <c r="E40" i="14" s="1"/>
  <c r="C41" i="14"/>
  <c r="E41" i="14" s="1"/>
  <c r="C42" i="14"/>
  <c r="D42" i="14" s="1"/>
  <c r="C43" i="14"/>
  <c r="D43" i="14" s="1"/>
  <c r="C44" i="14"/>
  <c r="D44" i="14" s="1"/>
  <c r="C45" i="14"/>
  <c r="D45" i="14" s="1"/>
  <c r="C46" i="14"/>
  <c r="D46" i="14" s="1"/>
  <c r="C47" i="14"/>
  <c r="E47" i="14" s="1"/>
  <c r="C48" i="14"/>
  <c r="E48" i="14" s="1"/>
  <c r="C49" i="14"/>
  <c r="E49" i="14" s="1"/>
  <c r="C50" i="14"/>
  <c r="D50" i="14" s="1"/>
  <c r="C51" i="14"/>
  <c r="D51" i="14" s="1"/>
  <c r="C52" i="14"/>
  <c r="D52" i="14" s="1"/>
  <c r="C53" i="14"/>
  <c r="D53" i="14" s="1"/>
  <c r="C54" i="14"/>
  <c r="D54" i="14" s="1"/>
  <c r="C55" i="14"/>
  <c r="E55" i="14" s="1"/>
  <c r="C56" i="14"/>
  <c r="E56" i="14" s="1"/>
  <c r="C57" i="14"/>
  <c r="E57" i="14" s="1"/>
  <c r="C58" i="14"/>
  <c r="D58" i="14" s="1"/>
  <c r="C59" i="14"/>
  <c r="D59" i="14" s="1"/>
  <c r="C60" i="14"/>
  <c r="D60" i="14" s="1"/>
  <c r="C61" i="14"/>
  <c r="D61" i="14" s="1"/>
  <c r="C62" i="14"/>
  <c r="D62" i="14" s="1"/>
  <c r="C63" i="14"/>
  <c r="E63" i="14" s="1"/>
  <c r="C64" i="14"/>
  <c r="E64" i="14" s="1"/>
  <c r="C65" i="14"/>
  <c r="E65" i="14" s="1"/>
  <c r="C66" i="14"/>
  <c r="D66" i="14" s="1"/>
  <c r="C67" i="14"/>
  <c r="D67" i="14" s="1"/>
  <c r="C68" i="14"/>
  <c r="D68" i="14" s="1"/>
  <c r="C69" i="14"/>
  <c r="D69" i="14" s="1"/>
  <c r="C70" i="14"/>
  <c r="D70" i="14" s="1"/>
  <c r="C71" i="14"/>
  <c r="E71" i="14" s="1"/>
  <c r="C72" i="14"/>
  <c r="E72" i="14" s="1"/>
  <c r="C73" i="14"/>
  <c r="E73" i="14" s="1"/>
  <c r="C74" i="14"/>
  <c r="D74" i="14" s="1"/>
  <c r="C75" i="14"/>
  <c r="D75" i="14" s="1"/>
  <c r="C76" i="14"/>
  <c r="D76" i="14" s="1"/>
  <c r="C77" i="14"/>
  <c r="D77" i="14" s="1"/>
  <c r="C78" i="14"/>
  <c r="D78" i="14" s="1"/>
  <c r="C79" i="14"/>
  <c r="E79" i="14" s="1"/>
  <c r="C80" i="14"/>
  <c r="E80" i="14" s="1"/>
  <c r="C81" i="14"/>
  <c r="E81" i="14" s="1"/>
  <c r="C82" i="14"/>
  <c r="D82" i="14" s="1"/>
  <c r="C83" i="14"/>
  <c r="D83" i="14" s="1"/>
  <c r="C84" i="14"/>
  <c r="D84" i="14" s="1"/>
  <c r="C85" i="14"/>
  <c r="D85" i="14" s="1"/>
  <c r="C86" i="14"/>
  <c r="D86" i="14" s="1"/>
  <c r="C87" i="14"/>
  <c r="E87" i="14" s="1"/>
  <c r="C88" i="14"/>
  <c r="E88" i="14" s="1"/>
  <c r="C89" i="14"/>
  <c r="E89" i="14" s="1"/>
  <c r="C90" i="14"/>
  <c r="D90" i="14" s="1"/>
  <c r="C91" i="14"/>
  <c r="D91" i="14" s="1"/>
  <c r="C92" i="14"/>
  <c r="D92" i="14" s="1"/>
  <c r="C93" i="14"/>
  <c r="D93" i="14" s="1"/>
  <c r="C94" i="14"/>
  <c r="D94" i="14" s="1"/>
  <c r="C95" i="14"/>
  <c r="E95" i="14" s="1"/>
  <c r="C96" i="14"/>
  <c r="E96" i="14" s="1"/>
  <c r="C97" i="14"/>
  <c r="E97" i="14" s="1"/>
  <c r="C98" i="14"/>
  <c r="D98" i="14" s="1"/>
  <c r="C99" i="14"/>
  <c r="D99" i="14" s="1"/>
  <c r="C100" i="14"/>
  <c r="D100" i="14" s="1"/>
  <c r="C101" i="14"/>
  <c r="D101" i="14" s="1"/>
  <c r="C102" i="14"/>
  <c r="D102" i="14" s="1"/>
  <c r="C103" i="14"/>
  <c r="E103" i="14" s="1"/>
  <c r="C104" i="14"/>
  <c r="E104" i="14" s="1"/>
  <c r="C105" i="14"/>
  <c r="E105" i="14" s="1"/>
  <c r="C106" i="14"/>
  <c r="D106" i="14" s="1"/>
  <c r="C107" i="14"/>
  <c r="D107" i="14" s="1"/>
  <c r="C108" i="14"/>
  <c r="D108" i="14" s="1"/>
  <c r="C109" i="14"/>
  <c r="D109" i="14" s="1"/>
  <c r="C110" i="14"/>
  <c r="D110" i="14" s="1"/>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3" i="14"/>
  <c r="B53" i="14"/>
  <c r="A54" i="14"/>
  <c r="B54" i="14"/>
  <c r="A55" i="14"/>
  <c r="B55" i="14"/>
  <c r="A56" i="14"/>
  <c r="B56" i="14"/>
  <c r="A57" i="14"/>
  <c r="B57" i="14"/>
  <c r="A58" i="14"/>
  <c r="B58"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29" i="14"/>
  <c r="B29" i="14"/>
  <c r="A30" i="14"/>
  <c r="B30" i="14"/>
  <c r="A31" i="14"/>
  <c r="B31" i="14"/>
  <c r="A4" i="14"/>
  <c r="B4" i="14"/>
  <c r="A5" i="14"/>
  <c r="B5" i="14"/>
  <c r="A6" i="14"/>
  <c r="B6" i="14"/>
  <c r="A7" i="14"/>
  <c r="B7" i="14"/>
  <c r="A8" i="14"/>
  <c r="B8" i="14"/>
  <c r="A9" i="14"/>
  <c r="B9" i="14"/>
  <c r="A10" i="14"/>
  <c r="B10" i="14"/>
  <c r="A11" i="14"/>
  <c r="B11" i="14"/>
  <c r="A12" i="14"/>
  <c r="B12" i="14"/>
  <c r="A13" i="14"/>
  <c r="B13" i="14"/>
  <c r="A14" i="14"/>
  <c r="B14" i="14"/>
  <c r="A15" i="14"/>
  <c r="B15" i="14"/>
  <c r="A16" i="14"/>
  <c r="B16" i="14"/>
  <c r="A17" i="14"/>
  <c r="B17" i="14"/>
  <c r="A18" i="14"/>
  <c r="B18" i="14"/>
  <c r="A19" i="14"/>
  <c r="B19" i="14"/>
  <c r="A20" i="14"/>
  <c r="B20" i="14"/>
  <c r="A3" i="14"/>
  <c r="B3" i="14"/>
  <c r="S2" i="13"/>
  <c r="F3" i="14" s="1"/>
  <c r="S3" i="13"/>
  <c r="F4" i="14" s="1"/>
  <c r="S4" i="13"/>
  <c r="F5" i="14" s="1"/>
  <c r="S5" i="13"/>
  <c r="F6" i="14" s="1"/>
  <c r="S6" i="13"/>
  <c r="F7" i="14" s="1"/>
  <c r="S7" i="13"/>
  <c r="F8" i="14" s="1"/>
  <c r="S8" i="13"/>
  <c r="F9" i="14" s="1"/>
  <c r="S9" i="13"/>
  <c r="F10" i="14" s="1"/>
  <c r="S10" i="13"/>
  <c r="F11" i="14" s="1"/>
  <c r="S11" i="13"/>
  <c r="F12" i="14" s="1"/>
  <c r="S12" i="13"/>
  <c r="F13" i="14" s="1"/>
  <c r="S13" i="13"/>
  <c r="F14" i="14" s="1"/>
  <c r="S14" i="13"/>
  <c r="F15" i="14" s="1"/>
  <c r="S15" i="13"/>
  <c r="F16" i="14" s="1"/>
  <c r="S16" i="13"/>
  <c r="F17" i="14" s="1"/>
  <c r="S17" i="13"/>
  <c r="F18" i="14" s="1"/>
  <c r="S18" i="13"/>
  <c r="F19" i="14" s="1"/>
  <c r="S19" i="13"/>
  <c r="F20" i="14" s="1"/>
  <c r="S28" i="13"/>
  <c r="F29" i="14" s="1"/>
  <c r="S29" i="13"/>
  <c r="F30" i="14" s="1"/>
  <c r="S30" i="13"/>
  <c r="F31" i="14" s="1"/>
  <c r="S31" i="13"/>
  <c r="F32" i="14" s="1"/>
  <c r="S32" i="13"/>
  <c r="F33" i="14" s="1"/>
  <c r="S33" i="13"/>
  <c r="F34" i="14" s="1"/>
  <c r="S34" i="13"/>
  <c r="F35" i="14" s="1"/>
  <c r="S35" i="13"/>
  <c r="F36" i="14" s="1"/>
  <c r="S36" i="13"/>
  <c r="F37" i="14" s="1"/>
  <c r="S37" i="13"/>
  <c r="F38" i="14" s="1"/>
  <c r="S38" i="13"/>
  <c r="F39" i="14" s="1"/>
  <c r="S39" i="13"/>
  <c r="F40" i="14" s="1"/>
  <c r="S40" i="13"/>
  <c r="F41" i="14" s="1"/>
  <c r="S41" i="13"/>
  <c r="F42" i="14" s="1"/>
  <c r="S42" i="13"/>
  <c r="F43" i="14" s="1"/>
  <c r="S43" i="13"/>
  <c r="F44" i="14" s="1"/>
  <c r="S44" i="13"/>
  <c r="F45" i="14" s="1"/>
  <c r="S45" i="13"/>
  <c r="F46" i="14" s="1"/>
  <c r="S46" i="13"/>
  <c r="F47" i="14" s="1"/>
  <c r="S47" i="13"/>
  <c r="F48" i="14" s="1"/>
  <c r="S48" i="13"/>
  <c r="F49" i="14" s="1"/>
  <c r="S49" i="13"/>
  <c r="F50" i="14" s="1"/>
  <c r="S50" i="13"/>
  <c r="F51" i="14" s="1"/>
  <c r="S51" i="13"/>
  <c r="F52" i="14" s="1"/>
  <c r="S52" i="13"/>
  <c r="F53" i="14" s="1"/>
  <c r="S53" i="13"/>
  <c r="F54" i="14" s="1"/>
  <c r="S54" i="13"/>
  <c r="F55" i="14" s="1"/>
  <c r="S55" i="13"/>
  <c r="F56" i="14" s="1"/>
  <c r="S56" i="13"/>
  <c r="F57" i="14" s="1"/>
  <c r="S57" i="13"/>
  <c r="F58" i="14" s="1"/>
  <c r="S58" i="13"/>
  <c r="F59" i="14" s="1"/>
  <c r="S59" i="13"/>
  <c r="F60" i="14" s="1"/>
  <c r="S60" i="13"/>
  <c r="F61" i="14" s="1"/>
  <c r="S61" i="13"/>
  <c r="F62" i="14" s="1"/>
  <c r="S62" i="13"/>
  <c r="F63" i="14" s="1"/>
  <c r="S63" i="13"/>
  <c r="F64" i="14" s="1"/>
  <c r="S64" i="13"/>
  <c r="F65" i="14" s="1"/>
  <c r="S65" i="13"/>
  <c r="F66" i="14" s="1"/>
  <c r="S66" i="13"/>
  <c r="F67" i="14" s="1"/>
  <c r="S67" i="13"/>
  <c r="F68" i="14" s="1"/>
  <c r="S68" i="13"/>
  <c r="F69" i="14" s="1"/>
  <c r="S69" i="13"/>
  <c r="F70" i="14" s="1"/>
  <c r="S70" i="13"/>
  <c r="F71" i="14" s="1"/>
  <c r="S71" i="13"/>
  <c r="F72" i="14" s="1"/>
  <c r="S72" i="13"/>
  <c r="F73" i="14" s="1"/>
  <c r="S73" i="13"/>
  <c r="F74" i="14" s="1"/>
  <c r="S74" i="13"/>
  <c r="F75" i="14" s="1"/>
  <c r="S75" i="13"/>
  <c r="F76" i="14" s="1"/>
  <c r="S76" i="13"/>
  <c r="F77" i="14" s="1"/>
  <c r="S77" i="13"/>
  <c r="F78" i="14" s="1"/>
  <c r="S78" i="13"/>
  <c r="F79" i="14" s="1"/>
  <c r="S79" i="13"/>
  <c r="F80" i="14" s="1"/>
  <c r="S80" i="13"/>
  <c r="F81" i="14" s="1"/>
  <c r="S81" i="13"/>
  <c r="F82" i="14" s="1"/>
  <c r="S82" i="13"/>
  <c r="F83" i="14" s="1"/>
  <c r="S83" i="13"/>
  <c r="F84" i="14" s="1"/>
  <c r="S84" i="13"/>
  <c r="F85" i="14" s="1"/>
  <c r="S85" i="13"/>
  <c r="F86" i="14" s="1"/>
  <c r="S86" i="13"/>
  <c r="F87" i="14" s="1"/>
  <c r="S87" i="13"/>
  <c r="F88" i="14" s="1"/>
  <c r="S88" i="13"/>
  <c r="F89" i="14" s="1"/>
  <c r="S89" i="13"/>
  <c r="F90" i="14" s="1"/>
  <c r="S90" i="13"/>
  <c r="F91" i="14" s="1"/>
  <c r="S91" i="13"/>
  <c r="F92" i="14" s="1"/>
  <c r="S92" i="13"/>
  <c r="F93" i="14" s="1"/>
  <c r="S93" i="13"/>
  <c r="F94" i="14" s="1"/>
  <c r="S94" i="13"/>
  <c r="F95" i="14" s="1"/>
  <c r="S95" i="13"/>
  <c r="F96" i="14" s="1"/>
  <c r="S96" i="13"/>
  <c r="F97" i="14" s="1"/>
  <c r="S97" i="13"/>
  <c r="F98" i="14" s="1"/>
  <c r="S98" i="13"/>
  <c r="F99" i="14" s="1"/>
  <c r="S99" i="13"/>
  <c r="F100" i="14" s="1"/>
  <c r="S100" i="13"/>
  <c r="F101" i="14" s="1"/>
  <c r="S101" i="13"/>
  <c r="F102" i="14" s="1"/>
  <c r="S102" i="13"/>
  <c r="F103" i="14" s="1"/>
  <c r="S103" i="13"/>
  <c r="F104" i="14" s="1"/>
  <c r="S104" i="13"/>
  <c r="F105" i="14" s="1"/>
  <c r="S105" i="13"/>
  <c r="F106" i="14" s="1"/>
  <c r="S106" i="13"/>
  <c r="F107" i="14" s="1"/>
  <c r="S107" i="13"/>
  <c r="F108" i="14" s="1"/>
  <c r="S108" i="13"/>
  <c r="F109" i="14" s="1"/>
  <c r="S109" i="13"/>
  <c r="F110" i="14" s="1"/>
  <c r="S110" i="13"/>
  <c r="F111" i="14" s="1"/>
  <c r="Y2" i="14"/>
  <c r="O116" i="14" l="1"/>
  <c r="E62" i="14"/>
  <c r="D81" i="14"/>
  <c r="D17" i="14"/>
  <c r="D73" i="14"/>
  <c r="D9" i="14"/>
  <c r="E54" i="14"/>
  <c r="D65" i="14"/>
  <c r="E110" i="14"/>
  <c r="E46" i="14"/>
  <c r="D57" i="14"/>
  <c r="E102" i="14"/>
  <c r="E38" i="14"/>
  <c r="D49" i="14"/>
  <c r="E94" i="14"/>
  <c r="E30" i="14"/>
  <c r="D105" i="14"/>
  <c r="D41" i="14"/>
  <c r="E86" i="14"/>
  <c r="D97" i="14"/>
  <c r="D33" i="14"/>
  <c r="E78" i="14"/>
  <c r="E14" i="14"/>
  <c r="D89" i="14"/>
  <c r="E70" i="14"/>
  <c r="E6" i="14"/>
  <c r="D104" i="14"/>
  <c r="D96" i="14"/>
  <c r="D88" i="14"/>
  <c r="D80" i="14"/>
  <c r="D72" i="14"/>
  <c r="D64" i="14"/>
  <c r="D56" i="14"/>
  <c r="D48" i="14"/>
  <c r="D40" i="14"/>
  <c r="D32" i="14"/>
  <c r="D16" i="14"/>
  <c r="D8" i="14"/>
  <c r="E109" i="14"/>
  <c r="E101" i="14"/>
  <c r="E93" i="14"/>
  <c r="E85" i="14"/>
  <c r="E77" i="14"/>
  <c r="E69" i="14"/>
  <c r="E61" i="14"/>
  <c r="E53" i="14"/>
  <c r="E45" i="14"/>
  <c r="E37" i="14"/>
  <c r="E29" i="14"/>
  <c r="E13" i="14"/>
  <c r="E5" i="14"/>
  <c r="D111" i="14"/>
  <c r="D103" i="14"/>
  <c r="D95" i="14"/>
  <c r="D87" i="14"/>
  <c r="D79" i="14"/>
  <c r="D71" i="14"/>
  <c r="D63" i="14"/>
  <c r="D55" i="14"/>
  <c r="D47" i="14"/>
  <c r="D39" i="14"/>
  <c r="D31" i="14"/>
  <c r="D15" i="14"/>
  <c r="D7" i="14"/>
  <c r="E108" i="14"/>
  <c r="E100" i="14"/>
  <c r="E92" i="14"/>
  <c r="E84" i="14"/>
  <c r="E76" i="14"/>
  <c r="E68" i="14"/>
  <c r="E60" i="14"/>
  <c r="E52" i="14"/>
  <c r="E44" i="14"/>
  <c r="E36" i="14"/>
  <c r="E20" i="14"/>
  <c r="E12" i="14"/>
  <c r="E4" i="14"/>
  <c r="E107" i="14"/>
  <c r="E99" i="14"/>
  <c r="E91" i="14"/>
  <c r="E83" i="14"/>
  <c r="E75" i="14"/>
  <c r="E67" i="14"/>
  <c r="E59" i="14"/>
  <c r="E51" i="14"/>
  <c r="E43" i="14"/>
  <c r="E35" i="14"/>
  <c r="E19" i="14"/>
  <c r="E11" i="14"/>
  <c r="E3" i="14"/>
  <c r="E106" i="14"/>
  <c r="E98" i="14"/>
  <c r="E90" i="14"/>
  <c r="E82" i="14"/>
  <c r="E74" i="14"/>
  <c r="E66" i="14"/>
  <c r="E58" i="14"/>
  <c r="E50" i="14"/>
  <c r="E42" i="14"/>
  <c r="E34" i="14"/>
  <c r="E18" i="14"/>
  <c r="E10" i="14"/>
  <c r="O3" i="14"/>
  <c r="O99" i="14"/>
  <c r="O67" i="14"/>
  <c r="O35" i="14"/>
  <c r="O95" i="14"/>
  <c r="O63" i="14"/>
  <c r="O31" i="14"/>
  <c r="O91" i="14"/>
  <c r="O59" i="14"/>
  <c r="O27" i="14"/>
  <c r="O87" i="14"/>
  <c r="O55" i="14"/>
  <c r="O23" i="14"/>
  <c r="O83" i="14"/>
  <c r="O51" i="14"/>
  <c r="O19" i="14"/>
  <c r="O111" i="14"/>
  <c r="O79" i="14"/>
  <c r="O47" i="14"/>
  <c r="O15" i="14"/>
  <c r="O107" i="14"/>
  <c r="O75" i="14"/>
  <c r="O43" i="14"/>
  <c r="O11" i="14"/>
  <c r="O103" i="14"/>
  <c r="O71" i="14"/>
  <c r="O39" i="14"/>
  <c r="O7" i="14"/>
  <c r="O110" i="14"/>
  <c r="O102" i="14"/>
  <c r="O94" i="14"/>
  <c r="O86" i="14"/>
  <c r="O78" i="14"/>
  <c r="O70" i="14"/>
  <c r="O62" i="14"/>
  <c r="O54" i="14"/>
  <c r="O46" i="14"/>
  <c r="O38" i="14"/>
  <c r="O30" i="14"/>
  <c r="O22" i="14"/>
  <c r="O14" i="14"/>
  <c r="O6" i="14"/>
  <c r="O109" i="14"/>
  <c r="O101" i="14"/>
  <c r="O93" i="14"/>
  <c r="O85" i="14"/>
  <c r="O77" i="14"/>
  <c r="O69" i="14"/>
  <c r="O61" i="14"/>
  <c r="O53" i="14"/>
  <c r="O45" i="14"/>
  <c r="O37" i="14"/>
  <c r="O29" i="14"/>
  <c r="O21" i="14"/>
  <c r="O13" i="14"/>
  <c r="O5" i="14"/>
  <c r="O108" i="14"/>
  <c r="O100" i="14"/>
  <c r="O92" i="14"/>
  <c r="O84" i="14"/>
  <c r="O76" i="14"/>
  <c r="O68" i="14"/>
  <c r="O60" i="14"/>
  <c r="O52" i="14"/>
  <c r="O44" i="14"/>
  <c r="O36" i="14"/>
  <c r="O28" i="14"/>
  <c r="O20" i="14"/>
  <c r="O12" i="14"/>
  <c r="O4" i="14"/>
  <c r="O106" i="14"/>
  <c r="O98" i="14"/>
  <c r="O90" i="14"/>
  <c r="O82" i="14"/>
  <c r="O74" i="14"/>
  <c r="O66" i="14"/>
  <c r="O58" i="14"/>
  <c r="O50" i="14"/>
  <c r="O42" i="14"/>
  <c r="O34" i="14"/>
  <c r="O26" i="14"/>
  <c r="O18" i="14"/>
  <c r="O10" i="14"/>
  <c r="O105" i="14"/>
  <c r="O97" i="14"/>
  <c r="O89" i="14"/>
  <c r="O81" i="14"/>
  <c r="O73" i="14"/>
  <c r="O65" i="14"/>
  <c r="O57" i="14"/>
  <c r="O49" i="14"/>
  <c r="O41" i="14"/>
  <c r="O33" i="14"/>
  <c r="O25" i="14"/>
  <c r="O17" i="14"/>
  <c r="O9" i="14"/>
  <c r="O104" i="14"/>
  <c r="O96" i="14"/>
  <c r="O88" i="14"/>
  <c r="O80" i="14"/>
  <c r="O72" i="14"/>
  <c r="O64" i="14"/>
  <c r="O56" i="14"/>
  <c r="O48" i="14"/>
  <c r="O40" i="14"/>
  <c r="O32" i="14"/>
  <c r="O24" i="14"/>
  <c r="O16" i="14"/>
  <c r="O8" i="14"/>
  <c r="G113" i="14" l="1"/>
  <c r="F10" i="3" s="1"/>
  <c r="H113" i="14"/>
  <c r="H114" i="14"/>
  <c r="G114" i="14"/>
  <c r="F9" i="3" s="1"/>
  <c r="G199" i="10" l="1"/>
  <c r="H199" i="10"/>
  <c r="I198" i="10"/>
  <c r="I11" i="10"/>
  <c r="I12" i="10"/>
  <c r="I13" i="10"/>
  <c r="I14" i="10"/>
  <c r="I15" i="10"/>
  <c r="I16" i="10"/>
  <c r="I17" i="10"/>
  <c r="I18" i="10"/>
  <c r="I19" i="10"/>
  <c r="I20" i="10"/>
  <c r="J17" i="14" s="1"/>
  <c r="M17" i="14" s="1"/>
  <c r="I21" i="10"/>
  <c r="J18" i="14" s="1"/>
  <c r="M18" i="14" s="1"/>
  <c r="I22" i="10"/>
  <c r="I23" i="10"/>
  <c r="J19" i="14" s="1"/>
  <c r="M19" i="14" s="1"/>
  <c r="I24" i="10"/>
  <c r="I25" i="10"/>
  <c r="I26" i="10"/>
  <c r="I27" i="10"/>
  <c r="I28" i="10"/>
  <c r="I29" i="10"/>
  <c r="I30" i="10"/>
  <c r="J20" i="14" s="1"/>
  <c r="M20" i="14" s="1"/>
  <c r="I31" i="10"/>
  <c r="I32" i="10"/>
  <c r="I33" i="10"/>
  <c r="I34" i="10"/>
  <c r="I35" i="10"/>
  <c r="I36" i="10"/>
  <c r="J29" i="14" s="1"/>
  <c r="M29" i="14" s="1"/>
  <c r="I37" i="10"/>
  <c r="J30" i="14" s="1"/>
  <c r="M30" i="14" s="1"/>
  <c r="I38" i="10"/>
  <c r="I39" i="10"/>
  <c r="I40" i="10"/>
  <c r="I41" i="10"/>
  <c r="I42" i="10"/>
  <c r="J34" i="14" s="1"/>
  <c r="M34" i="14" s="1"/>
  <c r="I43" i="10"/>
  <c r="I44" i="10"/>
  <c r="I45" i="10"/>
  <c r="I46" i="10"/>
  <c r="J35" i="14" s="1"/>
  <c r="M35" i="14" s="1"/>
  <c r="I47" i="10"/>
  <c r="J36" i="14" s="1"/>
  <c r="M36" i="14" s="1"/>
  <c r="I48" i="10"/>
  <c r="I49" i="10"/>
  <c r="I50" i="10"/>
  <c r="J37" i="14" s="1"/>
  <c r="M37" i="14" s="1"/>
  <c r="I51" i="10"/>
  <c r="I52" i="10"/>
  <c r="I53" i="10"/>
  <c r="I54" i="10"/>
  <c r="I55" i="10"/>
  <c r="I56" i="10"/>
  <c r="I57" i="10"/>
  <c r="I58" i="10"/>
  <c r="I59" i="10"/>
  <c r="J39" i="14" s="1"/>
  <c r="M39" i="14" s="1"/>
  <c r="I60" i="10"/>
  <c r="J38" i="14" s="1"/>
  <c r="M38" i="14" s="1"/>
  <c r="I61" i="10"/>
  <c r="J40" i="14" s="1"/>
  <c r="M40" i="14" s="1"/>
  <c r="I62" i="10"/>
  <c r="I63" i="10"/>
  <c r="J43" i="14" s="1"/>
  <c r="M43" i="14" s="1"/>
  <c r="I64" i="10"/>
  <c r="I65" i="10"/>
  <c r="J44" i="14" s="1"/>
  <c r="M44" i="14" s="1"/>
  <c r="I66" i="10"/>
  <c r="I67" i="10"/>
  <c r="J47" i="14" s="1"/>
  <c r="M47" i="14" s="1"/>
  <c r="I68" i="10"/>
  <c r="I69" i="10"/>
  <c r="I70" i="10"/>
  <c r="I71" i="10"/>
  <c r="J48" i="14" s="1"/>
  <c r="M48" i="14" s="1"/>
  <c r="I72" i="10"/>
  <c r="I73" i="10"/>
  <c r="I74" i="10"/>
  <c r="I75" i="10"/>
  <c r="I76" i="10"/>
  <c r="I77" i="10"/>
  <c r="J49" i="14" s="1"/>
  <c r="M49" i="14" s="1"/>
  <c r="I78" i="10"/>
  <c r="I79" i="10"/>
  <c r="J54" i="14" s="1"/>
  <c r="M54" i="14" s="1"/>
  <c r="I80" i="10"/>
  <c r="J55" i="14" s="1"/>
  <c r="M55" i="14" s="1"/>
  <c r="I81" i="10"/>
  <c r="I82" i="10"/>
  <c r="I83" i="10"/>
  <c r="J56" i="14" s="1"/>
  <c r="M56" i="14" s="1"/>
  <c r="I84" i="10"/>
  <c r="I85" i="10"/>
  <c r="J57" i="14" s="1"/>
  <c r="M57" i="14" s="1"/>
  <c r="I86" i="10"/>
  <c r="I87" i="10"/>
  <c r="J58" i="14" s="1"/>
  <c r="M58" i="14" s="1"/>
  <c r="I88" i="10"/>
  <c r="I89" i="10"/>
  <c r="I90" i="10"/>
  <c r="I91" i="10"/>
  <c r="I92" i="10"/>
  <c r="I93" i="10"/>
  <c r="I94" i="10"/>
  <c r="I95" i="10"/>
  <c r="J59" i="14" s="1"/>
  <c r="M59" i="14" s="1"/>
  <c r="I96" i="10"/>
  <c r="I97" i="10"/>
  <c r="I98" i="10"/>
  <c r="I99" i="10"/>
  <c r="I100" i="10"/>
  <c r="I101" i="10"/>
  <c r="J60" i="14" s="1"/>
  <c r="M60" i="14" s="1"/>
  <c r="I102" i="10"/>
  <c r="J61" i="14" s="1"/>
  <c r="M61" i="14" s="1"/>
  <c r="I103" i="10"/>
  <c r="J70" i="14" s="1"/>
  <c r="M70" i="14" s="1"/>
  <c r="I104" i="10"/>
  <c r="I105" i="10"/>
  <c r="I106" i="10"/>
  <c r="I107" i="10"/>
  <c r="I108" i="10"/>
  <c r="I109" i="10"/>
  <c r="J62" i="14" s="1"/>
  <c r="M62" i="14" s="1"/>
  <c r="I110" i="10"/>
  <c r="J63" i="14" s="1"/>
  <c r="M63" i="14" s="1"/>
  <c r="I111" i="10"/>
  <c r="I112" i="10"/>
  <c r="I113" i="10"/>
  <c r="J64" i="14" s="1"/>
  <c r="M64" i="14" s="1"/>
  <c r="I114" i="10"/>
  <c r="I115" i="10"/>
  <c r="I116" i="10"/>
  <c r="I117" i="10"/>
  <c r="I118" i="10"/>
  <c r="J65" i="14" s="1"/>
  <c r="M65" i="14" s="1"/>
  <c r="I119" i="10"/>
  <c r="I120" i="10"/>
  <c r="I121" i="10"/>
  <c r="I122" i="10"/>
  <c r="I123" i="10"/>
  <c r="J66" i="14" s="1"/>
  <c r="M66" i="14" s="1"/>
  <c r="I124" i="10"/>
  <c r="J67" i="14" s="1"/>
  <c r="M67" i="14" s="1"/>
  <c r="I125" i="10"/>
  <c r="J68" i="14" s="1"/>
  <c r="M68" i="14" s="1"/>
  <c r="I126" i="10"/>
  <c r="I127" i="10"/>
  <c r="I128" i="10"/>
  <c r="J69" i="14" s="1"/>
  <c r="M69" i="14" s="1"/>
  <c r="I129" i="10"/>
  <c r="I130" i="10"/>
  <c r="J71" i="14" s="1"/>
  <c r="M71" i="14" s="1"/>
  <c r="I131" i="10"/>
  <c r="J72" i="14" s="1"/>
  <c r="M72" i="14" s="1"/>
  <c r="I132" i="10"/>
  <c r="I133" i="10"/>
  <c r="I134" i="10"/>
  <c r="I135" i="10"/>
  <c r="I136" i="10"/>
  <c r="I137" i="10"/>
  <c r="I138" i="10"/>
  <c r="I139" i="10"/>
  <c r="I140" i="10"/>
  <c r="I141" i="10"/>
  <c r="I142" i="10"/>
  <c r="J81" i="14" s="1"/>
  <c r="M81" i="14" s="1"/>
  <c r="I143" i="10"/>
  <c r="I144" i="10"/>
  <c r="I145" i="10"/>
  <c r="J75" i="14" s="1"/>
  <c r="M75" i="14" s="1"/>
  <c r="I146" i="10"/>
  <c r="I147" i="10"/>
  <c r="I148" i="10"/>
  <c r="I149" i="10"/>
  <c r="I150" i="10"/>
  <c r="I151" i="10"/>
  <c r="I152" i="10"/>
  <c r="I153" i="10"/>
  <c r="I154" i="10"/>
  <c r="I155" i="10"/>
  <c r="I156" i="10"/>
  <c r="I157" i="10"/>
  <c r="I158" i="10"/>
  <c r="J76" i="14" s="1"/>
  <c r="M76" i="14" s="1"/>
  <c r="I159" i="10"/>
  <c r="J77" i="14" s="1"/>
  <c r="M77" i="14" s="1"/>
  <c r="I160" i="10"/>
  <c r="J78" i="14" s="1"/>
  <c r="M78" i="14" s="1"/>
  <c r="I161" i="10"/>
  <c r="J79" i="14" s="1"/>
  <c r="M79" i="14" s="1"/>
  <c r="I162" i="10"/>
  <c r="I163" i="10"/>
  <c r="J80" i="14" s="1"/>
  <c r="M80" i="14" s="1"/>
  <c r="I164" i="10"/>
  <c r="I165" i="10"/>
  <c r="J82" i="14" s="1"/>
  <c r="M82" i="14" s="1"/>
  <c r="I166" i="10"/>
  <c r="J83" i="14" s="1"/>
  <c r="M83" i="14" s="1"/>
  <c r="I167" i="10"/>
  <c r="I168" i="10"/>
  <c r="I169" i="10"/>
  <c r="I170" i="10"/>
  <c r="J84" i="14" s="1"/>
  <c r="M84" i="14" s="1"/>
  <c r="I171" i="10"/>
  <c r="J85" i="14" s="1"/>
  <c r="M85" i="14" s="1"/>
  <c r="I172" i="10"/>
  <c r="I173" i="10"/>
  <c r="I174" i="10"/>
  <c r="J86" i="14" s="1"/>
  <c r="M86" i="14" s="1"/>
  <c r="I175" i="10"/>
  <c r="I176" i="10"/>
  <c r="I177" i="10"/>
  <c r="J87" i="14" s="1"/>
  <c r="M87" i="14" s="1"/>
  <c r="I178" i="10"/>
  <c r="I179" i="10"/>
  <c r="J88" i="14" s="1"/>
  <c r="M88" i="14" s="1"/>
  <c r="I180" i="10"/>
  <c r="I181" i="10"/>
  <c r="I182" i="10"/>
  <c r="I183" i="10"/>
  <c r="I184" i="10"/>
  <c r="I185" i="10"/>
  <c r="I186" i="10"/>
  <c r="I187" i="10"/>
  <c r="I188" i="10"/>
  <c r="J104" i="14" s="1"/>
  <c r="M104" i="14" s="1"/>
  <c r="I189" i="10"/>
  <c r="I190" i="10"/>
  <c r="I191" i="10"/>
  <c r="J107" i="14" s="1"/>
  <c r="M107" i="14" s="1"/>
  <c r="I192" i="10"/>
  <c r="I193" i="10"/>
  <c r="I194" i="10"/>
  <c r="I195" i="10"/>
  <c r="I196" i="10"/>
  <c r="J108" i="14" s="1"/>
  <c r="M108" i="14" s="1"/>
  <c r="I3" i="10"/>
  <c r="I4" i="10"/>
  <c r="I5" i="10"/>
  <c r="J3" i="14" s="1"/>
  <c r="I6" i="10"/>
  <c r="I7" i="10"/>
  <c r="I8" i="10"/>
  <c r="J4" i="14" s="1"/>
  <c r="M4" i="14" s="1"/>
  <c r="I9" i="10"/>
  <c r="I10" i="10"/>
  <c r="I2" i="10"/>
  <c r="E199" i="10"/>
  <c r="F198" i="10"/>
  <c r="F3" i="10"/>
  <c r="F4" i="10"/>
  <c r="F5" i="10"/>
  <c r="I3" i="14" s="1"/>
  <c r="F6" i="10"/>
  <c r="F7" i="10"/>
  <c r="F8" i="10"/>
  <c r="I4" i="14" s="1"/>
  <c r="F9" i="10"/>
  <c r="F10" i="10"/>
  <c r="F11" i="10"/>
  <c r="F12" i="10"/>
  <c r="F13" i="10"/>
  <c r="F14" i="10"/>
  <c r="F15" i="10"/>
  <c r="F16" i="10"/>
  <c r="F17" i="10"/>
  <c r="F18" i="10"/>
  <c r="F19" i="10"/>
  <c r="F20" i="10"/>
  <c r="I17" i="14" s="1"/>
  <c r="F21" i="10"/>
  <c r="I18" i="14" s="1"/>
  <c r="F22" i="10"/>
  <c r="F23" i="10"/>
  <c r="I19" i="14" s="1"/>
  <c r="F24" i="10"/>
  <c r="F25" i="10"/>
  <c r="F26" i="10"/>
  <c r="F27" i="10"/>
  <c r="F28" i="10"/>
  <c r="F29" i="10"/>
  <c r="F30" i="10"/>
  <c r="I20" i="14" s="1"/>
  <c r="F31" i="10"/>
  <c r="F32" i="10"/>
  <c r="F33" i="10"/>
  <c r="F34" i="10"/>
  <c r="F35" i="10"/>
  <c r="F36" i="10"/>
  <c r="I29" i="14" s="1"/>
  <c r="F37" i="10"/>
  <c r="I30" i="14" s="1"/>
  <c r="F38" i="10"/>
  <c r="F39" i="10"/>
  <c r="F40" i="10"/>
  <c r="F41" i="10"/>
  <c r="F42" i="10"/>
  <c r="F43" i="10"/>
  <c r="F44" i="10"/>
  <c r="F45" i="10"/>
  <c r="F46" i="10"/>
  <c r="I35" i="14" s="1"/>
  <c r="F47" i="10"/>
  <c r="I36" i="14" s="1"/>
  <c r="F48" i="10"/>
  <c r="F49" i="10"/>
  <c r="F50" i="10"/>
  <c r="I37" i="14" s="1"/>
  <c r="F51" i="10"/>
  <c r="F52" i="10"/>
  <c r="F53" i="10"/>
  <c r="F54" i="10"/>
  <c r="F55" i="10"/>
  <c r="F56" i="10"/>
  <c r="F57" i="10"/>
  <c r="F58" i="10"/>
  <c r="F59" i="10"/>
  <c r="I39" i="14" s="1"/>
  <c r="F60" i="10"/>
  <c r="I38" i="14" s="1"/>
  <c r="F61" i="10"/>
  <c r="I40" i="14" s="1"/>
  <c r="F62" i="10"/>
  <c r="F63" i="10"/>
  <c r="I43" i="14" s="1"/>
  <c r="F64" i="10"/>
  <c r="F65" i="10"/>
  <c r="I44" i="14" s="1"/>
  <c r="F66" i="10"/>
  <c r="F67" i="10"/>
  <c r="I47" i="14" s="1"/>
  <c r="F68" i="10"/>
  <c r="F69" i="10"/>
  <c r="F70" i="10"/>
  <c r="F71" i="10"/>
  <c r="I48" i="14" s="1"/>
  <c r="F72" i="10"/>
  <c r="F73" i="10"/>
  <c r="F74" i="10"/>
  <c r="F75" i="10"/>
  <c r="F76" i="10"/>
  <c r="F77" i="10"/>
  <c r="I49" i="14" s="1"/>
  <c r="F78" i="10"/>
  <c r="F79" i="10"/>
  <c r="I54" i="14" s="1"/>
  <c r="F80" i="10"/>
  <c r="I55" i="14" s="1"/>
  <c r="F81" i="10"/>
  <c r="F82" i="10"/>
  <c r="F83" i="10"/>
  <c r="I56" i="14" s="1"/>
  <c r="F84" i="10"/>
  <c r="F85" i="10"/>
  <c r="I57" i="14" s="1"/>
  <c r="F86" i="10"/>
  <c r="F87" i="10"/>
  <c r="I58" i="14" s="1"/>
  <c r="F88" i="10"/>
  <c r="F89" i="10"/>
  <c r="F90" i="10"/>
  <c r="F91" i="10"/>
  <c r="F92" i="10"/>
  <c r="F93" i="10"/>
  <c r="F94" i="10"/>
  <c r="F95" i="10"/>
  <c r="I59" i="14" s="1"/>
  <c r="F96" i="10"/>
  <c r="F97" i="10"/>
  <c r="F98" i="10"/>
  <c r="F99" i="10"/>
  <c r="F100" i="10"/>
  <c r="F101" i="10"/>
  <c r="I60" i="14" s="1"/>
  <c r="F102" i="10"/>
  <c r="I61" i="14" s="1"/>
  <c r="F103" i="10"/>
  <c r="I70" i="14" s="1"/>
  <c r="F104" i="10"/>
  <c r="F105" i="10"/>
  <c r="F106" i="10"/>
  <c r="F107" i="10"/>
  <c r="F108" i="10"/>
  <c r="F109" i="10"/>
  <c r="I62" i="14" s="1"/>
  <c r="F110" i="10"/>
  <c r="I63" i="14" s="1"/>
  <c r="F111" i="10"/>
  <c r="F112" i="10"/>
  <c r="F113" i="10"/>
  <c r="I64" i="14" s="1"/>
  <c r="F114" i="10"/>
  <c r="F115" i="10"/>
  <c r="F116" i="10"/>
  <c r="F117" i="10"/>
  <c r="F118" i="10"/>
  <c r="I65" i="14" s="1"/>
  <c r="F119" i="10"/>
  <c r="F120" i="10"/>
  <c r="F121" i="10"/>
  <c r="F122" i="10"/>
  <c r="F123" i="10"/>
  <c r="I66" i="14" s="1"/>
  <c r="F124" i="10"/>
  <c r="I67" i="14" s="1"/>
  <c r="F125" i="10"/>
  <c r="I68" i="14" s="1"/>
  <c r="F126" i="10"/>
  <c r="F127" i="10"/>
  <c r="F128" i="10"/>
  <c r="I69" i="14" s="1"/>
  <c r="F129" i="10"/>
  <c r="F130" i="10"/>
  <c r="I71" i="14" s="1"/>
  <c r="F131" i="10"/>
  <c r="I72" i="14" s="1"/>
  <c r="F132" i="10"/>
  <c r="F133" i="10"/>
  <c r="F134" i="10"/>
  <c r="F135" i="10"/>
  <c r="F136" i="10"/>
  <c r="F137" i="10"/>
  <c r="F138" i="10"/>
  <c r="F139" i="10"/>
  <c r="F140" i="10"/>
  <c r="F141" i="10"/>
  <c r="F142" i="10"/>
  <c r="I81" i="14" s="1"/>
  <c r="F143" i="10"/>
  <c r="F144" i="10"/>
  <c r="F145" i="10"/>
  <c r="I75" i="14" s="1"/>
  <c r="F146" i="10"/>
  <c r="F147" i="10"/>
  <c r="F148" i="10"/>
  <c r="F149" i="10"/>
  <c r="F150" i="10"/>
  <c r="F151" i="10"/>
  <c r="F152" i="10"/>
  <c r="F153" i="10"/>
  <c r="F154" i="10"/>
  <c r="F155" i="10"/>
  <c r="F156" i="10"/>
  <c r="F157" i="10"/>
  <c r="F158" i="10"/>
  <c r="I76" i="14" s="1"/>
  <c r="F159" i="10"/>
  <c r="I77" i="14" s="1"/>
  <c r="F160" i="10"/>
  <c r="I78" i="14" s="1"/>
  <c r="F161" i="10"/>
  <c r="I79" i="14" s="1"/>
  <c r="F162" i="10"/>
  <c r="F163" i="10"/>
  <c r="I80" i="14" s="1"/>
  <c r="F164" i="10"/>
  <c r="F165" i="10"/>
  <c r="I82" i="14" s="1"/>
  <c r="F166" i="10"/>
  <c r="I83" i="14" s="1"/>
  <c r="F167" i="10"/>
  <c r="F168" i="10"/>
  <c r="F169" i="10"/>
  <c r="F170" i="10"/>
  <c r="I84" i="14" s="1"/>
  <c r="F171" i="10"/>
  <c r="I85" i="14" s="1"/>
  <c r="F172" i="10"/>
  <c r="F173" i="10"/>
  <c r="F174" i="10"/>
  <c r="I86" i="14" s="1"/>
  <c r="F175" i="10"/>
  <c r="F176" i="10"/>
  <c r="F177" i="10"/>
  <c r="I87" i="14" s="1"/>
  <c r="F178" i="10"/>
  <c r="F179" i="10"/>
  <c r="I88" i="14" s="1"/>
  <c r="F180" i="10"/>
  <c r="F181" i="10"/>
  <c r="F182" i="10"/>
  <c r="F183" i="10"/>
  <c r="F184" i="10"/>
  <c r="F185" i="10"/>
  <c r="F186" i="10"/>
  <c r="F187" i="10"/>
  <c r="F188" i="10"/>
  <c r="I104" i="14" s="1"/>
  <c r="F189" i="10"/>
  <c r="F190" i="10"/>
  <c r="F191" i="10"/>
  <c r="I107" i="14" s="1"/>
  <c r="F192" i="10"/>
  <c r="F193" i="10"/>
  <c r="F194" i="10"/>
  <c r="F195" i="10"/>
  <c r="F196" i="10"/>
  <c r="I108" i="14" s="1"/>
  <c r="F2" i="10"/>
  <c r="D6" i="9"/>
  <c r="M3" i="14" l="1"/>
  <c r="L3" i="14" s="1"/>
  <c r="N3" i="14" s="1"/>
  <c r="R3" i="14" s="1"/>
  <c r="S3" i="14" s="1"/>
  <c r="L107" i="14"/>
  <c r="N107" i="14" s="1"/>
  <c r="R107" i="14" s="1"/>
  <c r="S107" i="14" s="1"/>
  <c r="L70" i="14"/>
  <c r="N70" i="14" s="1"/>
  <c r="R70" i="14" s="1"/>
  <c r="S70" i="14" s="1"/>
  <c r="L58" i="14"/>
  <c r="N58" i="14" s="1"/>
  <c r="R58" i="14" s="1"/>
  <c r="L48" i="14"/>
  <c r="N48" i="14" s="1"/>
  <c r="R48" i="14" s="1"/>
  <c r="L36" i="14"/>
  <c r="N36" i="14" s="1"/>
  <c r="R36" i="14" s="1"/>
  <c r="L19" i="14"/>
  <c r="N19" i="14" s="1"/>
  <c r="R19" i="14" s="1"/>
  <c r="S19" i="14" s="1"/>
  <c r="L86" i="14"/>
  <c r="N86" i="14" s="1"/>
  <c r="R86" i="14" s="1"/>
  <c r="S86" i="14" s="1"/>
  <c r="L83" i="14"/>
  <c r="N83" i="14" s="1"/>
  <c r="R83" i="14" s="1"/>
  <c r="L76" i="14"/>
  <c r="N76" i="14" s="1"/>
  <c r="R76" i="14" s="1"/>
  <c r="L81" i="14"/>
  <c r="N81" i="14" s="1"/>
  <c r="R81" i="14" s="1"/>
  <c r="L65" i="14"/>
  <c r="N65" i="14" s="1"/>
  <c r="R65" i="14" s="1"/>
  <c r="L63" i="14"/>
  <c r="N63" i="14" s="1"/>
  <c r="R63" i="14" s="1"/>
  <c r="L61" i="14"/>
  <c r="N61" i="14" s="1"/>
  <c r="R61" i="14" s="1"/>
  <c r="L35" i="14"/>
  <c r="N35" i="14" s="1"/>
  <c r="R35" i="14" s="1"/>
  <c r="L20" i="14"/>
  <c r="N20" i="14" s="1"/>
  <c r="R20" i="14" s="1"/>
  <c r="S20" i="14" s="1"/>
  <c r="L77" i="14"/>
  <c r="N77" i="14" s="1"/>
  <c r="R77" i="14" s="1"/>
  <c r="L59" i="14"/>
  <c r="N59" i="14" s="1"/>
  <c r="R59" i="14" s="1"/>
  <c r="L54" i="14"/>
  <c r="N54" i="14" s="1"/>
  <c r="R54" i="14" s="1"/>
  <c r="L43" i="14"/>
  <c r="N43" i="14" s="1"/>
  <c r="R43" i="14" s="1"/>
  <c r="L82" i="14"/>
  <c r="N82" i="14" s="1"/>
  <c r="R82" i="14" s="1"/>
  <c r="L68" i="14"/>
  <c r="N68" i="14" s="1"/>
  <c r="R68" i="14" s="1"/>
  <c r="L62" i="14"/>
  <c r="N62" i="14" s="1"/>
  <c r="R62" i="14" s="1"/>
  <c r="L60" i="14"/>
  <c r="N60" i="14" s="1"/>
  <c r="R60" i="14" s="1"/>
  <c r="L57" i="14"/>
  <c r="N57" i="14" s="1"/>
  <c r="R57" i="14" s="1"/>
  <c r="L49" i="14"/>
  <c r="N49" i="14" s="1"/>
  <c r="R49" i="14" s="1"/>
  <c r="L40" i="14"/>
  <c r="N40" i="14" s="1"/>
  <c r="R40" i="14" s="1"/>
  <c r="S40" i="14" s="1"/>
  <c r="L30" i="14"/>
  <c r="N30" i="14" s="1"/>
  <c r="R30" i="14" s="1"/>
  <c r="L18" i="14"/>
  <c r="N18" i="14" s="1"/>
  <c r="R18" i="14" s="1"/>
  <c r="S18" i="14" s="1"/>
  <c r="L108" i="14"/>
  <c r="N108" i="14" s="1"/>
  <c r="R108" i="14" s="1"/>
  <c r="S108" i="14" s="1"/>
  <c r="L104" i="14"/>
  <c r="N104" i="14" s="1"/>
  <c r="R104" i="14" s="1"/>
  <c r="S104" i="14" s="1"/>
  <c r="L67" i="14"/>
  <c r="N67" i="14" s="1"/>
  <c r="R67" i="14" s="1"/>
  <c r="L38" i="14"/>
  <c r="N38" i="14" s="1"/>
  <c r="R38" i="14" s="1"/>
  <c r="S38" i="14" s="1"/>
  <c r="L29" i="14"/>
  <c r="N29" i="14" s="1"/>
  <c r="R29" i="14" s="1"/>
  <c r="S29" i="14" s="1"/>
  <c r="L17" i="14"/>
  <c r="N17" i="14" s="1"/>
  <c r="R17" i="14" s="1"/>
  <c r="L88" i="14"/>
  <c r="N88" i="14" s="1"/>
  <c r="R88" i="14" s="1"/>
  <c r="S88" i="14" s="1"/>
  <c r="L85" i="14"/>
  <c r="N85" i="14" s="1"/>
  <c r="R85" i="14" s="1"/>
  <c r="S85" i="14" s="1"/>
  <c r="L80" i="14"/>
  <c r="N80" i="14" s="1"/>
  <c r="R80" i="14" s="1"/>
  <c r="L72" i="14"/>
  <c r="N72" i="14" s="1"/>
  <c r="R72" i="14" s="1"/>
  <c r="S72" i="14" s="1"/>
  <c r="L66" i="14"/>
  <c r="N66" i="14" s="1"/>
  <c r="R66" i="14" s="1"/>
  <c r="S66" i="14" s="1"/>
  <c r="L56" i="14"/>
  <c r="N56" i="14" s="1"/>
  <c r="R56" i="14" s="1"/>
  <c r="L47" i="14"/>
  <c r="N47" i="14" s="1"/>
  <c r="R47" i="14" s="1"/>
  <c r="L39" i="14"/>
  <c r="N39" i="14" s="1"/>
  <c r="R39" i="14" s="1"/>
  <c r="L4" i="14"/>
  <c r="N4" i="14" s="1"/>
  <c r="R4" i="14" s="1"/>
  <c r="L84" i="14"/>
  <c r="N84" i="14" s="1"/>
  <c r="R84" i="14" s="1"/>
  <c r="L71" i="14"/>
  <c r="N71" i="14" s="1"/>
  <c r="R71" i="14" s="1"/>
  <c r="L37" i="14"/>
  <c r="N37" i="14" s="1"/>
  <c r="R37" i="14" s="1"/>
  <c r="L34" i="14"/>
  <c r="L87" i="14"/>
  <c r="N87" i="14" s="1"/>
  <c r="R87" i="14" s="1"/>
  <c r="L79" i="14"/>
  <c r="N79" i="14" s="1"/>
  <c r="R79" i="14" s="1"/>
  <c r="S79" i="14" s="1"/>
  <c r="L75" i="14"/>
  <c r="N75" i="14" s="1"/>
  <c r="R75" i="14" s="1"/>
  <c r="S75" i="14" s="1"/>
  <c r="L64" i="14"/>
  <c r="N64" i="14" s="1"/>
  <c r="R64" i="14" s="1"/>
  <c r="L44" i="14"/>
  <c r="N44" i="14" s="1"/>
  <c r="R44" i="14" s="1"/>
  <c r="L78" i="14"/>
  <c r="N78" i="14" s="1"/>
  <c r="R78" i="14" s="1"/>
  <c r="L69" i="14"/>
  <c r="N69" i="14" s="1"/>
  <c r="R69" i="14" s="1"/>
  <c r="F199" i="10"/>
  <c r="P88" i="14"/>
  <c r="Q88" i="14" s="1"/>
  <c r="K88" i="14"/>
  <c r="K56" i="14"/>
  <c r="P56" i="14"/>
  <c r="Q56" i="14" s="1"/>
  <c r="I102" i="14"/>
  <c r="I103" i="14"/>
  <c r="I101" i="14"/>
  <c r="K84" i="14"/>
  <c r="P84" i="14"/>
  <c r="Q84" i="14" s="1"/>
  <c r="P71" i="14"/>
  <c r="Q71" i="14" s="1"/>
  <c r="K71" i="14"/>
  <c r="I46" i="14"/>
  <c r="I45" i="14"/>
  <c r="P37" i="14"/>
  <c r="Q37" i="14" s="1"/>
  <c r="K37" i="14"/>
  <c r="I34" i="14"/>
  <c r="I14" i="14"/>
  <c r="I13" i="14"/>
  <c r="I7" i="14"/>
  <c r="I6" i="14"/>
  <c r="I8" i="14"/>
  <c r="I5" i="14"/>
  <c r="I110" i="14"/>
  <c r="I109" i="14"/>
  <c r="I111" i="14"/>
  <c r="J100" i="14"/>
  <c r="M100" i="14" s="1"/>
  <c r="J95" i="14"/>
  <c r="M95" i="14" s="1"/>
  <c r="J99" i="14"/>
  <c r="M99" i="14" s="1"/>
  <c r="J91" i="14"/>
  <c r="M91" i="14" s="1"/>
  <c r="J98" i="14"/>
  <c r="M98" i="14" s="1"/>
  <c r="J89" i="14"/>
  <c r="M89" i="14" s="1"/>
  <c r="J94" i="14"/>
  <c r="M94" i="14" s="1"/>
  <c r="J93" i="14"/>
  <c r="M93" i="14" s="1"/>
  <c r="J92" i="14"/>
  <c r="M92" i="14" s="1"/>
  <c r="J90" i="14"/>
  <c r="M90" i="14" s="1"/>
  <c r="J96" i="14"/>
  <c r="M96" i="14" s="1"/>
  <c r="J97" i="14"/>
  <c r="M97" i="14" s="1"/>
  <c r="J26" i="14"/>
  <c r="M26" i="14" s="1"/>
  <c r="J22" i="14"/>
  <c r="M22" i="14" s="1"/>
  <c r="J28" i="14"/>
  <c r="M28" i="14" s="1"/>
  <c r="J27" i="14"/>
  <c r="M27" i="14" s="1"/>
  <c r="J23" i="14"/>
  <c r="M23" i="14" s="1"/>
  <c r="J24" i="14"/>
  <c r="M24" i="14" s="1"/>
  <c r="J25" i="14"/>
  <c r="M25" i="14" s="1"/>
  <c r="J21" i="14"/>
  <c r="M21" i="14" s="1"/>
  <c r="P72" i="14"/>
  <c r="Q72" i="14" s="1"/>
  <c r="K72" i="14"/>
  <c r="P87" i="14"/>
  <c r="Q87" i="14" s="1"/>
  <c r="K87" i="14"/>
  <c r="K79" i="14"/>
  <c r="P79" i="14"/>
  <c r="Q79" i="14" s="1"/>
  <c r="K75" i="14"/>
  <c r="P75" i="14"/>
  <c r="Q75" i="14" s="1"/>
  <c r="K64" i="14"/>
  <c r="P64" i="14"/>
  <c r="Q64" i="14" s="1"/>
  <c r="P44" i="14"/>
  <c r="Q44" i="14" s="1"/>
  <c r="K44" i="14"/>
  <c r="K80" i="14"/>
  <c r="P80" i="14"/>
  <c r="Q80" i="14" s="1"/>
  <c r="K47" i="14"/>
  <c r="P47" i="14"/>
  <c r="Q47" i="14" s="1"/>
  <c r="P39" i="14"/>
  <c r="Q39" i="14" s="1"/>
  <c r="K39" i="14"/>
  <c r="I15" i="14"/>
  <c r="I16" i="14"/>
  <c r="I10" i="14"/>
  <c r="I12" i="14"/>
  <c r="I9" i="14"/>
  <c r="I11" i="14"/>
  <c r="I91" i="14"/>
  <c r="I90" i="14"/>
  <c r="I94" i="14"/>
  <c r="I93" i="14"/>
  <c r="I95" i="14"/>
  <c r="I92" i="14"/>
  <c r="I98" i="14"/>
  <c r="I89" i="14"/>
  <c r="I99" i="14"/>
  <c r="I100" i="14"/>
  <c r="I96" i="14"/>
  <c r="I97" i="14"/>
  <c r="K78" i="14"/>
  <c r="P78" i="14"/>
  <c r="Q78" i="14" s="1"/>
  <c r="K69" i="14"/>
  <c r="P69" i="14"/>
  <c r="Q69" i="14" s="1"/>
  <c r="P55" i="14"/>
  <c r="Q55" i="14" s="1"/>
  <c r="K55" i="14"/>
  <c r="I25" i="14"/>
  <c r="I24" i="14"/>
  <c r="I21" i="14"/>
  <c r="I22" i="14"/>
  <c r="I23" i="14"/>
  <c r="I27" i="14"/>
  <c r="I26" i="14"/>
  <c r="I28" i="14"/>
  <c r="K4" i="14"/>
  <c r="P4" i="14"/>
  <c r="Q4" i="14" s="1"/>
  <c r="J53" i="14"/>
  <c r="M53" i="14" s="1"/>
  <c r="J50" i="14"/>
  <c r="M50" i="14" s="1"/>
  <c r="J51" i="14"/>
  <c r="M51" i="14" s="1"/>
  <c r="J52" i="14"/>
  <c r="M52" i="14" s="1"/>
  <c r="J41" i="14"/>
  <c r="M41" i="14" s="1"/>
  <c r="J42" i="14"/>
  <c r="M42" i="14" s="1"/>
  <c r="J32" i="14"/>
  <c r="M32" i="14" s="1"/>
  <c r="J33" i="14"/>
  <c r="M33" i="14" s="1"/>
  <c r="J31" i="14"/>
  <c r="M31" i="14" s="1"/>
  <c r="P107" i="14"/>
  <c r="Q107" i="14" s="1"/>
  <c r="K107" i="14"/>
  <c r="K77" i="14"/>
  <c r="P77" i="14"/>
  <c r="Q77" i="14" s="1"/>
  <c r="K70" i="14"/>
  <c r="P70" i="14"/>
  <c r="Q70" i="14" s="1"/>
  <c r="K59" i="14"/>
  <c r="P59" i="14"/>
  <c r="Q59" i="14" s="1"/>
  <c r="K58" i="14"/>
  <c r="P58" i="14"/>
  <c r="Q58" i="14" s="1"/>
  <c r="K54" i="14"/>
  <c r="P54" i="14"/>
  <c r="Q54" i="14" s="1"/>
  <c r="P48" i="14"/>
  <c r="Q48" i="14" s="1"/>
  <c r="K48" i="14"/>
  <c r="K43" i="14"/>
  <c r="P43" i="14"/>
  <c r="Q43" i="14" s="1"/>
  <c r="K36" i="14"/>
  <c r="P36" i="14"/>
  <c r="Q36" i="14" s="1"/>
  <c r="P19" i="14"/>
  <c r="Q19" i="14" s="1"/>
  <c r="K19" i="14"/>
  <c r="J106" i="14"/>
  <c r="M106" i="14" s="1"/>
  <c r="J105" i="14"/>
  <c r="M105" i="14" s="1"/>
  <c r="K85" i="14"/>
  <c r="P85" i="14"/>
  <c r="Q85" i="14" s="1"/>
  <c r="P86" i="14"/>
  <c r="Q86" i="14" s="1"/>
  <c r="K86" i="14"/>
  <c r="K83" i="14"/>
  <c r="P83" i="14"/>
  <c r="Q83" i="14" s="1"/>
  <c r="K76" i="14"/>
  <c r="P76" i="14"/>
  <c r="Q76" i="14" s="1"/>
  <c r="K81" i="14"/>
  <c r="P81" i="14"/>
  <c r="Q81" i="14" s="1"/>
  <c r="K65" i="14"/>
  <c r="P65" i="14"/>
  <c r="Q65" i="14" s="1"/>
  <c r="K63" i="14"/>
  <c r="P63" i="14"/>
  <c r="Q63" i="14" s="1"/>
  <c r="P61" i="14"/>
  <c r="Q61" i="14" s="1"/>
  <c r="K61" i="14"/>
  <c r="I50" i="14"/>
  <c r="I53" i="14"/>
  <c r="I51" i="14"/>
  <c r="I52" i="14"/>
  <c r="I42" i="14"/>
  <c r="I41" i="14"/>
  <c r="K35" i="14"/>
  <c r="P35" i="14"/>
  <c r="Q35" i="14" s="1"/>
  <c r="I32" i="14"/>
  <c r="I31" i="14"/>
  <c r="I33" i="14"/>
  <c r="K20" i="14"/>
  <c r="P20" i="14"/>
  <c r="Q20" i="14" s="1"/>
  <c r="J8" i="14"/>
  <c r="M8" i="14" s="1"/>
  <c r="J5" i="14"/>
  <c r="M5" i="14" s="1"/>
  <c r="J6" i="14"/>
  <c r="M6" i="14" s="1"/>
  <c r="J7" i="14"/>
  <c r="M7" i="14" s="1"/>
  <c r="J73" i="14"/>
  <c r="M73" i="14" s="1"/>
  <c r="J74" i="14"/>
  <c r="M74" i="14" s="1"/>
  <c r="K82" i="14"/>
  <c r="P82" i="14"/>
  <c r="Q82" i="14" s="1"/>
  <c r="P62" i="14"/>
  <c r="Q62" i="14" s="1"/>
  <c r="K62" i="14"/>
  <c r="K57" i="14"/>
  <c r="P57" i="14"/>
  <c r="Q57" i="14" s="1"/>
  <c r="K40" i="14"/>
  <c r="P40" i="14"/>
  <c r="Q40" i="14" s="1"/>
  <c r="J16" i="14"/>
  <c r="M16" i="14" s="1"/>
  <c r="J15" i="14"/>
  <c r="M15" i="14" s="1"/>
  <c r="J9" i="14"/>
  <c r="M9" i="14" s="1"/>
  <c r="J10" i="14"/>
  <c r="M10" i="14" s="1"/>
  <c r="J12" i="14"/>
  <c r="M12" i="14" s="1"/>
  <c r="J11" i="14"/>
  <c r="M11" i="14" s="1"/>
  <c r="K66" i="14"/>
  <c r="P66" i="14"/>
  <c r="Q66" i="14" s="1"/>
  <c r="I106" i="14"/>
  <c r="I105" i="14"/>
  <c r="K68" i="14"/>
  <c r="P68" i="14"/>
  <c r="Q68" i="14" s="1"/>
  <c r="K60" i="14"/>
  <c r="P60" i="14"/>
  <c r="Q60" i="14" s="1"/>
  <c r="P49" i="14"/>
  <c r="Q49" i="14" s="1"/>
  <c r="K49" i="14"/>
  <c r="P30" i="14"/>
  <c r="Q30" i="14" s="1"/>
  <c r="K30" i="14"/>
  <c r="K18" i="14"/>
  <c r="P18" i="14"/>
  <c r="Q18" i="14" s="1"/>
  <c r="K3" i="14"/>
  <c r="P3" i="14"/>
  <c r="Q3" i="14" s="1"/>
  <c r="K108" i="14"/>
  <c r="P108" i="14"/>
  <c r="Q108" i="14" s="1"/>
  <c r="P104" i="14"/>
  <c r="Q104" i="14" s="1"/>
  <c r="K104" i="14"/>
  <c r="I73" i="14"/>
  <c r="I74" i="14"/>
  <c r="K67" i="14"/>
  <c r="P67" i="14"/>
  <c r="Q67" i="14" s="1"/>
  <c r="K38" i="14"/>
  <c r="P38" i="14"/>
  <c r="Q38" i="14" s="1"/>
  <c r="K29" i="14"/>
  <c r="P29" i="14"/>
  <c r="Q29" i="14" s="1"/>
  <c r="K17" i="14"/>
  <c r="P17" i="14"/>
  <c r="Q17" i="14" s="1"/>
  <c r="J101" i="14"/>
  <c r="M101" i="14" s="1"/>
  <c r="J102" i="14"/>
  <c r="M102" i="14" s="1"/>
  <c r="J103" i="14"/>
  <c r="M103" i="14" s="1"/>
  <c r="J45" i="14"/>
  <c r="M45" i="14" s="1"/>
  <c r="J46" i="14"/>
  <c r="M46" i="14" s="1"/>
  <c r="I199" i="10"/>
  <c r="J13" i="14"/>
  <c r="M13" i="14" s="1"/>
  <c r="J14" i="14"/>
  <c r="M14" i="14" s="1"/>
  <c r="J110" i="14"/>
  <c r="J109" i="14"/>
  <c r="M109" i="14" s="1"/>
  <c r="J111" i="14"/>
  <c r="M111" i="14" s="1"/>
  <c r="M110" i="14" l="1"/>
  <c r="L110" i="14" s="1"/>
  <c r="N110" i="14" s="1"/>
  <c r="R110" i="14" s="1"/>
  <c r="S17" i="14"/>
  <c r="T17" i="14" s="1"/>
  <c r="S39" i="14"/>
  <c r="T39" i="14" s="1"/>
  <c r="T66" i="14"/>
  <c r="T86" i="14"/>
  <c r="T72" i="14"/>
  <c r="T104" i="14"/>
  <c r="T19" i="14"/>
  <c r="T108" i="14"/>
  <c r="T85" i="14"/>
  <c r="T18" i="14"/>
  <c r="T88" i="14"/>
  <c r="T75" i="14"/>
  <c r="T40" i="14"/>
  <c r="T70" i="14"/>
  <c r="T79" i="14"/>
  <c r="T29" i="14"/>
  <c r="T107" i="14"/>
  <c r="T38" i="14"/>
  <c r="L55" i="14"/>
  <c r="N55" i="14" s="1"/>
  <c r="R55" i="14" s="1"/>
  <c r="S55" i="14" s="1"/>
  <c r="T3" i="14"/>
  <c r="S68" i="14"/>
  <c r="T68" i="14" s="1"/>
  <c r="T20" i="14"/>
  <c r="S36" i="14"/>
  <c r="T36" i="14" s="1"/>
  <c r="N34" i="14"/>
  <c r="R34" i="14" s="1"/>
  <c r="S34" i="14" s="1"/>
  <c r="S57" i="14"/>
  <c r="T57" i="14" s="1"/>
  <c r="S63" i="14"/>
  <c r="T63" i="14" s="1"/>
  <c r="S83" i="14"/>
  <c r="T83" i="14" s="1"/>
  <c r="S71" i="14"/>
  <c r="T71" i="14" s="1"/>
  <c r="S30" i="14"/>
  <c r="T30" i="14" s="1"/>
  <c r="S44" i="14"/>
  <c r="T44" i="14" s="1"/>
  <c r="S87" i="14"/>
  <c r="T87" i="14" s="1"/>
  <c r="S43" i="14"/>
  <c r="T43" i="14" s="1"/>
  <c r="S65" i="14"/>
  <c r="T65" i="14" s="1"/>
  <c r="S48" i="14"/>
  <c r="T48" i="14" s="1"/>
  <c r="S69" i="14"/>
  <c r="T69" i="14" s="1"/>
  <c r="S47" i="14"/>
  <c r="T47" i="14" s="1"/>
  <c r="S64" i="14"/>
  <c r="T64" i="14" s="1"/>
  <c r="S56" i="14"/>
  <c r="T56" i="14" s="1"/>
  <c r="S35" i="14"/>
  <c r="T35" i="14" s="1"/>
  <c r="P110" i="14"/>
  <c r="Q110" i="14" s="1"/>
  <c r="S84" i="14"/>
  <c r="T84" i="14" s="1"/>
  <c r="S67" i="14"/>
  <c r="T67" i="14" s="1"/>
  <c r="S60" i="14"/>
  <c r="T60" i="14" s="1"/>
  <c r="S82" i="14"/>
  <c r="T82" i="14" s="1"/>
  <c r="S81" i="14"/>
  <c r="T81" i="14" s="1"/>
  <c r="S78" i="14"/>
  <c r="T78" i="14" s="1"/>
  <c r="S80" i="14"/>
  <c r="T80" i="14" s="1"/>
  <c r="S37" i="14"/>
  <c r="T37" i="14" s="1"/>
  <c r="S76" i="14"/>
  <c r="T76" i="14" s="1"/>
  <c r="S58" i="14"/>
  <c r="T58" i="14" s="1"/>
  <c r="S49" i="14"/>
  <c r="T49" i="14" s="1"/>
  <c r="S62" i="14"/>
  <c r="T62" i="14" s="1"/>
  <c r="S59" i="14"/>
  <c r="T59" i="14" s="1"/>
  <c r="S61" i="14"/>
  <c r="T61" i="14" s="1"/>
  <c r="L24" i="14"/>
  <c r="N24" i="14" s="1"/>
  <c r="R24" i="14" s="1"/>
  <c r="L11" i="14"/>
  <c r="N11" i="14" s="1"/>
  <c r="R11" i="14" s="1"/>
  <c r="L8" i="14"/>
  <c r="N8" i="14" s="1"/>
  <c r="R8" i="14" s="1"/>
  <c r="L42" i="14"/>
  <c r="N42" i="14" s="1"/>
  <c r="R42" i="14" s="1"/>
  <c r="L25" i="14"/>
  <c r="N25" i="14" s="1"/>
  <c r="R25" i="14" s="1"/>
  <c r="L96" i="14"/>
  <c r="N96" i="14" s="1"/>
  <c r="R96" i="14" s="1"/>
  <c r="L99" i="14"/>
  <c r="N99" i="14" s="1"/>
  <c r="R99" i="14" s="1"/>
  <c r="L46" i="14"/>
  <c r="N46" i="14" s="1"/>
  <c r="R46" i="14" s="1"/>
  <c r="S46" i="14" s="1"/>
  <c r="L90" i="14"/>
  <c r="N90" i="14" s="1"/>
  <c r="R90" i="14" s="1"/>
  <c r="L111" i="14"/>
  <c r="N111" i="14" s="1"/>
  <c r="R111" i="14" s="1"/>
  <c r="S111" i="14" s="1"/>
  <c r="L103" i="14"/>
  <c r="N103" i="14" s="1"/>
  <c r="R103" i="14" s="1"/>
  <c r="S103" i="14" s="1"/>
  <c r="L9" i="14"/>
  <c r="N9" i="14" s="1"/>
  <c r="R9" i="14" s="1"/>
  <c r="L74" i="14"/>
  <c r="N74" i="14" s="1"/>
  <c r="R74" i="14" s="1"/>
  <c r="L105" i="14"/>
  <c r="N105" i="14" s="1"/>
  <c r="R105" i="14" s="1"/>
  <c r="S105" i="14" s="1"/>
  <c r="L51" i="14"/>
  <c r="N51" i="14" s="1"/>
  <c r="R51" i="14" s="1"/>
  <c r="L27" i="14"/>
  <c r="N27" i="14" s="1"/>
  <c r="R27" i="14" s="1"/>
  <c r="S27" i="14" s="1"/>
  <c r="L93" i="14"/>
  <c r="N93" i="14" s="1"/>
  <c r="R93" i="14" s="1"/>
  <c r="L92" i="14"/>
  <c r="N92" i="14" s="1"/>
  <c r="R92" i="14" s="1"/>
  <c r="L102" i="14"/>
  <c r="N102" i="14" s="1"/>
  <c r="R102" i="14" s="1"/>
  <c r="L73" i="14"/>
  <c r="N73" i="14" s="1"/>
  <c r="R73" i="14" s="1"/>
  <c r="L106" i="14"/>
  <c r="N106" i="14" s="1"/>
  <c r="R106" i="14" s="1"/>
  <c r="S106" i="14" s="1"/>
  <c r="L50" i="14"/>
  <c r="N50" i="14" s="1"/>
  <c r="R50" i="14" s="1"/>
  <c r="L28" i="14"/>
  <c r="N28" i="14" s="1"/>
  <c r="R28" i="14" s="1"/>
  <c r="L94" i="14"/>
  <c r="N94" i="14" s="1"/>
  <c r="R94" i="14" s="1"/>
  <c r="L95" i="14"/>
  <c r="N95" i="14" s="1"/>
  <c r="R95" i="14" s="1"/>
  <c r="L45" i="14"/>
  <c r="N45" i="14" s="1"/>
  <c r="R45" i="14" s="1"/>
  <c r="S45" i="14" s="1"/>
  <c r="L10" i="14"/>
  <c r="N10" i="14" s="1"/>
  <c r="R10" i="14" s="1"/>
  <c r="L23" i="14"/>
  <c r="N23" i="14" s="1"/>
  <c r="R23" i="14" s="1"/>
  <c r="L15" i="14"/>
  <c r="N15" i="14" s="1"/>
  <c r="R15" i="14" s="1"/>
  <c r="S15" i="14" s="1"/>
  <c r="L101" i="14"/>
  <c r="N101" i="14" s="1"/>
  <c r="R101" i="14" s="1"/>
  <c r="S101" i="14" s="1"/>
  <c r="L16" i="14"/>
  <c r="N16" i="14" s="1"/>
  <c r="R16" i="14" s="1"/>
  <c r="S16" i="14" s="1"/>
  <c r="L7" i="14"/>
  <c r="N7" i="14" s="1"/>
  <c r="R7" i="14" s="1"/>
  <c r="L31" i="14"/>
  <c r="N31" i="14" s="1"/>
  <c r="R31" i="14" s="1"/>
  <c r="L53" i="14"/>
  <c r="N53" i="14" s="1"/>
  <c r="R53" i="14" s="1"/>
  <c r="S53" i="14" s="1"/>
  <c r="L22" i="14"/>
  <c r="N22" i="14" s="1"/>
  <c r="R22" i="14" s="1"/>
  <c r="S22" i="14" s="1"/>
  <c r="L89" i="14"/>
  <c r="N89" i="14" s="1"/>
  <c r="R89" i="14" s="1"/>
  <c r="L100" i="14"/>
  <c r="N100" i="14" s="1"/>
  <c r="R100" i="14" s="1"/>
  <c r="L109" i="14"/>
  <c r="N109" i="14" s="1"/>
  <c r="R109" i="14" s="1"/>
  <c r="S109" i="14" s="1"/>
  <c r="L14" i="14"/>
  <c r="N14" i="14" s="1"/>
  <c r="R14" i="14" s="1"/>
  <c r="L6" i="14"/>
  <c r="N6" i="14" s="1"/>
  <c r="R6" i="14" s="1"/>
  <c r="S6" i="14" s="1"/>
  <c r="L33" i="14"/>
  <c r="N33" i="14" s="1"/>
  <c r="R33" i="14" s="1"/>
  <c r="L26" i="14"/>
  <c r="N26" i="14" s="1"/>
  <c r="R26" i="14" s="1"/>
  <c r="S26" i="14" s="1"/>
  <c r="L98" i="14"/>
  <c r="N98" i="14" s="1"/>
  <c r="R98" i="14" s="1"/>
  <c r="S98" i="14" s="1"/>
  <c r="L12" i="14"/>
  <c r="N12" i="14" s="1"/>
  <c r="R12" i="14" s="1"/>
  <c r="L41" i="14"/>
  <c r="N41" i="14" s="1"/>
  <c r="R41" i="14" s="1"/>
  <c r="L52" i="14"/>
  <c r="N52" i="14" s="1"/>
  <c r="R52" i="14" s="1"/>
  <c r="S52" i="14" s="1"/>
  <c r="L13" i="14"/>
  <c r="N13" i="14" s="1"/>
  <c r="R13" i="14" s="1"/>
  <c r="L32" i="14"/>
  <c r="N32" i="14" s="1"/>
  <c r="R32" i="14" s="1"/>
  <c r="L21" i="14"/>
  <c r="N21" i="14" s="1"/>
  <c r="R21" i="14" s="1"/>
  <c r="L97" i="14"/>
  <c r="N97" i="14" s="1"/>
  <c r="R97" i="14" s="1"/>
  <c r="L91" i="14"/>
  <c r="N91" i="14" s="1"/>
  <c r="R91" i="14" s="1"/>
  <c r="S91" i="14" s="1"/>
  <c r="S4" i="14"/>
  <c r="T4" i="14" s="1"/>
  <c r="S54" i="14"/>
  <c r="T54" i="14" s="1"/>
  <c r="S77" i="14"/>
  <c r="T77" i="14" s="1"/>
  <c r="F4" i="3"/>
  <c r="I116" i="14"/>
  <c r="P116" i="14" s="1"/>
  <c r="F201" i="10"/>
  <c r="I113" i="14"/>
  <c r="K92" i="14"/>
  <c r="P92" i="14"/>
  <c r="Q92" i="14" s="1"/>
  <c r="K12" i="14"/>
  <c r="P12" i="14"/>
  <c r="Q12" i="14" s="1"/>
  <c r="P13" i="14"/>
  <c r="Q13" i="14" s="1"/>
  <c r="K13" i="14"/>
  <c r="K73" i="14"/>
  <c r="P73" i="14"/>
  <c r="Q73" i="14" s="1"/>
  <c r="P32" i="14"/>
  <c r="Q32" i="14" s="1"/>
  <c r="K32" i="14"/>
  <c r="K50" i="14"/>
  <c r="P50" i="14"/>
  <c r="Q50" i="14" s="1"/>
  <c r="K21" i="14"/>
  <c r="P21" i="14"/>
  <c r="Q21" i="14" s="1"/>
  <c r="P95" i="14"/>
  <c r="Q95" i="14" s="1"/>
  <c r="K95" i="14"/>
  <c r="P10" i="14"/>
  <c r="Q10" i="14" s="1"/>
  <c r="K10" i="14"/>
  <c r="K111" i="14"/>
  <c r="P111" i="14"/>
  <c r="Q111" i="14" s="1"/>
  <c r="P14" i="14"/>
  <c r="Q14" i="14" s="1"/>
  <c r="K14" i="14"/>
  <c r="K74" i="14"/>
  <c r="P74" i="14"/>
  <c r="Q74" i="14" s="1"/>
  <c r="P22" i="14"/>
  <c r="Q22" i="14" s="1"/>
  <c r="K22" i="14"/>
  <c r="J116" i="14"/>
  <c r="K24" i="14"/>
  <c r="P24" i="14"/>
  <c r="Q24" i="14" s="1"/>
  <c r="P97" i="14"/>
  <c r="Q97" i="14" s="1"/>
  <c r="K97" i="14"/>
  <c r="K93" i="14"/>
  <c r="P93" i="14"/>
  <c r="Q93" i="14" s="1"/>
  <c r="P16" i="14"/>
  <c r="Q16" i="14" s="1"/>
  <c r="K16" i="14"/>
  <c r="K109" i="14"/>
  <c r="P109" i="14"/>
  <c r="Q109" i="14" s="1"/>
  <c r="P31" i="14"/>
  <c r="Q31" i="14" s="1"/>
  <c r="K31" i="14"/>
  <c r="K25" i="14"/>
  <c r="P25" i="14"/>
  <c r="Q25" i="14" s="1"/>
  <c r="P96" i="14"/>
  <c r="Q96" i="14" s="1"/>
  <c r="K96" i="14"/>
  <c r="K94" i="14"/>
  <c r="P94" i="14"/>
  <c r="Q94" i="14" s="1"/>
  <c r="K15" i="14"/>
  <c r="P15" i="14"/>
  <c r="Q15" i="14" s="1"/>
  <c r="K34" i="14"/>
  <c r="P34" i="14"/>
  <c r="Q34" i="14" s="1"/>
  <c r="K53" i="14"/>
  <c r="P53" i="14"/>
  <c r="Q53" i="14" s="1"/>
  <c r="P105" i="14"/>
  <c r="Q105" i="14" s="1"/>
  <c r="K105" i="14"/>
  <c r="K41" i="14"/>
  <c r="P41" i="14"/>
  <c r="Q41" i="14" s="1"/>
  <c r="P28" i="14"/>
  <c r="Q28" i="14" s="1"/>
  <c r="K28" i="14"/>
  <c r="K100" i="14"/>
  <c r="P100" i="14"/>
  <c r="Q100" i="14" s="1"/>
  <c r="K90" i="14"/>
  <c r="P90" i="14"/>
  <c r="Q90" i="14" s="1"/>
  <c r="J113" i="14"/>
  <c r="K5" i="14"/>
  <c r="P5" i="14"/>
  <c r="Q5" i="14" s="1"/>
  <c r="K101" i="14"/>
  <c r="P101" i="14"/>
  <c r="Q101" i="14" s="1"/>
  <c r="K106" i="14"/>
  <c r="P106" i="14"/>
  <c r="Q106" i="14" s="1"/>
  <c r="K42" i="14"/>
  <c r="P42" i="14"/>
  <c r="Q42" i="14" s="1"/>
  <c r="P26" i="14"/>
  <c r="Q26" i="14" s="1"/>
  <c r="K26" i="14"/>
  <c r="K99" i="14"/>
  <c r="P99" i="14"/>
  <c r="Q99" i="14" s="1"/>
  <c r="P91" i="14"/>
  <c r="Q91" i="14" s="1"/>
  <c r="K91" i="14"/>
  <c r="J114" i="14"/>
  <c r="K8" i="14"/>
  <c r="P8" i="14"/>
  <c r="Q8" i="14" s="1"/>
  <c r="K103" i="14"/>
  <c r="P103" i="14"/>
  <c r="Q103" i="14" s="1"/>
  <c r="F3" i="3"/>
  <c r="I114" i="14"/>
  <c r="P52" i="14"/>
  <c r="Q52" i="14" s="1"/>
  <c r="K52" i="14"/>
  <c r="K27" i="14"/>
  <c r="P27" i="14"/>
  <c r="Q27" i="14" s="1"/>
  <c r="K89" i="14"/>
  <c r="P89" i="14"/>
  <c r="Q89" i="14" s="1"/>
  <c r="K11" i="14"/>
  <c r="P11" i="14"/>
  <c r="Q11" i="14" s="1"/>
  <c r="K6" i="14"/>
  <c r="P6" i="14"/>
  <c r="Q6" i="14" s="1"/>
  <c r="P45" i="14"/>
  <c r="Q45" i="14" s="1"/>
  <c r="K45" i="14"/>
  <c r="K102" i="14"/>
  <c r="P102" i="14"/>
  <c r="Q102" i="14" s="1"/>
  <c r="K110" i="14"/>
  <c r="K33" i="14"/>
  <c r="P33" i="14"/>
  <c r="Q33" i="14" s="1"/>
  <c r="P51" i="14"/>
  <c r="Q51" i="14" s="1"/>
  <c r="K51" i="14"/>
  <c r="P23" i="14"/>
  <c r="Q23" i="14" s="1"/>
  <c r="K23" i="14"/>
  <c r="K98" i="14"/>
  <c r="P98" i="14"/>
  <c r="Q98" i="14" s="1"/>
  <c r="K9" i="14"/>
  <c r="P9" i="14"/>
  <c r="Q9" i="14" s="1"/>
  <c r="K7" i="14"/>
  <c r="P7" i="14"/>
  <c r="Q7" i="14" s="1"/>
  <c r="K46" i="14"/>
  <c r="P46" i="14"/>
  <c r="Q46" i="14" s="1"/>
  <c r="T26" i="14" l="1"/>
  <c r="S100" i="14"/>
  <c r="T100" i="14" s="1"/>
  <c r="T15" i="14"/>
  <c r="T105" i="14"/>
  <c r="T98" i="14"/>
  <c r="T22" i="14"/>
  <c r="T53" i="14"/>
  <c r="T45" i="14"/>
  <c r="T103" i="14"/>
  <c r="T111" i="14"/>
  <c r="T34" i="14"/>
  <c r="S90" i="14"/>
  <c r="T90" i="14" s="1"/>
  <c r="T55" i="14"/>
  <c r="T91" i="14"/>
  <c r="S89" i="14"/>
  <c r="T89" i="14" s="1"/>
  <c r="T106" i="14"/>
  <c r="T16" i="14"/>
  <c r="T27" i="14"/>
  <c r="T46" i="14"/>
  <c r="T52" i="14"/>
  <c r="T109" i="14"/>
  <c r="T101" i="14"/>
  <c r="S99" i="14"/>
  <c r="T99" i="14" s="1"/>
  <c r="Q116" i="14"/>
  <c r="Q114" i="14"/>
  <c r="Q113" i="14"/>
  <c r="L5" i="14"/>
  <c r="N5" i="14" s="1"/>
  <c r="R5" i="14" s="1"/>
  <c r="S5" i="14" s="1"/>
  <c r="S97" i="14"/>
  <c r="T97" i="14" s="1"/>
  <c r="S41" i="14"/>
  <c r="T41" i="14" s="1"/>
  <c r="S95" i="14"/>
  <c r="T95" i="14" s="1"/>
  <c r="S42" i="14"/>
  <c r="T42" i="14" s="1"/>
  <c r="S31" i="14"/>
  <c r="T31" i="14" s="1"/>
  <c r="S92" i="14"/>
  <c r="T92" i="14" s="1"/>
  <c r="S7" i="14"/>
  <c r="T7" i="14" s="1"/>
  <c r="S33" i="14"/>
  <c r="T33" i="14" s="1"/>
  <c r="S21" i="14"/>
  <c r="T21" i="14" s="1"/>
  <c r="S32" i="14"/>
  <c r="T32" i="14" s="1"/>
  <c r="S110" i="14"/>
  <c r="T110" i="14" s="1"/>
  <c r="S94" i="14"/>
  <c r="T94" i="14" s="1"/>
  <c r="S24" i="14"/>
  <c r="T24" i="14" s="1"/>
  <c r="S51" i="14"/>
  <c r="T51" i="14" s="1"/>
  <c r="S25" i="14"/>
  <c r="T25" i="14" s="1"/>
  <c r="S23" i="14"/>
  <c r="T23" i="14" s="1"/>
  <c r="S102" i="14"/>
  <c r="T102" i="14" s="1"/>
  <c r="S50" i="14"/>
  <c r="T50" i="14" s="1"/>
  <c r="S73" i="14"/>
  <c r="T73" i="14" s="1"/>
  <c r="S74" i="14"/>
  <c r="T74" i="14" s="1"/>
  <c r="S96" i="14"/>
  <c r="T96" i="14" s="1"/>
  <c r="S28" i="14"/>
  <c r="T28" i="14" s="1"/>
  <c r="S93" i="14"/>
  <c r="T93" i="14" s="1"/>
  <c r="S12" i="14"/>
  <c r="T12" i="14" s="1"/>
  <c r="S14" i="14"/>
  <c r="T14" i="14" s="1"/>
  <c r="S8" i="14"/>
  <c r="T8" i="14" s="1"/>
  <c r="S13" i="14"/>
  <c r="T13" i="14" s="1"/>
  <c r="S11" i="14"/>
  <c r="T11" i="14" s="1"/>
  <c r="S9" i="14"/>
  <c r="T9" i="14" s="1"/>
  <c r="S10" i="14"/>
  <c r="T10" i="14" s="1"/>
  <c r="K113" i="14"/>
  <c r="K116" i="14"/>
  <c r="F6" i="3"/>
  <c r="F5" i="3"/>
  <c r="K114" i="14"/>
  <c r="L116" i="14" s="1"/>
  <c r="L117" i="14" s="1"/>
  <c r="N113" i="14"/>
  <c r="S113" i="14" l="1"/>
  <c r="V113" i="14" s="1"/>
  <c r="T6" i="14"/>
  <c r="T5" i="14"/>
  <c r="N114" i="14"/>
  <c r="G4" i="3"/>
  <c r="S114" i="14" l="1"/>
  <c r="V114" i="14" s="1"/>
  <c r="T113" i="14"/>
  <c r="T118" i="14" s="1"/>
  <c r="F8" i="3" s="1"/>
  <c r="T114" i="14"/>
  <c r="T119" i="14" s="1"/>
  <c r="F7" i="3" s="1"/>
  <c r="G9" i="3" l="1"/>
  <c r="G10" i="3"/>
  <c r="G3" i="3"/>
  <c r="G6" i="3" l="1"/>
  <c r="G5" i="3"/>
  <c r="H16" i="2"/>
  <c r="H7" i="2"/>
  <c r="F2" i="3" l="1"/>
  <c r="G2" i="3" s="1"/>
  <c r="K14" i="3" s="1"/>
  <c r="K13" i="3" l="1"/>
  <c r="G7" i="3"/>
  <c r="J13" i="3" s="1"/>
  <c r="J7" i="3" l="1"/>
  <c r="K7" i="3" s="1"/>
  <c r="L13" i="3"/>
  <c r="G8" i="3"/>
  <c r="J8" i="3" s="1"/>
  <c r="K8" i="3" s="1"/>
  <c r="J14" i="3" l="1"/>
  <c r="L14" i="3"/>
</calcChain>
</file>

<file path=xl/comments1.xml><?xml version="1.0" encoding="utf-8"?>
<comments xmlns="http://schemas.openxmlformats.org/spreadsheetml/2006/main">
  <authors>
    <author>Autor</author>
  </authors>
  <commentList>
    <comment ref="K102" authorId="0" shapeId="0">
      <text>
        <r>
          <rPr>
            <b/>
            <sz val="9"/>
            <color indexed="81"/>
            <rFont val="Segoe UI"/>
            <charset val="1"/>
          </rPr>
          <t>Autor:</t>
        </r>
        <r>
          <rPr>
            <sz val="9"/>
            <color indexed="81"/>
            <rFont val="Segoe UI"/>
            <charset val="1"/>
          </rPr>
          <t xml:space="preserve">
These manually adjusted, on the assumption that the UK intends to preserve current removals on land</t>
        </r>
      </text>
    </comment>
  </commentList>
</comments>
</file>

<file path=xl/sharedStrings.xml><?xml version="1.0" encoding="utf-8"?>
<sst xmlns="http://schemas.openxmlformats.org/spreadsheetml/2006/main" count="3119" uniqueCount="892">
  <si>
    <t>Albania</t>
  </si>
  <si>
    <t>Australia</t>
  </si>
  <si>
    <t>Angola</t>
  </si>
  <si>
    <t>Canada</t>
  </si>
  <si>
    <t>Bangladesh</t>
  </si>
  <si>
    <t>Japan</t>
  </si>
  <si>
    <t>Belize</t>
  </si>
  <si>
    <t>New Zealand</t>
  </si>
  <si>
    <t>Burkina Faso</t>
  </si>
  <si>
    <t>Norway</t>
  </si>
  <si>
    <t>Burundi</t>
  </si>
  <si>
    <t>Russian Federation</t>
  </si>
  <si>
    <t>Cambodia</t>
  </si>
  <si>
    <t>Turkey</t>
  </si>
  <si>
    <t>Cameroon</t>
  </si>
  <si>
    <t>United States of America</t>
  </si>
  <si>
    <t>Cape Verde</t>
  </si>
  <si>
    <t>Chad</t>
  </si>
  <si>
    <t>Chile</t>
  </si>
  <si>
    <t>Colombia</t>
  </si>
  <si>
    <t>Comoros</t>
  </si>
  <si>
    <t>Congo</t>
  </si>
  <si>
    <t>Cuba</t>
  </si>
  <si>
    <t>El Salvador</t>
  </si>
  <si>
    <t>World</t>
  </si>
  <si>
    <t>Ethiopia</t>
  </si>
  <si>
    <t>Gambia</t>
  </si>
  <si>
    <t>Guinea Bissau</t>
  </si>
  <si>
    <t>Indonesia</t>
  </si>
  <si>
    <t>Kyrgyzstan</t>
  </si>
  <si>
    <t>Mauritius</t>
  </si>
  <si>
    <t>Mexico</t>
  </si>
  <si>
    <t>Myanmar</t>
  </si>
  <si>
    <t>Namibia</t>
  </si>
  <si>
    <t>Niger</t>
  </si>
  <si>
    <t>Nigeria</t>
  </si>
  <si>
    <t>Papua New Guinea</t>
  </si>
  <si>
    <t>Paraguay</t>
  </si>
  <si>
    <t>Samoa</t>
  </si>
  <si>
    <t>Senegal</t>
  </si>
  <si>
    <t>Somalia</t>
  </si>
  <si>
    <t>Sri Lanka</t>
  </si>
  <si>
    <t>Togo</t>
  </si>
  <si>
    <t>Viet Nam</t>
  </si>
  <si>
    <t>Zimbabwe</t>
  </si>
  <si>
    <t>Project ID</t>
  </si>
  <si>
    <t xml:space="preserve">Name </t>
  </si>
  <si>
    <t>Pathway 1</t>
  </si>
  <si>
    <t>Pathway 2</t>
  </si>
  <si>
    <t>Pathway 3</t>
  </si>
  <si>
    <t>Pathway 4</t>
  </si>
  <si>
    <t>Provided Size</t>
  </si>
  <si>
    <t>Units</t>
  </si>
  <si>
    <t>Year Op.</t>
  </si>
  <si>
    <t>CDR Subtype</t>
  </si>
  <si>
    <t>Owners</t>
  </si>
  <si>
    <t>Reference</t>
  </si>
  <si>
    <t>Wave-powered upwelling/downwelling for carbon‚Äã sequestration.</t>
  </si>
  <si>
    <t>Aquatic Biomass</t>
  </si>
  <si>
    <t>Deep Ocean</t>
  </si>
  <si>
    <t>N/A</t>
  </si>
  <si>
    <t>tpy</t>
  </si>
  <si>
    <t>Removal</t>
  </si>
  <si>
    <t>Ocean-based Climate Solutions</t>
  </si>
  <si>
    <t>https://www.ocean-based.com/</t>
  </si>
  <si>
    <t>Growing seaweed via Marine Permaculture and sinking it into the deep ocean.</t>
  </si>
  <si>
    <t>Climate Foundation</t>
  </si>
  <si>
    <t>https://www.climatefoundation.org/marine-permaculture.html</t>
  </si>
  <si>
    <t>Wave-powered upwelling for carbon‚Äã sequestration.</t>
  </si>
  <si>
    <t>https://ocean-based.com/</t>
  </si>
  <si>
    <t xml:space="preserve">Sinking biomass for deepwater storage. </t>
  </si>
  <si>
    <t>C-Sink</t>
  </si>
  <si>
    <t>https://github.com/stripe/carbon-removal-source-materials</t>
  </si>
  <si>
    <t>European biochar production capacity</t>
  </si>
  <si>
    <t>Biosphere</t>
  </si>
  <si>
    <t>Biochar</t>
  </si>
  <si>
    <t>European Biochar Market Report</t>
  </si>
  <si>
    <t>https://www.biochar-industry.com/</t>
  </si>
  <si>
    <t>North American biochar production capacity</t>
  </si>
  <si>
    <t>US Biochar Initiative</t>
  </si>
  <si>
    <t>https://biochar-us.org/news/us-biochar-market-survey</t>
  </si>
  <si>
    <t>Supporting bio-energy with carbon capture and storage.</t>
  </si>
  <si>
    <t>Concentrated CO2</t>
  </si>
  <si>
    <t>Lithosphere</t>
  </si>
  <si>
    <t>Biorecro</t>
  </si>
  <si>
    <t>http://biorecro.com/?page=main</t>
  </si>
  <si>
    <t>Husky Energy Lashburn and Tangleflags CO2 Injection in Heavy Oil Reservoirs Project</t>
  </si>
  <si>
    <t>Husky Energy</t>
  </si>
  <si>
    <t>https://www.thirdway.org/memo/mapping-the-progress-and-potential-of-carbon-capture-use-and-storage</t>
  </si>
  <si>
    <t>Archer Daniels Midland</t>
  </si>
  <si>
    <t>Archers Daniel Midlands</t>
  </si>
  <si>
    <t>ICEF BiCRS Roadmap</t>
  </si>
  <si>
    <t>InBECCS</t>
  </si>
  <si>
    <t>Peel NRE, Bioenergy Infrastructure Group</t>
  </si>
  <si>
    <t>https://www.c-capture.co.uk/ince-biomass-plant-chosen-as-site-for-innovative-carbon-capture-technology-project-at-protos-in-northwest/</t>
  </si>
  <si>
    <t xml:space="preserve">Arkalon Bioethanol </t>
  </si>
  <si>
    <t>Charparral Energy</t>
  </si>
  <si>
    <t xml:space="preserve">Oxy-White Energy biofuel-production </t>
  </si>
  <si>
    <t>Occidental Petroleum Group</t>
  </si>
  <si>
    <t>Bonanza BioEnergy CUUS EOR</t>
  </si>
  <si>
    <t>Summit Carbon Solutions</t>
  </si>
  <si>
    <t>https://co2re.co/FacilityData</t>
  </si>
  <si>
    <t>Geological sequestration of bio-oil.</t>
  </si>
  <si>
    <t>Fuels &amp; Chemicals</t>
  </si>
  <si>
    <t>Charm Industrial</t>
  </si>
  <si>
    <t>https://charmindustrial.com/</t>
  </si>
  <si>
    <t>Direct air capture and mineralization.</t>
  </si>
  <si>
    <t>Climeworks</t>
  </si>
  <si>
    <t>https://www.climeworks.com</t>
  </si>
  <si>
    <t>Carbon Engineering</t>
  </si>
  <si>
    <t>Direct air CO2 capture and mineralisation</t>
  </si>
  <si>
    <t>Cambridge Carbon Capture Ltd</t>
  </si>
  <si>
    <t>https://www.cacaca.co.uk/#technology</t>
  </si>
  <si>
    <t>Center for Negative Carbon Emissions</t>
  </si>
  <si>
    <t>Noya</t>
  </si>
  <si>
    <t>https://carbonplan.org/research/cdr-database</t>
  </si>
  <si>
    <t>Green Minerals</t>
  </si>
  <si>
    <t>Minerals</t>
  </si>
  <si>
    <t>Mineralization reactors for CO‚ÇÇ removal with hydrogen co-production.</t>
  </si>
  <si>
    <t>Dissolved CO2</t>
  </si>
  <si>
    <t>Bicarbonate</t>
  </si>
  <si>
    <t>SeaChange</t>
  </si>
  <si>
    <t>https://pubs.acs.org/doi/abs/10.1021/acssuschemeng.0c08561</t>
  </si>
  <si>
    <t>Accelerating olivine weathering with wave power for CO‚ÇÇ removal.</t>
  </si>
  <si>
    <t>Project Vesta</t>
  </si>
  <si>
    <t>www.projectvesta.org</t>
  </si>
  <si>
    <t>Carbon removal walls to protect arable land and clean the atmosphere.</t>
  </si>
  <si>
    <t xml:space="preserve">RockFarm </t>
  </si>
  <si>
    <t>https://rockfarmio.wordpress.com/</t>
  </si>
  <si>
    <t>Surface olivine weathering.</t>
  </si>
  <si>
    <t>CO‚ÇÇ-Zero</t>
  </si>
  <si>
    <t>CO‚ÇÇ removal with olivine.</t>
  </si>
  <si>
    <t>GreenSand</t>
  </si>
  <si>
    <t>https://www.greensand.nl/</t>
  </si>
  <si>
    <t>Enhanced weathering of basalt rock as a method of atmospheric CO2 removal</t>
  </si>
  <si>
    <t>The Future Forest Company, Heriot-Watt University, University of Sheffield</t>
  </si>
  <si>
    <t>https://thefutureforestcompany.com/enhanced-weathering/</t>
  </si>
  <si>
    <t>Eion Corp</t>
  </si>
  <si>
    <t>Neustark</t>
  </si>
  <si>
    <t>Aggregates</t>
  </si>
  <si>
    <t>https://www.neustark.com/about</t>
  </si>
  <si>
    <t>Eion</t>
  </si>
  <si>
    <t>https://eioncarbon.com/</t>
  </si>
  <si>
    <t>Open ocean kelp farming for carbon sequestration in oceanic sediments.</t>
  </si>
  <si>
    <t>Running Tide</t>
  </si>
  <si>
    <t>https://www.runningtide.com/</t>
  </si>
  <si>
    <t>Project Interseqt - Hereford BECCS</t>
  </si>
  <si>
    <t>Direct air capture coupled with utilization by O.C.O. Technology.</t>
  </si>
  <si>
    <t>Mission Zero</t>
  </si>
  <si>
    <t>https://oco.co.uk/</t>
  </si>
  <si>
    <t>Ebb Carbon</t>
  </si>
  <si>
    <t>Heirloom</t>
  </si>
  <si>
    <t>Origen Carbon Solutions</t>
  </si>
  <si>
    <t>https://origencarbonsolutions.com/8-rivers-calcite-and-origen-carbon-solutions-announce-joint-project-in-the-uk-selection-by-frontier/</t>
  </si>
  <si>
    <t>https://www.vesta.earth/field-pilots</t>
  </si>
  <si>
    <t>RepAir</t>
  </si>
  <si>
    <t>Repair</t>
  </si>
  <si>
    <t>https://repair-carbon.com/</t>
  </si>
  <si>
    <t>Ocean technology and aquaculture company.</t>
  </si>
  <si>
    <t>Marcus Biorefinery</t>
  </si>
  <si>
    <t>Mason City Biorefinery</t>
  </si>
  <si>
    <t>Merrill Biorefinery</t>
  </si>
  <si>
    <t>Mina Biorefinery</t>
  </si>
  <si>
    <t xml:space="preserve">Nevada Biorefinery </t>
  </si>
  <si>
    <t>Norfolk Biorefinery</t>
  </si>
  <si>
    <t>Onida Biorefinery</t>
  </si>
  <si>
    <t>Otter Tail Biorefinery</t>
  </si>
  <si>
    <t xml:space="preserve">Plainview Biorefinery </t>
  </si>
  <si>
    <t>York Biorefinery Carbon Capture and Storage</t>
  </si>
  <si>
    <t>Atkinson Biorefinery Carbon Capture and Storage</t>
  </si>
  <si>
    <t>Casselton Biorefinery Carbon Capture and Storage</t>
  </si>
  <si>
    <t>Central City Biorefinery Carbon Capture and Storage</t>
  </si>
  <si>
    <t>Aberdeen Biorefinery</t>
  </si>
  <si>
    <t>Fairmont Biorefinery</t>
  </si>
  <si>
    <t>Shenandoah Biorefinery</t>
  </si>
  <si>
    <t>Sioux Center Biorefinery</t>
  </si>
  <si>
    <t>Steamboat Rock Biorefinery</t>
  </si>
  <si>
    <t>Superior Biorefinery</t>
  </si>
  <si>
    <t>Watertown Biorefinery</t>
  </si>
  <si>
    <t>Wentworth Biorefinery</t>
  </si>
  <si>
    <t>Wood River Biorefinery</t>
  </si>
  <si>
    <t>Galva Biorefinery</t>
  </si>
  <si>
    <t>Goldfield Biorefinery</t>
  </si>
  <si>
    <t>Grand Junction Biorefinery</t>
  </si>
  <si>
    <t>Granite Falls Biorefinery</t>
  </si>
  <si>
    <t>Heron Lake Biorefinery</t>
  </si>
  <si>
    <t>Lamberton Biorefinery</t>
  </si>
  <si>
    <t>Lawler Biorefinery</t>
  </si>
  <si>
    <t>GPC Quimica Methanol Plant</t>
  </si>
  <si>
    <t>CPC Quimica</t>
  </si>
  <si>
    <t>Project Dreamcatcher - Low Carbon Direct Air Capture</t>
  </si>
  <si>
    <t>https://carbonengineering.com/news-updates/uks-first-large-scale-dac-facility/</t>
  </si>
  <si>
    <t>8 Rivers</t>
  </si>
  <si>
    <t>Sustaera</t>
  </si>
  <si>
    <t>Susaera</t>
  </si>
  <si>
    <t>1PointFive</t>
  </si>
  <si>
    <t>https://www.1pointfive.com/</t>
  </si>
  <si>
    <t>AspiraDAC</t>
  </si>
  <si>
    <t>https://www.aspiradac.com/news</t>
  </si>
  <si>
    <t>Marine permaculture grows seaweed, earns money, and sinks carbon.</t>
  </si>
  <si>
    <t>C-Combinator</t>
  </si>
  <si>
    <t>https://www.c-combinator.com</t>
  </si>
  <si>
    <t>Negative emissions with BECCS on a CHP Plant.</t>
  </si>
  <si>
    <t>http://www.biorecro.com/?page=main</t>
  </si>
  <si>
    <t>Mendota BECCS</t>
  </si>
  <si>
    <t>Chevron, Schlumberger, Microsoft</t>
  </si>
  <si>
    <t>Stockholm Exergi</t>
  </si>
  <si>
    <t>RedField BioRefinery</t>
  </si>
  <si>
    <t>OXY and Carbon Engineering Direct Air Capture and EOR</t>
  </si>
  <si>
    <t>Direct Air Capture powered by Nuclear Power Plant</t>
  </si>
  <si>
    <t>Sizewell C, University of Nottingham, Strata Technology, Atkins, Doosan Babcock</t>
  </si>
  <si>
    <t>https://www.edfenergy.com/energy/nuclear-new-build-projects/sizewell-c/news-views/sizewell-c-and-partners-awarded-direct-air-capture-funding</t>
  </si>
  <si>
    <t>SMART-DAC Sustainable Membrane Absorption &amp; Regeneration Technology for Direct Air Capture</t>
  </si>
  <si>
    <t>CO2CirculAir, OGTC, Heriot-Watt University Research Center for Carbon Solutions</t>
  </si>
  <si>
    <t>https://www.hw.ac.uk/news/articles/2021/university-to-deliver-technology-innovation.htm</t>
  </si>
  <si>
    <t>Environmental CO2 Removal</t>
  </si>
  <si>
    <t>Rolls Royce, Commonwealth Scientific and Industrial Research Organisation (CSIRO)</t>
  </si>
  <si>
    <t>https://www.csiro.au/en/work-with-us/ip-commercialisation/marketplace/co2gen</t>
  </si>
  <si>
    <t>SeaCURE</t>
  </si>
  <si>
    <t>University of Exeter</t>
  </si>
  <si>
    <t>https://www.exeter.ac.uk/news/research/title_860000_en.html</t>
  </si>
  <si>
    <t>Mammoth - Climeworks</t>
  </si>
  <si>
    <t>https://climeworks.com/roadmap/mammoth</t>
  </si>
  <si>
    <t>Global Thermostat</t>
  </si>
  <si>
    <t>Global Thermostat, LLC</t>
  </si>
  <si>
    <t>BECCS at the world‚Äôs largest biomass power station.</t>
  </si>
  <si>
    <t>Drax</t>
  </si>
  <si>
    <t>http://www.drax.com/BECCS</t>
  </si>
  <si>
    <t>Negative Emissions Gasification</t>
  </si>
  <si>
    <t>Drax Corporation Ltd</t>
  </si>
  <si>
    <t>var</t>
  </si>
  <si>
    <t>year</t>
  </si>
  <si>
    <t>current_cdr</t>
  </si>
  <si>
    <t>units</t>
  </si>
  <si>
    <t>planned_cdr_ndcs_unconditional</t>
  </si>
  <si>
    <t>planned_cdr_ndcs_conditional</t>
  </si>
  <si>
    <t>type</t>
  </si>
  <si>
    <t>other</t>
  </si>
  <si>
    <t>lulucf</t>
  </si>
  <si>
    <t>planned_cdr_ltleds_lower</t>
  </si>
  <si>
    <t>planned_cdr_ltleds_upper</t>
  </si>
  <si>
    <t>Country</t>
  </si>
  <si>
    <t>Yes</t>
  </si>
  <si>
    <t>No</t>
  </si>
  <si>
    <t>Mt CO2</t>
  </si>
  <si>
    <t>label</t>
  </si>
  <si>
    <t>Planned CDR (unconditional NDCs)</t>
  </si>
  <si>
    <t>Planned CDR (conditional NDCs)</t>
  </si>
  <si>
    <t>Current CDR</t>
  </si>
  <si>
    <t>Planned CDR (LT-LEDS low)</t>
  </si>
  <si>
    <t>Planned CDR (LT-LEDS high)</t>
  </si>
  <si>
    <t>Afghanistan</t>
  </si>
  <si>
    <t>Algeria</t>
  </si>
  <si>
    <t>Andorra</t>
  </si>
  <si>
    <t>Antigua and Barbuda</t>
  </si>
  <si>
    <t>Argentina</t>
  </si>
  <si>
    <t>Armenia</t>
  </si>
  <si>
    <t>Austria</t>
  </si>
  <si>
    <t>Azerbaijan</t>
  </si>
  <si>
    <t>Bahamas</t>
  </si>
  <si>
    <t>Bahrain</t>
  </si>
  <si>
    <t>Barbados</t>
  </si>
  <si>
    <t>Belarus</t>
  </si>
  <si>
    <t>Belgium</t>
  </si>
  <si>
    <t>Benin</t>
  </si>
  <si>
    <t>Bhutan</t>
  </si>
  <si>
    <t>Bolivia</t>
  </si>
  <si>
    <t>Bosnia and Herzegovina</t>
  </si>
  <si>
    <t>Botswana</t>
  </si>
  <si>
    <t>Brazil</t>
  </si>
  <si>
    <t>Brunei Darussalam</t>
  </si>
  <si>
    <t>Bulgaria</t>
  </si>
  <si>
    <t>Central African Rep.</t>
  </si>
  <si>
    <t>China</t>
  </si>
  <si>
    <t>Cook Islands</t>
  </si>
  <si>
    <t>Costa Rica</t>
  </si>
  <si>
    <t>Cote d'Ivoire</t>
  </si>
  <si>
    <t>Croatia</t>
  </si>
  <si>
    <t>Cyprus</t>
  </si>
  <si>
    <t>Czech Republic</t>
  </si>
  <si>
    <t>Dem. Rep. Korea</t>
  </si>
  <si>
    <t>Dem. Rep. Congo (DRC)</t>
  </si>
  <si>
    <t>Denmark</t>
  </si>
  <si>
    <t>Djibouti</t>
  </si>
  <si>
    <t>Dominica</t>
  </si>
  <si>
    <t>Dominican Republic</t>
  </si>
  <si>
    <t>Ecuador</t>
  </si>
  <si>
    <t>Egypt</t>
  </si>
  <si>
    <t>Equatorial Guinea</t>
  </si>
  <si>
    <t>Eritrea</t>
  </si>
  <si>
    <t>Estonia</t>
  </si>
  <si>
    <t>Fiji</t>
  </si>
  <si>
    <t>Finland</t>
  </si>
  <si>
    <t>France</t>
  </si>
  <si>
    <t>Gabon</t>
  </si>
  <si>
    <t>Georgia</t>
  </si>
  <si>
    <t>Germany</t>
  </si>
  <si>
    <t>Ghana</t>
  </si>
  <si>
    <t>Greece</t>
  </si>
  <si>
    <t>Grenada</t>
  </si>
  <si>
    <t>Guatemala</t>
  </si>
  <si>
    <t>Guinea</t>
  </si>
  <si>
    <t>Guyana</t>
  </si>
  <si>
    <t>Haiti</t>
  </si>
  <si>
    <t>Honduras</t>
  </si>
  <si>
    <t>Hungary</t>
  </si>
  <si>
    <t>Iceland</t>
  </si>
  <si>
    <t>India</t>
  </si>
  <si>
    <t>Iran</t>
  </si>
  <si>
    <t>Iraq</t>
  </si>
  <si>
    <t>Ireland</t>
  </si>
  <si>
    <t>Israel</t>
  </si>
  <si>
    <t>Italy</t>
  </si>
  <si>
    <t>Jamaica</t>
  </si>
  <si>
    <t>Jordan</t>
  </si>
  <si>
    <t>Kazakhstan</t>
  </si>
  <si>
    <t>Kenya</t>
  </si>
  <si>
    <t>Kiribati</t>
  </si>
  <si>
    <t>Kuwait</t>
  </si>
  <si>
    <t>Lao People's Dem. Rep.</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</si>
  <si>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</si>
  <si>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</si>
  <si>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</si>
  <si>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</si>
  <si>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</si>
  <si>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</si>
  <si>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</si>
  <si>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</si>
  <si>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</si>
  <si>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</si>
  <si>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</si>
  <si>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</si>
  <si>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</si>
  <si>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</si>
  <si>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</si>
  <si>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</si>
  <si>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Micronesia</t>
  </si>
  <si>
    <t>Monaco</t>
  </si>
  <si>
    <t>Mongolia</t>
  </si>
  <si>
    <t>Montenegro</t>
  </si>
  <si>
    <t>Morocco</t>
  </si>
  <si>
    <t>Mozambique</t>
  </si>
  <si>
    <t>Nauru</t>
  </si>
  <si>
    <t>Nepal</t>
  </si>
  <si>
    <t>Netherlands</t>
  </si>
  <si>
    <t>Nicaragua</t>
  </si>
  <si>
    <t>Niue</t>
  </si>
  <si>
    <t>Oman</t>
  </si>
  <si>
    <t>Pakistan</t>
  </si>
  <si>
    <t>Palau</t>
  </si>
  <si>
    <t>Panama</t>
  </si>
  <si>
    <t>Peru</t>
  </si>
  <si>
    <t>Philippines</t>
  </si>
  <si>
    <t>Poland</t>
  </si>
  <si>
    <t>Portugal</t>
  </si>
  <si>
    <t>Qatar</t>
  </si>
  <si>
    <t>Republic of Korea</t>
  </si>
  <si>
    <t>Republic of Moldova</t>
  </si>
  <si>
    <t>Romania</t>
  </si>
  <si>
    <t>Rwanda</t>
  </si>
  <si>
    <t>Saint Kitts and Nevis</t>
  </si>
  <si>
    <t>Saint Lucia</t>
  </si>
  <si>
    <t>Saint Vincent and Grenad.</t>
  </si>
  <si>
    <t>San Marino</t>
  </si>
  <si>
    <t>Sao Tome and Principe</t>
  </si>
  <si>
    <t>Saudi Arabia</t>
  </si>
  <si>
    <t>Serbia</t>
  </si>
  <si>
    <t>Seychelles</t>
  </si>
  <si>
    <t>Sierra Leone</t>
  </si>
  <si>
    <t>Singapore</t>
  </si>
  <si>
    <t>Slovakia</t>
  </si>
  <si>
    <t>Slovenia</t>
  </si>
  <si>
    <t>Solomon Islands</t>
  </si>
  <si>
    <t>South Africa</t>
  </si>
  <si>
    <t>South Sudan</t>
  </si>
  <si>
    <t>Spain</t>
  </si>
  <si>
    <t>Sudan</t>
  </si>
  <si>
    <t>Suriname</t>
  </si>
  <si>
    <t>Swaziland</t>
  </si>
  <si>
    <t>Sweden</t>
  </si>
  <si>
    <t>Switzerland</t>
  </si>
  <si>
    <t>Syrian Arab Republic</t>
  </si>
  <si>
    <t>Tajikistan</t>
  </si>
  <si>
    <t>Thailand</t>
  </si>
  <si>
    <t>Macedonia</t>
  </si>
  <si>
    <t>Timor-Leste</t>
  </si>
  <si>
    <t>Tonga</t>
  </si>
  <si>
    <t>Trinidad and Tobago</t>
  </si>
  <si>
    <t>Tunisia</t>
  </si>
  <si>
    <t>Turkmenistan</t>
  </si>
  <si>
    <t>Tuvalu</t>
  </si>
  <si>
    <t>Uganda</t>
  </si>
  <si>
    <t>Ukraine</t>
  </si>
  <si>
    <t>United Arab Emirates</t>
  </si>
  <si>
    <t>United Kingdom</t>
  </si>
  <si>
    <t xml:space="preserve">United Rep. of Tanzania </t>
  </si>
  <si>
    <t>Uruguay</t>
  </si>
  <si>
    <t>Uzbekistan</t>
  </si>
  <si>
    <t>Vanuatu</t>
  </si>
  <si>
    <t>Venezuela</t>
  </si>
  <si>
    <t>Yemen</t>
  </si>
  <si>
    <t>Zambia</t>
  </si>
  <si>
    <t>Annex I</t>
  </si>
  <si>
    <t>2011-2020</t>
  </si>
  <si>
    <t>country</t>
  </si>
  <si>
    <t>value_mt</t>
  </si>
  <si>
    <t>current_cdr_direct_and_indirect</t>
  </si>
  <si>
    <t>current_cdr_direct</t>
  </si>
  <si>
    <t>EU</t>
  </si>
  <si>
    <t>Category</t>
  </si>
  <si>
    <t>Other</t>
  </si>
  <si>
    <t>BECCS</t>
  </si>
  <si>
    <t>DACCS</t>
  </si>
  <si>
    <t>ISO</t>
  </si>
  <si>
    <t>CAN</t>
  </si>
  <si>
    <t>THA</t>
  </si>
  <si>
    <t>USA</t>
  </si>
  <si>
    <t>ETH</t>
  </si>
  <si>
    <t>LKA</t>
  </si>
  <si>
    <t>VUT</t>
  </si>
  <si>
    <t>IRL</t>
  </si>
  <si>
    <t>OMN</t>
  </si>
  <si>
    <t>ARG</t>
  </si>
  <si>
    <t>GMB</t>
  </si>
  <si>
    <t>IND</t>
  </si>
  <si>
    <t>TUN</t>
  </si>
  <si>
    <t>ZWE</t>
  </si>
  <si>
    <t>BLZ</t>
  </si>
  <si>
    <t>Total CDR in LT-LEDS</t>
  </si>
  <si>
    <t>low</t>
  </si>
  <si>
    <t>high</t>
  </si>
  <si>
    <t>conventional CDR</t>
  </si>
  <si>
    <t>novel</t>
  </si>
  <si>
    <t>total</t>
  </si>
  <si>
    <t>MtCO2e</t>
  </si>
  <si>
    <t>Emissions</t>
  </si>
  <si>
    <t>MITIGATION</t>
  </si>
  <si>
    <t xml:space="preserve"> BAU</t>
  </si>
  <si>
    <t>MITIGATION-Historic GHG</t>
  </si>
  <si>
    <t>Unconditional 2011-2020</t>
  </si>
  <si>
    <t>conditional 2011-2020</t>
  </si>
  <si>
    <t xml:space="preserve">LULUCF 2023 (2021) </t>
  </si>
  <si>
    <t xml:space="preserve">GHG </t>
  </si>
  <si>
    <t>BAU</t>
  </si>
  <si>
    <t>Unc emiss</t>
  </si>
  <si>
    <t>Cond</t>
  </si>
  <si>
    <t>emiss</t>
  </si>
  <si>
    <t xml:space="preserve">Unc </t>
  </si>
  <si>
    <t>Mit BAU</t>
  </si>
  <si>
    <t>Cond Mit BAU</t>
  </si>
  <si>
    <t>Historic uncond</t>
  </si>
  <si>
    <t>Historic</t>
  </si>
  <si>
    <t xml:space="preserve">Emis        </t>
  </si>
  <si>
    <t>Historic cond</t>
  </si>
  <si>
    <t xml:space="preserve">Emiss        </t>
  </si>
  <si>
    <t>NonAnnex I</t>
  </si>
  <si>
    <t>Powis ratio</t>
  </si>
  <si>
    <t>iso</t>
  </si>
  <si>
    <t>DEFORESTATION</t>
  </si>
  <si>
    <t>FOREST LAND</t>
  </si>
  <si>
    <t>LULUCF net</t>
  </si>
  <si>
    <t>ORGANIC SOILS</t>
  </si>
  <si>
    <t>OTHER LAND USES</t>
  </si>
  <si>
    <t>AFG</t>
  </si>
  <si>
    <t>ALB</t>
  </si>
  <si>
    <t>DZA</t>
  </si>
  <si>
    <t>AND</t>
  </si>
  <si>
    <t>AGO</t>
  </si>
  <si>
    <t>ATG</t>
  </si>
  <si>
    <t>ARM</t>
  </si>
  <si>
    <t>AUS</t>
  </si>
  <si>
    <t>AUT</t>
  </si>
  <si>
    <t>AZE</t>
  </si>
  <si>
    <t>BHS</t>
  </si>
  <si>
    <t>BHR</t>
  </si>
  <si>
    <t>BGD</t>
  </si>
  <si>
    <t>BRB</t>
  </si>
  <si>
    <t>BLR</t>
  </si>
  <si>
    <t>BEL</t>
  </si>
  <si>
    <t>BEN</t>
  </si>
  <si>
    <t>BTN</t>
  </si>
  <si>
    <t>BOL</t>
  </si>
  <si>
    <t>BIH</t>
  </si>
  <si>
    <t>BWA</t>
  </si>
  <si>
    <t>BRA</t>
  </si>
  <si>
    <t>BRN</t>
  </si>
  <si>
    <t>BGR</t>
  </si>
  <si>
    <t>BFA</t>
  </si>
  <si>
    <t>BDI</t>
  </si>
  <si>
    <t>KHM</t>
  </si>
  <si>
    <t>CMR</t>
  </si>
  <si>
    <t>CPV</t>
  </si>
  <si>
    <t>CAF</t>
  </si>
  <si>
    <t>TCD</t>
  </si>
  <si>
    <t>CHL</t>
  </si>
  <si>
    <t>CHN</t>
  </si>
  <si>
    <t>COL</t>
  </si>
  <si>
    <t>COM</t>
  </si>
  <si>
    <t>COG</t>
  </si>
  <si>
    <t>COK</t>
  </si>
  <si>
    <t>CRI</t>
  </si>
  <si>
    <t>CIV</t>
  </si>
  <si>
    <t>HRV</t>
  </si>
  <si>
    <t>CUB</t>
  </si>
  <si>
    <t>CYP</t>
  </si>
  <si>
    <t>CZE</t>
  </si>
  <si>
    <t>COD</t>
  </si>
  <si>
    <t>PRK</t>
  </si>
  <si>
    <t>DNK</t>
  </si>
  <si>
    <t>DJI</t>
  </si>
  <si>
    <t>DMA</t>
  </si>
  <si>
    <t>DOM</t>
  </si>
  <si>
    <t>ECU</t>
  </si>
  <si>
    <t>EGY</t>
  </si>
  <si>
    <t>SLV</t>
  </si>
  <si>
    <t>GNQ</t>
  </si>
  <si>
    <t>ERI</t>
  </si>
  <si>
    <t>EST</t>
  </si>
  <si>
    <t>EU27</t>
  </si>
  <si>
    <t>FJI</t>
  </si>
  <si>
    <t>FIN</t>
  </si>
  <si>
    <t>FRA</t>
  </si>
  <si>
    <t>GAB</t>
  </si>
  <si>
    <t>GEO</t>
  </si>
  <si>
    <t>DEU</t>
  </si>
  <si>
    <t>GHA</t>
  </si>
  <si>
    <t>GRC</t>
  </si>
  <si>
    <t>GRD</t>
  </si>
  <si>
    <t>GTM</t>
  </si>
  <si>
    <t>GIN</t>
  </si>
  <si>
    <t>GNB</t>
  </si>
  <si>
    <t>GUY</t>
  </si>
  <si>
    <t>HTI</t>
  </si>
  <si>
    <t>HND</t>
  </si>
  <si>
    <t>HUN</t>
  </si>
  <si>
    <t>ISL</t>
  </si>
  <si>
    <t>IDN</t>
  </si>
  <si>
    <t>IRN</t>
  </si>
  <si>
    <t>IRQ</t>
  </si>
  <si>
    <t>ISR</t>
  </si>
  <si>
    <t>ITA</t>
  </si>
  <si>
    <t>JAM</t>
  </si>
  <si>
    <t>JPN</t>
  </si>
  <si>
    <t>JOR</t>
  </si>
  <si>
    <t>KAZ</t>
  </si>
  <si>
    <t>KEN</t>
  </si>
  <si>
    <t>KIR</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</si>
  <si>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</si>
  <si>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</si>
  <si>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</si>
  <si>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</si>
  <si>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</si>
  <si>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</si>
  <si>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</si>
  <si>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</si>
  <si>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</si>
  <si>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</si>
  <si>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</si>
  <si>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</si>
  <si>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</si>
  <si>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</si>
  <si>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</si>
  <si>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</si>
  <si>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</si>
  <si>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</si>
  <si>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</si>
  <si>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</si>
  <si>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</si>
  <si>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</si>
  <si>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</si>
  <si>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MCO</t>
  </si>
  <si>
    <t>MNG</t>
  </si>
  <si>
    <t>MNE</t>
  </si>
  <si>
    <t>MAR</t>
  </si>
  <si>
    <t>MOZ</t>
  </si>
  <si>
    <t>MMR</t>
  </si>
  <si>
    <t>NAM</t>
  </si>
  <si>
    <t>NRU</t>
  </si>
  <si>
    <t>NPL</t>
  </si>
  <si>
    <t>NLD</t>
  </si>
  <si>
    <t>NZL</t>
  </si>
  <si>
    <t>NIC</t>
  </si>
  <si>
    <t>NER</t>
  </si>
  <si>
    <t>NGA</t>
  </si>
  <si>
    <t>NIU</t>
  </si>
  <si>
    <t>NOR</t>
  </si>
  <si>
    <t>PAK</t>
  </si>
  <si>
    <t>PLW</t>
  </si>
  <si>
    <t>PAN</t>
  </si>
  <si>
    <t>PNG</t>
  </si>
  <si>
    <t>PRY</t>
  </si>
  <si>
    <t>PER</t>
  </si>
  <si>
    <t>PHL</t>
  </si>
  <si>
    <t>POL</t>
  </si>
  <si>
    <t>PRT</t>
  </si>
  <si>
    <t>QAT</t>
  </si>
  <si>
    <t>KOR</t>
  </si>
  <si>
    <t>MDA</t>
  </si>
  <si>
    <t>ROU</t>
  </si>
  <si>
    <t>RUS</t>
  </si>
  <si>
    <t>RWA</t>
  </si>
  <si>
    <t>KNA</t>
  </si>
  <si>
    <t>LCA</t>
  </si>
  <si>
    <t>VCT</t>
  </si>
  <si>
    <t>WSM</t>
  </si>
  <si>
    <t>SMR</t>
  </si>
  <si>
    <t>STP</t>
  </si>
  <si>
    <t>SAU</t>
  </si>
  <si>
    <t>SEN</t>
  </si>
  <si>
    <t>SRB</t>
  </si>
  <si>
    <t>SYC</t>
  </si>
  <si>
    <t>SLE</t>
  </si>
  <si>
    <t>SGP</t>
  </si>
  <si>
    <t>SVK</t>
  </si>
  <si>
    <t>SVN</t>
  </si>
  <si>
    <t>SLB</t>
  </si>
  <si>
    <t>SOM</t>
  </si>
  <si>
    <t>ZAF</t>
  </si>
  <si>
    <t>SSD</t>
  </si>
  <si>
    <t>ESP</t>
  </si>
  <si>
    <t>SDN</t>
  </si>
  <si>
    <t>SUR</t>
  </si>
  <si>
    <t>SWZ</t>
  </si>
  <si>
    <t>SWE</t>
  </si>
  <si>
    <t>CHE</t>
  </si>
  <si>
    <t>SYR</t>
  </si>
  <si>
    <t>TJK</t>
  </si>
  <si>
    <t>TLS</t>
  </si>
  <si>
    <t>TGO</t>
  </si>
  <si>
    <t>TON</t>
  </si>
  <si>
    <t>TTO</t>
  </si>
  <si>
    <t>TUR</t>
  </si>
  <si>
    <t>TKM</t>
  </si>
  <si>
    <t>TUV</t>
  </si>
  <si>
    <t>UGA</t>
  </si>
  <si>
    <t>UKR</t>
  </si>
  <si>
    <t>ARE</t>
  </si>
  <si>
    <t>GBR</t>
  </si>
  <si>
    <t>TZA</t>
  </si>
  <si>
    <t>URY</t>
  </si>
  <si>
    <t>UZB</t>
  </si>
  <si>
    <t>VEN</t>
  </si>
  <si>
    <t>VNM</t>
  </si>
  <si>
    <t>WLD</t>
  </si>
  <si>
    <t>YEM</t>
  </si>
  <si>
    <t>ZMB</t>
  </si>
  <si>
    <t>FOREST LAND negative fluxes only</t>
  </si>
  <si>
    <t>OTHER LAND USES negative fluxes only</t>
  </si>
  <si>
    <t>LT-LEDS countries only</t>
  </si>
  <si>
    <t>https://climate.ec.europa.eu/system/files/2019-08/long-term_analysis_in_depth_analysis_figures_20190722_en.pdf</t>
  </si>
  <si>
    <t>ratio of direct to indirect</t>
  </si>
  <si>
    <t>correction</t>
  </si>
  <si>
    <t>-</t>
  </si>
  <si>
    <t>Agriculture and FOLU combined in Figure 5.4, Page 23</t>
  </si>
  <si>
    <t>English</t>
  </si>
  <si>
    <t>LT-LEDS</t>
  </si>
  <si>
    <t>Zimbabwe Long-term Low Greenhouse Gas Emission Development Strategy (2020-2050)</t>
  </si>
  <si>
    <t xml:space="preserve">Figure 25, Page 55, indicates that removals in the forest sector is maintained in the LEDS pathway, but reduced in the BAU. </t>
  </si>
  <si>
    <t>Maintained</t>
  </si>
  <si>
    <t>Table 22, Page 66</t>
  </si>
  <si>
    <t>Vanuatu Low Emissions Development Strategy</t>
  </si>
  <si>
    <t>Table 03, Page 53, indicates that this scenario represents a slight increase (+366 Gg CO2) in the net CO2 removal when compare to 2020, though the sink rapidly declines to 2025, with gradual restoration to 2050, exceeding the 2020 level.</t>
  </si>
  <si>
    <t>Increasing</t>
  </si>
  <si>
    <t>Table 04, Page 55</t>
  </si>
  <si>
    <t>Spanish</t>
  </si>
  <si>
    <t>ESTRATEGIA CLIMÁTICA DE LARGO PLAZO DE PARA UN DESARROLLO BAJO EN EMISIONES DE GASES DE EFECTO INVERNADERO Y RESILIENTE AL CLIMA</t>
  </si>
  <si>
    <t>Table 03, Page 53, indicates that this scenario represents a decrease in the net CO2 removal when compare to 2020, though the sink rapidly declines to 2025, with gradual restoration to 2050.</t>
  </si>
  <si>
    <t>Decreasing</t>
  </si>
  <si>
    <t xml:space="preserve">Figure 17, on Page 45, indicates a roughly stable land-use sink through to 2050, when taking the central estimate of the range presented. </t>
  </si>
  <si>
    <t xml:space="preserve">Figure 17, on Page 45, Estimates read off Figure. LULUCF refers to values for 'land sink'. </t>
  </si>
  <si>
    <t>The Long-Term Strategy of The United States Pathways to Net-Zero Greenhouse Gas Emissions by 2050</t>
  </si>
  <si>
    <t>United States</t>
  </si>
  <si>
    <t xml:space="preserve">Agriculture and LULUCF are combined in Table 4, Page 318, meaning the true level of residual emission is likely to be higher. </t>
  </si>
  <si>
    <t xml:space="preserve">Table 4, Page 318, Agriculture and LULUCF are combined, meaning the extent removals in LULUCF cannot be readily determined. 'Greenhouse Gas Removals' allocated to Engineered-CDR, as indicated on Page 185. </t>
  </si>
  <si>
    <t>UK Net Zero Strategy – Build Back Greener</t>
  </si>
  <si>
    <t>Table, Page 12</t>
  </si>
  <si>
    <t>Ukraine 2050 - Low Emission Development Strategy</t>
  </si>
  <si>
    <t>Figure 45, Page 71</t>
  </si>
  <si>
    <t>Figure 45, Page 71,
Figure 44, Page 70 for 3A</t>
  </si>
  <si>
    <t>French</t>
  </si>
  <si>
    <t>Stratégie de Développement Neutre en Carbone et Résilient aux Changements Climatiques à l’horizon 2050</t>
  </si>
  <si>
    <t>Low Emission Development Strategy 2021-2050</t>
  </si>
  <si>
    <t xml:space="preserve">Only LULUCF is shown as compensating for residual emissions. The statement made on Page 14, however, implies BECCS and DACCS may be included in the energy sector: 'Coal phase-out and negative emission technologies in the energy sector, e.g., Bioenergy with CCS (BECCS) or direct air capture and storage, will be necessary in Thailand’s net zero GHG emission pathway.'
If this is the case, the 'true' level of residual emissions is likely higher. </t>
  </si>
  <si>
    <t xml:space="preserve">Figure 3-3, Page 14, indicates an increasing net LULUCF sink from 2015 to 2040, where it is maintained till 2065. </t>
  </si>
  <si>
    <t>Figure 3-3, Page 14, and text directly above. Note only LULUCF is presented, however, it appears this may be a partial estimate of total removals, owing to the statement made on Page 14, implying BECCS and DACCS may be included in the energy sector: 'Coal phase-out and negative emission technologies in the energy sector, e.g., Bioenergy with CCS (BECCS) or direct air capture and storage, will be necessary in Thailand’s net zero GHG emission pathway.'</t>
  </si>
  <si>
    <t>Thailand's Long-term Low Greenhouse Gas Emission Development Strategy (Revised version) </t>
  </si>
  <si>
    <t>Table 2 contains an estimation of residual emissions, and how they are intended to be abated via CCS or via NETs. NETs are not defined, except a broad range of common forms ('biochar, capture of pyrolysis emissions, BECCS, DACCS, abroad'). 'Negative emission incineration plants', considered applying CCS to waste incineration, of which part of the waste is biogenic in origin, so comparative to BECCS in notion. Figure 28 notes that some NETs may be best delivered abroad, this is implied to be DACCS (e.g. 'For Switzerland, DACCS could be implemented partly or exclusively directly at geologically suitable locations abroad.') but this is not explicitly labelled in Figure 28. Assuming that the 4.9 value in Figure 28 is DACCs, the 7.0 value is a combination of CCS and NETs of which 5.1 is CCS (value for CCS abatement in Table 2), this leaves 1.9 to be BECCS (inclusive of waste incinerators incinerating waste of biogenic origin).</t>
  </si>
  <si>
    <t>Switzerland's Long-Term Climate Strategy</t>
  </si>
  <si>
    <t xml:space="preserve">Figure 7 indicates LULUCF is maintained from 2018 onwards at a similar level till 2050. </t>
  </si>
  <si>
    <t>Table 2, Page 25. LULUCF values are not connected to scenario presented in Annex 1. LULUCF relates to 2050</t>
  </si>
  <si>
    <t>LT-LEDS/EU LTS</t>
  </si>
  <si>
    <t>Sweden’s long-term strategy for reducing greenhouse gas emissions</t>
  </si>
  <si>
    <t>Sri Lanka Climate Prosperity Plan</t>
  </si>
  <si>
    <t xml:space="preserve">Agriculture and waste combined. </t>
  </si>
  <si>
    <t xml:space="preserve">Figure A.6, LT-LEDS Annexes, Page 14, indicates that proposed measures in the LULUCF sector maintain the existing levels. </t>
  </si>
  <si>
    <t>Figure A.6, LT-LEDS Annexes, Page 14</t>
  </si>
  <si>
    <t>Estrategia de Descarbonizacíon a Largo Plazo 2050</t>
  </si>
  <si>
    <t>2050 Carbon Neutral Strategy of The Republic of Korea</t>
  </si>
  <si>
    <t>South Korea</t>
  </si>
  <si>
    <t>South Africa's Low Emission Development Strategy</t>
  </si>
  <si>
    <t>Figure 21, Page 37, indicates an increasing net sink from 2020 onwards.</t>
  </si>
  <si>
    <t>Figure 12, Page 24
Figure 21, Page 37</t>
  </si>
  <si>
    <t>The Solomon Islands Long-Term Low Emissions Development Strategy (LEDS)</t>
  </si>
  <si>
    <t xml:space="preserve">Table 1, Page 15, indicates a transition from a net source in 2018 to a net sink by 2050. </t>
  </si>
  <si>
    <t>Table 1, Page 15</t>
  </si>
  <si>
    <t>Resolution on Slovenia’s Long-Term Climate Strategy Until 2050 (Redps50)</t>
  </si>
  <si>
    <t>Low-Carbon Development Strategy of The Slovak Republic Until 2030 With A View To 2050</t>
  </si>
  <si>
    <t>Addendum to Singapore's Long-Term Low-Emissions Development Strategy</t>
  </si>
  <si>
    <t>Table, Page 34</t>
  </si>
  <si>
    <t>English [translation]</t>
  </si>
  <si>
    <t>Strategy of socio-economic development of the Russian Federation with low greenhouse gas emissions until 2050</t>
  </si>
  <si>
    <t>Russia</t>
  </si>
  <si>
    <t>Figure 23, Page 53, indicates an increasing sink for 'Forests and other land uses' from 2020 onwards,</t>
  </si>
  <si>
    <t xml:space="preserve">Table 13, Page 53. Values for 'Land uses'. Note that, elsewhere, for example, on Page 18 and figures on Page 17, a 'carbon sink' value of 9-13 MtCO2 is suggested as required. This, however, is exclusive of agricultural land and pastures, as noted on Page 17, and therefore an amended category of LULUCF. Table 13, however, suggests that for the same scenarios, a carbon sink value of at least 11 MtCO2 would be required if assuming the same scope for the 'carbon sink'. </t>
  </si>
  <si>
    <t>Roadmap for Carbon Neutrality 2050 (RNC2050) Long-Term Strategy for Carbon Neutrality of The Portuguese Economy By 2050</t>
  </si>
  <si>
    <t xml:space="preserve">Sectoral residual emissions not clear from available detail, beyond power, oil &amp; gas, transport and industry. </t>
  </si>
  <si>
    <t>Page 31(Assumed to be DACCS owing to suitability described on Page 31)</t>
  </si>
  <si>
    <t>The Sultanate of Oman’s National Strategy for an Orderly Transition to Net Zero</t>
  </si>
  <si>
    <t>Norway's long-term low-emission strategy for 2050</t>
  </si>
  <si>
    <t>Figure 23, Page 46,shows an increase in the net sink from 2016 to 2050.</t>
  </si>
  <si>
    <t>Figure 31, Page 52</t>
  </si>
  <si>
    <t>Long-Term Strategy on Climate Action And Action Plan</t>
  </si>
  <si>
    <t>North Macedonia</t>
  </si>
  <si>
    <t xml:space="preserve">2050 Long-Term Vision for Nigeria (LTV-2050) </t>
  </si>
  <si>
    <t>Te hau mārohi ki anamata Transitioning to a low-emissions and climate-resilient future</t>
  </si>
  <si>
    <t>Long term strategy on climate mitigation</t>
  </si>
  <si>
    <t xml:space="preserve">Modelling contained in Annex 1 pertains only to CO2, meaning GHG emissions elsewhere in the economy are not known. This, however, could be substantial with nearly half of GHGs on a CO2e basis coming from non-CO2 gases, according to Table 1, for 2019, Page 9. </t>
  </si>
  <si>
    <t xml:space="preserve">Annex 1 indicates that LULUCF becomes a net sink by 2050, from a net source, however the transition occurs within 2019-2020. It is therefore not clear how reliable this is. </t>
  </si>
  <si>
    <t>Annex I, Page 31</t>
  </si>
  <si>
    <t>Nepal's Long-term Strategy for Net-zero Emissions</t>
  </si>
  <si>
    <t>Stratégie Bas Carbone à Long Terme Maroc 2050</t>
  </si>
  <si>
    <t>Mexico's Climate Change Mid-Century Strategy</t>
  </si>
  <si>
    <t>Tile Til Eo - 2050 Climate Strategy "Lighting the Way"</t>
  </si>
  <si>
    <t>Malta Low Carbon Development Strategy</t>
  </si>
  <si>
    <t>Stratégie nationale à long terme en matière d’action climat "Vers la neutralité climatique en 2050"</t>
  </si>
  <si>
    <t>Lithuanian Climate Change Management Agenda 2021</t>
  </si>
  <si>
    <t>Strategy of Latvia for the Achievement of Climate Neutrality by 2050</t>
  </si>
  <si>
    <t>The Long-term Strategy under the Paris Agreement</t>
  </si>
  <si>
    <t xml:space="preserve">Figure 3.5.4, Page 83, shows that, for the 'decarbonization scenario', the LULUCF sector sink is maintained, after an initial decrease, at historic levels. </t>
  </si>
  <si>
    <t>Text, Page 19 ('LULUCF equal to 45 Mton CO2eq…20-40 Mton CO2 eq, we can resort to forms of CO2 capture and storage , a technology applicable to large industries (steel and cement) and to the electricity generation sector: the latter can reach have negative emissions if capture is applied to plantspowered by "bio" sources (biomethane, solid biomass)')</t>
  </si>
  <si>
    <t>Italian</t>
  </si>
  <si>
    <t>EU LTS</t>
  </si>
  <si>
    <t>STRATEGIA ITALIANA DI LUNGO TERMINE SULLA RIDUZIONE DELLE EMISSIONI DEI GAS A EFFETTO SERRA</t>
  </si>
  <si>
    <t>Ireland’s Long-term Strategy on Greenhouse Gas Emissions Reduction</t>
  </si>
  <si>
    <t xml:space="preserve">BECCS included within Energy, meaning the true level of residual emissions cannot be readily determined. BECCS contributes around 8% of power generation in 2050, Page 58. </t>
  </si>
  <si>
    <t xml:space="preserve">Figure 5, Page 34, indicates that, under the LCCP scenario, FOLU transitions from a net source to net sink by 2050. </t>
  </si>
  <si>
    <t xml:space="preserve">Figure 5, Page 34 - estimated from graph. Cannot be determined using Figure 6, Page 37, owing to combination of FOLU and agriculture. </t>
  </si>
  <si>
    <t>Long-Term Strategy for Low Carbon and Climate Resilience 2050</t>
  </si>
  <si>
    <t>India's Long-Term Low-Carbon Development Strategy</t>
  </si>
  <si>
    <t>Figure 10, Page 47, Figure 11, Page 48, and Figure 12, Page 49, indicate an increasing net sink for LULUCF from 2018.</t>
  </si>
  <si>
    <t>Figure 12, Page 49. We assume, consistent with Figure 12, that negative emissions from LULUCF are equal to the residual amount depicted in Figure 10, Page 47.</t>
  </si>
  <si>
    <t>On the Path to Climate Neutrality Iceland’s Long-Term Low Emission Development Strategy</t>
  </si>
  <si>
    <t xml:space="preserve">Figure 2, Page 10, indicates the retention of the existing net sink from 2016 to 2050, though it may decline across the period towards 2030. </t>
  </si>
  <si>
    <t xml:space="preserve">Figure 10, Page 30, combined with text of Page 10, for LULUCF. Figure 19, Page 41 for engineered-CDR. 'CCUS - Industry' and 'CCUS - Electricity generation' assumed to be engineered-CDR. </t>
  </si>
  <si>
    <t>National Clean Development Strategy 2020-2050</t>
  </si>
  <si>
    <t>Estrategia Nacional de Desarrollo con Bajas Emisiones</t>
  </si>
  <si>
    <t>Update to the long-term strategy for climate action of the Federal Republic of Germany</t>
  </si>
  <si>
    <t>In both scenarios, WaM Optimistic and WaM Pessimistic, LULUCF increases from it's base year of 2016 by at least a factor of 2.</t>
  </si>
  <si>
    <t>Figure 2.2.2, Page 65</t>
  </si>
  <si>
    <t>GEORGIA’S LONG-TERM LOW EMISSION DEVELOPMENT STRATEGY</t>
  </si>
  <si>
    <t>Figure 2.2.2, Page 64</t>
  </si>
  <si>
    <t>Figure 11, Page 45, provides a projection for 'Forestry' but quantifies this as 0 in 2050. This, combined with Figure 10 - Page 40, which shows residual transport emissions, indicates that net zero is not reached.</t>
  </si>
  <si>
    <t>THE GAMBIA`S LONG-TERM CLIMATE-NEUTRAL DEVELOPMENT STRATEGY 2050</t>
  </si>
  <si>
    <t>Figure unlabelled on Page 170 indicates an increasing net sink from 2016, after and initial plateau.</t>
  </si>
  <si>
    <t>Figure, unlabelled, Page 168, 'Forests', 'Other land' and 'Wood products' combined into LULUCF. Values estimated from figure itself. 'Carbon capture and storage' is though to relate to the text on Page 170, which states that 'Carbon capture and storage technologies' are comprised of both avoided emissions in industry (6 MtCO2/yr-1) and BECCS (10 MtCO2/yr-1).</t>
  </si>
  <si>
    <t>National Low Carbon Strategy of France</t>
  </si>
  <si>
    <t>Table 2, Page 4, Annex 2, depicts increasing net sink from 2010 or 2015</t>
  </si>
  <si>
    <t>Annex 2, Page 2. Table 2, Page 4 for LULUCF.</t>
  </si>
  <si>
    <t>Finland’s long-term low greenhouse gas emission development strategy</t>
  </si>
  <si>
    <t>BECCS included within 1A1. The 'true' level of residuals is therefore likely higher than depicted. A partial correction is possible, as 1A1 is net-negative, meaning a minimum bound for BECCS, equal to the extent of net-negative emissions, can be subtracted from residual emission totals.</t>
  </si>
  <si>
    <t>Table 3, Page 4, Annex 2, depicts declining net sink from 2010 or 2015</t>
  </si>
  <si>
    <t xml:space="preserve">Annex 2, Page 3. Table 3, Page 4 for LULUCF. Emissions from BECCS separated from energy as presented separately under code 1A1. 1A1 presented on a net-level, so likely to include positive emissions not captured. </t>
  </si>
  <si>
    <t xml:space="preserve">Figure 58, Page 137, shows FOLU increasing from the base year in 2015 to a net-sink. </t>
  </si>
  <si>
    <t>Total of LULUCF sources in Table 35, Page 136.</t>
  </si>
  <si>
    <t>Fiji Low Emission Development Strategy 2018-2050</t>
  </si>
  <si>
    <t xml:space="preserve">The table presented in 'GHG reductions - Emission projections by sectors', found within the Summary Tables, indicates that in 2030, LULUCF is a net source and by 2050 a net sink. </t>
  </si>
  <si>
    <t>GHG reductions - Emission projections by sectors</t>
  </si>
  <si>
    <t>Kliimapoliitika põhialused aastani 2050</t>
  </si>
  <si>
    <t>Figure 4.22, Page 60, likely indicates an increasing forestry carbon sink</t>
  </si>
  <si>
    <t xml:space="preserve">Text Page 29 [-1.2 MtCO2e in 2050], minus sum of residual. Section 4.5, beginning on Page 56, for Forestry details emissions and removals in cumulative terms from 2020-2050, meaning the size of the forestry carbon sink was determined by subtracting the net level in 2050 for the scenario from the sum of residuals. </t>
  </si>
  <si>
    <t>Ethiopia's long term low emission and climate resilient development strategy (2020-2050)</t>
  </si>
  <si>
    <t>Denmark’s Mid-century, Long-term Low Greenhouse Gas Emission Development Strategy</t>
  </si>
  <si>
    <t>Climate Protection Policy of The Czech Republic Executive Summary 2017</t>
  </si>
  <si>
    <t>Czechia</t>
  </si>
  <si>
    <t>Cyprus LT-LEDS includes no detail for waste, though residuals are thought to be minimal compared to other sectors, as shown in Figure 2.2, Page 10</t>
  </si>
  <si>
    <t xml:space="preserve">Cyprus's LT-LEDS includes, on Page 26 in Figure 2.10, the trajectory for the AMB scenario. This shows LULUCF as an increase sink to 2050 upon historical levels. </t>
  </si>
  <si>
    <t xml:space="preserve">Figure 2.10, Page 26, and text directly above it. 
CCS/CCU appears only in Figure 2.2, and it thought, owing to it's representation as a sink, to relate to novel CDR. It is estimated by subtracting the sum of the known residuals from that of LULUCF, which is detailed as 1100 Gg CO2 in 2050 for the AMB scenario in Figure 2.10, Page 26, with accompanying text directly above it. </t>
  </si>
  <si>
    <t>Cyprus’ Long-term low GHG emission development strategy - 2022 update</t>
  </si>
  <si>
    <t xml:space="preserve">Figure 10 , Page 26, shows the 'Net forest' increasing from 2020 levels to 2050 by approximately a factor of 2. This is corroborated by Table 4, Page 25, which shows the balance in 2050 for Scenario 1.5C in comparison to the historic inventory year for 2012. </t>
  </si>
  <si>
    <t>Table 4, Page 25, 'Net Forest area' allocated to LULUCF.</t>
  </si>
  <si>
    <t>National Decarbonization Plan - Government of Costa Rica 2018-2050</t>
  </si>
  <si>
    <t>Table 7, Page 136 (excluding avoided emissions)</t>
  </si>
  <si>
    <t>E2050 Colombia: Estrategia climática de largo plazo de Colombia E2050 para cumplir con el Acuerdo de París</t>
  </si>
  <si>
    <t>China’s Mid-Century Long-Term Low Greenhouse Gas Emission Development Strategy</t>
  </si>
  <si>
    <t>Text - Page 56, 
Figure 10, Page 58</t>
  </si>
  <si>
    <t>Estrategia climática de largo plazo de Chile - Camino a la carbono neutralidad y resiliencia a más tardar al 2050</t>
  </si>
  <si>
    <t>BECCS included within 'Industry' and 'Electricity' sectors (as noted in footnotes to Table 4, Page 34). The 'true' level of residuals is therefore likely higher than depicted. A partial correction is possible, as the electricity sector is net-negative, meaning a minimum bound for BECCS, equal to the extent of net-negative emissions within the electricity sector, can be subtracted from residual emission totals.</t>
  </si>
  <si>
    <t>Canada's LT-LEDS includes, on Page 18, the assumption that LULUCF reaches a contribution of -100 MtCO2 across all modelled scenarios. This would appear to be an increase upon 2019 and 2030 modelling, shown in the Figure on Page 12, and the accompanying Table on Page 13.</t>
  </si>
  <si>
    <t xml:space="preserve">The ranges for sectors, presented in Table 4, Page 34, do not sum to totals, as models used likely have different combinations of sectoral emissions. Sectoral emissions, therefore, cannot be accurately determined. </t>
  </si>
  <si>
    <t>Exploring Approaches for Canada’s Transition to Net-Zero Emissions </t>
  </si>
  <si>
    <t xml:space="preserve">Figure 7, Page 10, contains estimates for FOLU across the LTS4CN scenario for 2020-2050. FOLU transitions from a net source to a net sink from around 2031. </t>
  </si>
  <si>
    <t>Table 1 Page 2 supplies sectoral detail for each scenario., including residual emissions. Residual emissions are presented according to the 'LTS4CN' scenario. Value for FOLU, independent of agriculture.</t>
  </si>
  <si>
    <t>Long-term Strategy for Carbon Neutrality</t>
  </si>
  <si>
    <t>Likely missing sectors, such as IPPU.</t>
  </si>
  <si>
    <t>Figure 29, Page 129, indicates the sink slightly increases over time but, by around 360 Gg from 2014 to 2050.</t>
  </si>
  <si>
    <t>Figure 29, Page 129</t>
  </si>
  <si>
    <t>THE 2020-2030 CLIMATE CHANGE ADAPTATION AND LOW EMISSION DEVELOPMENT STRATEGY FOR BOSNIA AND HERZEGOVINA</t>
  </si>
  <si>
    <t>Annexure III, Page 178-179, indicates a declining sink capacity from 2024 onwards.</t>
  </si>
  <si>
    <t>Table, Page 179 (incorrect sign)</t>
  </si>
  <si>
    <t>Bhutan’s Long-Term Low Greenhouse Gas Emission and Climate Resilient Development Strategy (LTS)</t>
  </si>
  <si>
    <t>Stratégie de développement à faible intensité de carbone et résilient aux changements climatiques 2016-2025</t>
  </si>
  <si>
    <t>Energy sector, and therefore the overall residual emissions and emissions balance, includes emissions from electricity imports. The extent of imports are not specified, for example, in Figure 46, Page 78, where residual emissions in the energy sector are detailed. These emissions may be double counted in other countries. IPPU is excluded from the strategy owing to the 'small contribution that this source makes to Belize’s total annual emissions' (Page 20). However, the contribution is around 5% of the emissions total in 2020 excluding FOLU (Figure 1, Page 10). It is not clear what assumptions have been made between sectoral graphs showing residual emissions in 2050, versus summary graphs, such as Figure 2, Page 11.</t>
  </si>
  <si>
    <t>Figure 41, Page 73 indicates a decline in removals from the forest carbon sink, for both scenarios. This is owing to a reduction in deforestation, but not it's elimination or reversal (afforestation).</t>
  </si>
  <si>
    <t>Figures 40 &amp; 41, Page 73</t>
  </si>
  <si>
    <t>Low Emissions Development Strategy and Action Plan: Belize</t>
  </si>
  <si>
    <t>Stratégie à long terme de la Belgique</t>
  </si>
  <si>
    <t>Pages 84-88 contain figures depicting the 'Forest' sink, assumed to refer to LULUCF, from 2020 to 2050. For Pathway A, Page 84, the Forest sink is to be maintained at 2020 levels. Pathway B, Page 85, also maintains the Forest sink at 2020 levels. Pathway C, Page 87, sees the Forest sink decrease to 0 prior to 2050, from 2020 levels. Pathway D, Page 88, sees the Forest sink expand from 2020 by a factor of 3.</t>
  </si>
  <si>
    <t>Page 88, Figure 7, 'Forest' allocated to LULUCF.</t>
  </si>
  <si>
    <t>Long-Term Strategy 2050 - Austria</t>
  </si>
  <si>
    <t>Page 87, Figure 6, 'Forest' allocated to LULUCF, 'Carbon sequestration' assumed to relate to engineered-CDR.</t>
  </si>
  <si>
    <t>Page 85, Figure 5, 'Forest' allocated to LULUCF, 'Carbon sequestration' assumed to relate to engineered-CDR.</t>
  </si>
  <si>
    <t>Page 84, Figure 4, 'Forest' allocated to LULUCF, 'Carbon sequestration' assumed to relate to engineered-CDR.</t>
  </si>
  <si>
    <t>Table 6, Page 59 of modelling annex, LULUCF refers to 'Domestic offsets: Land sector'. In 2020, 'Domestic offsets: Land sector' is estimated at -25 MtCO2. For NZE 100%, NZE with offsets, NZE no trade, a larger carbon sink is estimated than 2020 levels. For NZE no offsets, a reduced carbon sink is anticipated.</t>
  </si>
  <si>
    <t>Table 6, Page 59 of modelling annex, LULUCF refers to 'Domestic offsets: Land sector'. International offsets refers to 'International offsets: Emissions trading'. DACCS refers to 'Negative emissions (DAC)', making the assumption that no short-term utilisation occurs and DAC deployment leads to durable storage.</t>
  </si>
  <si>
    <t>Australia’s Long-Term Emissions Reduction Plan: A whole-of-economy Plan to achieve net zero emissions by 2050</t>
  </si>
  <si>
    <t>Estrategia de desarrollo resiliente con bajas emisiones a largo plazo a 2050</t>
  </si>
  <si>
    <t>Chart 6, Page 13, implies that the carbon sink within LULUCF will be used in part to compensate for emissions that may be double counted in other countries, such as electricity imports and fuel tourism.</t>
  </si>
  <si>
    <t xml:space="preserve">Chart 6, Page 13, indicates that 'Emissions absorbides' will be maintained at existing (2017) levels through to 2050. </t>
  </si>
  <si>
    <t>Chart 6, Page 13, corresponding with Page 10, 'Moreover, the forestry and other land use sector absorbs approximately 23% of the emissions generated, while the country’s forest mass, which covers 40% of the territory’s surface area, is the chief absorber of these emissions (-140 Gg CO2/year).'</t>
  </si>
  <si>
    <t>Long-Term Strategy on Energy and Climate Change 2020-2050</t>
  </si>
  <si>
    <t>MIN</t>
  </si>
  <si>
    <t>MAX</t>
  </si>
  <si>
    <t>Description of limitation</t>
  </si>
  <si>
    <t>Limitation to presentation</t>
  </si>
  <si>
    <t>Sink status - reference</t>
  </si>
  <si>
    <t>Sink status</t>
  </si>
  <si>
    <t>Page reference - net-negative emissions</t>
  </si>
  <si>
    <t>Quantification of removals</t>
  </si>
  <si>
    <t>Language</t>
  </si>
  <si>
    <t>Type</t>
  </si>
  <si>
    <t>Date of publication</t>
  </si>
  <si>
    <t>Title</t>
  </si>
  <si>
    <t>Novel CDR (MtCO2e)</t>
  </si>
  <si>
    <t>LULUCF (MtCO2e)</t>
  </si>
  <si>
    <t>International offsets (MtCO2e)</t>
  </si>
  <si>
    <t/>
  </si>
  <si>
    <t>Figure 91, Page 81</t>
  </si>
  <si>
    <t>scenario</t>
  </si>
  <si>
    <t>MAXMIN</t>
  </si>
  <si>
    <t>Historical LULUCF (2011-2020) removals, direct only</t>
  </si>
  <si>
    <t>lulucf_historical_forest</t>
  </si>
  <si>
    <t>lulucf_historical_other</t>
  </si>
  <si>
    <t>lulucf_historical_total</t>
  </si>
  <si>
    <t>lulucf_historical_forest_direct</t>
  </si>
  <si>
    <t>lulucf_historical_total_direct</t>
  </si>
  <si>
    <t>novel_lts</t>
  </si>
  <si>
    <t>lulucf_lts</t>
  </si>
  <si>
    <t>lulucf_lts_additional</t>
  </si>
  <si>
    <t>NoMAX</t>
  </si>
  <si>
    <t>NoMIN</t>
  </si>
  <si>
    <t>WORLD</t>
  </si>
  <si>
    <t>Additional CDR in the LT-LEDS</t>
  </si>
  <si>
    <t>lulucf_lts_forest_direct</t>
  </si>
  <si>
    <t>Implied split of LT-LEDS fluxes</t>
  </si>
  <si>
    <t>lulucf_lts_other</t>
  </si>
  <si>
    <t>lulucf_lts_forest</t>
  </si>
  <si>
    <t>Implied change in LT-LEDS forest flux</t>
  </si>
  <si>
    <t>lulucf_forest_difference</t>
  </si>
  <si>
    <t>Total MAX</t>
  </si>
  <si>
    <t>Total MIN</t>
  </si>
  <si>
    <t>Historical LULUCF removals (2011-2020)</t>
  </si>
  <si>
    <t>LT-LEDS removals, direct only</t>
  </si>
  <si>
    <t>lulucf_lts_total_direct</t>
  </si>
  <si>
    <t>Implied scaling</t>
  </si>
  <si>
    <t>Text , Page 22.</t>
  </si>
  <si>
    <t>Text, Page 25.</t>
  </si>
  <si>
    <t>Text, Page 28.</t>
  </si>
  <si>
    <t>Text, Page 31.</t>
  </si>
  <si>
    <t>ratio conventional/novel</t>
  </si>
  <si>
    <t>Ratio of direct to indirect removals based on Powis et al. 2022</t>
  </si>
  <si>
    <t>tab</t>
  </si>
  <si>
    <t>value_gt</t>
  </si>
  <si>
    <t>planned_cdr_ltleds</t>
  </si>
  <si>
    <t>underlying source</t>
  </si>
  <si>
    <t>Smith et al. 2023</t>
  </si>
  <si>
    <t>planned_cdr_ndcs</t>
  </si>
  <si>
    <t>Roman et al. 2024</t>
  </si>
  <si>
    <t>current_cdr_nghgi</t>
  </si>
  <si>
    <t>Grassi et al. 2023</t>
  </si>
  <si>
    <t>current_cdr_other</t>
  </si>
  <si>
    <t>Powis et al. 2022</t>
  </si>
  <si>
    <t>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</si>
</sst>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font>
    <font>
      <sz val="11"/>
      <color theme="1"/>
      <name val="Calibri"/>
      <family val="2"/>
      <scheme val="minor"/>
    </font>
    <font>
      <sz val="12"/>
      <color theme="1"/>
      <name val="Calibri"/>
      <family val="2"/>
      <scheme val="minor"/>
    </font>
    <font>
      <sz val="18"/>
      <name val="Arial"/>
    </font>
    <font>
      <b/>
      <sz val="15"/>
      <color rgb="FF000000"/>
      <name val="Calibri"/>
    </font>
    <font>
      <b/>
      <sz val="15"/>
      <color rgb="FFFF0000"/>
      <name val="Calibri"/>
    </font>
    <font>
      <sz val="9"/>
      <color indexed="81"/>
      <name val="Segoe UI"/>
      <charset val="1"/>
    </font>
    <font>
      <b/>
      <sz val="9"/>
      <color indexed="81"/>
      <name val="Segoe UI"/>
      <charset val="1"/>
    </font>
  </fonts>
  <fills count="2">
    <fill>
      <patternFill patternType="none"/>
    </fill>
    <fill>
      <patternFill patternType="gray125"/>
    </fill>
  </fills>
  <borders count="10">
    <border>
      <left/>
      <right/>
      <top/>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style="medium">
        <color rgb="FF70AD47"/>
      </top>
      <bottom/>
      <diagonal/>
    </border>
    <border>
      <left style="medium">
        <color rgb="FF70AD47"/>
      </left>
      <right style="medium">
        <color rgb="FF70AD47"/>
      </right>
      <top/>
      <bottom style="medium">
        <color rgb="FF70AD47"/>
      </bottom>
      <diagonal/>
    </border>
    <border>
      <left style="medium">
        <color rgb="FF70AD47"/>
      </left>
      <right/>
      <top style="medium">
        <color rgb="FF70AD47"/>
      </top>
      <bottom/>
      <diagonal/>
    </border>
    <border>
      <left/>
      <right/>
      <top style="medium">
        <color rgb="FF70AD47"/>
      </top>
      <bottom/>
      <diagonal/>
    </border>
    <border>
      <left/>
      <right style="medium">
        <color rgb="FF70AD47"/>
      </right>
      <top style="medium">
        <color rgb="FF70AD47"/>
      </top>
      <bottom/>
      <diagonal/>
    </border>
    <border>
      <left style="medium">
        <color rgb="FF70AD47"/>
      </left>
      <right/>
      <top/>
      <bottom style="medium">
        <color rgb="FF70AD47"/>
      </bottom>
      <diagonal/>
    </border>
    <border>
      <left/>
      <right/>
      <top/>
      <bottom style="medium">
        <color rgb="FF70AD47"/>
      </bottom>
      <diagonal/>
    </border>
    <border>
      <left/>
      <right style="medium">
        <color rgb="FF70AD47"/>
      </right>
      <top/>
      <bottom style="medium">
        <color rgb="FF70AD47"/>
      </bottom>
      <diagonal/>
    </border>
  </borders>
  <cellStyleXfs count="3">
    <xf numFmtId="0" fontId="0" fillId="0" borderId="0"/>
    <xf numFmtId="0" fontId="2" fillId="0" borderId="0"/>
    <xf numFmtId="0" fontId="3" fillId="0" borderId="0"/>
  </cellStyleXfs>
  <cellXfs count="23">
    <xf numFmtId="0" fontId="0" fillId="0" borderId="0" xfId="0"/>
    <xf numFmtId="1" fontId="1" fillId="0" borderId="0" xfId="0" applyNumberFormat="1" applyFont="1"/>
    <xf numFmtId="1" fontId="0" fillId="0" borderId="0" xfId="0" applyNumberFormat="1"/>
    <xf numFmtId="164" fontId="0" fillId="0" borderId="0" xfId="0" applyNumberFormat="1"/>
    <xf numFmtId="2" fontId="0" fillId="0" borderId="0" xfId="0" applyNumberFormat="1"/>
    <xf numFmtId="49" fontId="0" fillId="0" borderId="0" xfId="0" applyNumberFormat="1"/>
    <xf numFmtId="14" fontId="0" fillId="0" borderId="0" xfId="0" applyNumberFormat="1"/>
    <xf numFmtId="0" fontId="0" fillId="0" borderId="0" xfId="0" applyFill="1"/>
    <xf numFmtId="0" fontId="5" fillId="0" borderId="2" xfId="0" applyFont="1" applyFill="1" applyBorder="1" applyAlignment="1">
      <alignment horizontal="center" wrapText="1" readingOrder="1"/>
    </xf>
    <xf numFmtId="0" fontId="5" fillId="0" borderId="3" xfId="0" applyFont="1" applyFill="1" applyBorder="1" applyAlignment="1">
      <alignment horizontal="center" wrapText="1" readingOrder="1"/>
    </xf>
    <xf numFmtId="0" fontId="5" fillId="0" borderId="1" xfId="0" applyFont="1" applyFill="1" applyBorder="1" applyAlignment="1">
      <alignment horizontal="center" wrapText="1" readingOrder="1"/>
    </xf>
    <xf numFmtId="0" fontId="5" fillId="0" borderId="1" xfId="0" applyFont="1" applyFill="1" applyBorder="1" applyAlignment="1">
      <alignment horizontal="center" vertical="center" wrapText="1" readingOrder="1"/>
    </xf>
    <xf numFmtId="0" fontId="6" fillId="0" borderId="1" xfId="0" applyFont="1" applyFill="1" applyBorder="1" applyAlignment="1">
      <alignment horizontal="center" wrapText="1" readingOrder="1"/>
    </xf>
    <xf numFmtId="0" fontId="5" fillId="0" borderId="4" xfId="0" applyFont="1" applyFill="1" applyBorder="1" applyAlignment="1">
      <alignment horizontal="center" wrapText="1" readingOrder="1"/>
    </xf>
    <xf numFmtId="0" fontId="5" fillId="0" borderId="5" xfId="0" applyFont="1" applyFill="1" applyBorder="1" applyAlignment="1">
      <alignment horizontal="center" wrapText="1" readingOrder="1"/>
    </xf>
    <xf numFmtId="0" fontId="5" fillId="0" borderId="6" xfId="0" applyFont="1" applyFill="1" applyBorder="1" applyAlignment="1">
      <alignment horizontal="center" wrapText="1" readingOrder="1"/>
    </xf>
    <xf numFmtId="0" fontId="5" fillId="0" borderId="7" xfId="0" applyFont="1" applyFill="1" applyBorder="1" applyAlignment="1">
      <alignment horizontal="center" wrapText="1" readingOrder="1"/>
    </xf>
    <xf numFmtId="0" fontId="5" fillId="0" borderId="8" xfId="0" applyFont="1" applyFill="1" applyBorder="1" applyAlignment="1">
      <alignment horizontal="center" wrapText="1" readingOrder="1"/>
    </xf>
    <xf numFmtId="0" fontId="5" fillId="0" borderId="9" xfId="0" applyFont="1" applyFill="1" applyBorder="1" applyAlignment="1">
      <alignment horizontal="center" wrapText="1" readingOrder="1"/>
    </xf>
    <xf numFmtId="0" fontId="5" fillId="0" borderId="2" xfId="0" applyFont="1" applyFill="1" applyBorder="1" applyAlignment="1">
      <alignment horizontal="center" wrapText="1" readingOrder="1"/>
    </xf>
    <xf numFmtId="0" fontId="5" fillId="0" borderId="3" xfId="0" applyFont="1" applyFill="1" applyBorder="1" applyAlignment="1">
      <alignment horizontal="center" wrapText="1" readingOrder="1"/>
    </xf>
    <xf numFmtId="0" fontId="4" fillId="0" borderId="2" xfId="0" applyFont="1" applyFill="1" applyBorder="1" applyAlignment="1">
      <alignment horizontal="center" wrapText="1"/>
    </xf>
    <xf numFmtId="0" fontId="4" fillId="0" borderId="3" xfId="0" applyFont="1" applyFill="1" applyBorder="1" applyAlignment="1">
      <alignment horizontal="center" wrapText="1"/>
    </xf>
  </cellXfs>
  <cellStyles count="3">
    <cellStyle name="Normal 3 2" xfId="1"/>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elle1" displayName="Tabelle1" ref="A1:S110" totalsRowShown="0">
  <autoFilter ref="A1:S110"/>
  <tableColumns count="19">
    <tableColumn id="1" name="Country"/>
    <tableColumn id="2" name="ISO"/>
    <tableColumn id="3" name="EU"/>
    <tableColumn id="4" name="Title"/>
    <tableColumn id="5" name="Date of publication"/>
    <tableColumn id="6" name="Type"/>
    <tableColumn id="7" name="Language"/>
    <tableColumn id="28" name="Quantification of removals"/>
    <tableColumn id="29" name="Page reference - net-negative emissions"/>
    <tableColumn id="30" name="Novel CDR (MtCO2e)"/>
    <tableColumn id="33" name="LULUCF (MtCO2e)"/>
    <tableColumn id="34" name="International offsets (MtCO2e)"/>
    <tableColumn id="35" name="Sink status"/>
    <tableColumn id="36" name="Sink status - reference"/>
    <tableColumn id="37" name="Limitation to presentation"/>
    <tableColumn id="38" name="Description of limitation"/>
    <tableColumn id="41" name="MAX"/>
    <tableColumn id="42" name="MIN"/>
    <tableColumn id="46" name="MAXMIN">
      <calculatedColumnFormula>CONCATENATE(Tabelle1[[#This Row],[MAX]],Tabelle1[[#This Row],[MIN]])</calculatedColumnFormula>
    </tableColumn>
  </tableColumns>
  <tableStyleInfo showFirstColumn="0" showLastColumn="0" showRowStripes="1" showColumnStripes="0"/>
</table>
</file>

<file path=xl/tables/table2.xml><?xml version="1.0" encoding="utf-8"?>
<table xmlns="http://schemas.openxmlformats.org/spreadsheetml/2006/main" id="2" name="Tabelle2" displayName="Tabelle2" ref="A2:T111" totalsRowShown="0">
  <autoFilter ref="A2:T111">
    <filterColumn colId="2">
      <filters>
        <filter val="No"/>
      </filters>
    </filterColumn>
    <filterColumn colId="5">
      <customFilters>
        <customFilter operator="notEqual" val=" "/>
      </customFilters>
    </filterColumn>
  </autoFilter>
  <tableColumns count="20">
    <tableColumn id="1" name="country">
      <calculatedColumnFormula>Tabelle1[[#This Row],[Country]]</calculatedColumnFormula>
    </tableColumn>
    <tableColumn id="2" name="iso">
      <calculatedColumnFormula>Tabelle1[[#This Row],[ISO]]</calculatedColumnFormula>
    </tableColumn>
    <tableColumn id="11" name="EU">
      <calculatedColumnFormula>planned_cdr_ltleds!C2</calculatedColumnFormula>
    </tableColumn>
    <tableColumn id="21" name="MAX">
      <calculatedColumnFormula>CONCATENATE(Tabelle2[[#This Row],[EU]],planned_cdr_ltleds!Q2)</calculatedColumnFormula>
    </tableColumn>
    <tableColumn id="20" name="MIN">
      <calculatedColumnFormula>CONCATENATE(Tabelle2[[#This Row],[EU]],planned_cdr_ltleds!R2)</calculatedColumnFormula>
    </tableColumn>
    <tableColumn id="3" name="scenario">
      <calculatedColumnFormula>Tabelle1[[#This Row],[MAXMIN]]</calculatedColumnFormula>
    </tableColumn>
    <tableColumn id="4" name="novel_lts">
      <calculatedColumnFormula>Tabelle1[[#This Row],[Novel CDR (MtCO2e)]]</calculatedColumnFormula>
    </tableColumn>
    <tableColumn id="5" name="lulucf_lts">
      <calculatedColumnFormula>Tabelle1[[#This Row],[LULUCF (MtCO2e)]]</calculatedColumnFormula>
    </tableColumn>
    <tableColumn id="6" name="lulucf_historical_forest">
      <calculatedColumnFormula>VLOOKUP(Tabelle2[[#This Row],[iso]],current_cdr_nghgi!$B$2:$J$199,5,FALSE)</calculatedColumnFormula>
    </tableColumn>
    <tableColumn id="7" name="lulucf_historical_other">
      <calculatedColumnFormula>VLOOKUP(Tabelle2[[#This Row],[iso]],current_cdr_nghgi!$B$2:$J$199,8,FALSE)</calculatedColumnFormula>
    </tableColumn>
    <tableColumn id="8" name="lulucf_historical_total">
      <calculatedColumnFormula>SUM(Tabelle2[[#This Row],[lulucf_historical_forest]:[lulucf_historical_other]])</calculatedColumnFormula>
    </tableColumn>
    <tableColumn id="26" name="lulucf_lts_forest">
      <calculatedColumnFormula>Tabelle2[[#This Row],[lulucf_lts]]-Tabelle2[[#This Row],[lulucf_lts_other]]</calculatedColumnFormula>
    </tableColumn>
    <tableColumn id="25" name="lulucf_lts_other">
      <calculatedColumnFormula>Tabelle2[[#This Row],[lulucf_historical_other]]</calculatedColumnFormula>
    </tableColumn>
    <tableColumn id="9" name="lulucf_forest_difference">
      <calculatedColumnFormula>Tabelle2[[#This Row],[lulucf_lts_forest]]-Tabelle2[[#This Row],[lulucf_historical_forest]]</calculatedColumnFormula>
    </tableColumn>
    <tableColumn id="12" name="correction">
      <calculatedColumnFormula>$Y$2</calculatedColumnFormula>
    </tableColumn>
    <tableColumn id="13" name="lulucf_historical_forest_direct">
      <calculatedColumnFormula>Tabelle2[[#This Row],[correction]]*Tabelle2[[#This Row],[lulucf_historical_forest]]</calculatedColumnFormula>
    </tableColumn>
    <tableColumn id="27" name="lulucf_historical_total_direct">
      <calculatedColumnFormula>Tabelle2[[#This Row],[lulucf_historical_forest_direct]]+Tabelle2[[#This Row],[lulucf_historical_other]]</calculatedColumnFormula>
    </tableColumn>
    <tableColumn id="28" name="lulucf_lts_forest_direct">
      <calculatedColumnFormula>IF(Tabelle2[[#This Row],[lulucf_forest_difference]]&gt;0,(Tabelle2[[#This Row],[correction]]*Tabelle2[[#This Row],[lulucf_lts_forest]]),(Tabelle2[[#This Row],[correction]]*Tabelle2[[#This Row],[lulucf_historical_forest]])+Tabelle2[[#This Row],[lulucf_forest_difference]])</calculatedColumnFormula>
    </tableColumn>
    <tableColumn id="24" name="lulucf_lts_total_direct"/>
    <tableColumn id="17" name="lulucf_lts_additional">
      <calculatedColumnFormula>Tabelle2[[#This Row],[lulucf_lts_total_direct]]-Tabelle2[[#This Row],[lulucf_historical_total_direct]]</calculatedColumnFormula>
    </tableColumn>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climate.ec.europa.eu/system/files/2019-08/long-term_analysis_in_depth_analysis_figures_20190722_en.pdf" TargetMode="External"/><Relationship Id="rId2" Type="http://schemas.openxmlformats.org/officeDocument/2006/relationships/hyperlink" Target="https://climate.ec.europa.eu/system/files/2019-08/long-term_analysis_in_depth_analysis_figures_20190722_en.pdf" TargetMode="External"/><Relationship Id="rId1" Type="http://schemas.openxmlformats.org/officeDocument/2006/relationships/hyperlink" Target="https://climate.ec.europa.eu/system/files/2019-08/long-term_analysis_in_depth_analysis_figures_20190722_en.pdf"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baseColWidth="10" defaultRowHeight="15" x14ac:dyDescent="0.25"/>
  <cols>
    <col min="1" max="2" width="22.5703125" customWidth="1"/>
  </cols>
  <sheetData>
    <row r="1" spans="1:3" x14ac:dyDescent="0.25">
      <c r="A1" t="s">
        <v>880</v>
      </c>
      <c r="B1" t="s">
        <v>883</v>
      </c>
      <c r="C1" t="s">
        <v>891</v>
      </c>
    </row>
    <row r="2" spans="1:3" x14ac:dyDescent="0.25">
      <c r="A2" t="s">
        <v>882</v>
      </c>
      <c r="B2" t="s">
        <v>884</v>
      </c>
    </row>
    <row r="3" spans="1:3" x14ac:dyDescent="0.25">
      <c r="A3" t="s">
        <v>887</v>
      </c>
      <c r="B3" t="s">
        <v>888</v>
      </c>
    </row>
    <row r="4" spans="1:3" x14ac:dyDescent="0.25">
      <c r="A4" t="s">
        <v>889</v>
      </c>
      <c r="B4" t="s">
        <v>890</v>
      </c>
    </row>
    <row r="5" spans="1:3" x14ac:dyDescent="0.25">
      <c r="A5" t="s">
        <v>885</v>
      </c>
      <c r="B5" t="s">
        <v>886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G2" sqref="G2"/>
    </sheetView>
  </sheetViews>
  <sheetFormatPr baseColWidth="10" defaultRowHeight="15" x14ac:dyDescent="0.25"/>
  <cols>
    <col min="1" max="1" width="30.7109375" customWidth="1"/>
    <col min="2" max="2" width="49.140625" customWidth="1"/>
    <col min="3" max="3" width="30.7109375" customWidth="1"/>
    <col min="6" max="6" width="13.5703125" customWidth="1"/>
  </cols>
  <sheetData>
    <row r="1" spans="1:13" x14ac:dyDescent="0.25">
      <c r="A1" t="s">
        <v>230</v>
      </c>
      <c r="B1" t="s">
        <v>245</v>
      </c>
      <c r="C1" t="s">
        <v>236</v>
      </c>
      <c r="D1" t="s">
        <v>233</v>
      </c>
      <c r="E1" t="s">
        <v>231</v>
      </c>
      <c r="F1" t="s">
        <v>405</v>
      </c>
      <c r="G1" t="s">
        <v>881</v>
      </c>
    </row>
    <row r="2" spans="1:13" x14ac:dyDescent="0.25">
      <c r="A2" t="s">
        <v>232</v>
      </c>
      <c r="B2" t="s">
        <v>248</v>
      </c>
      <c r="C2" t="s">
        <v>237</v>
      </c>
      <c r="D2" t="s">
        <v>244</v>
      </c>
      <c r="E2">
        <v>2022</v>
      </c>
      <c r="F2" s="1">
        <f>-SUM(current_cdr_other!H2:H30)/1000000</f>
        <v>-2.0412520000000001</v>
      </c>
      <c r="G2" s="3">
        <f>F2/1000</f>
        <v>-2.0412519999999999E-3</v>
      </c>
      <c r="J2" t="s">
        <v>879</v>
      </c>
    </row>
    <row r="3" spans="1:13" x14ac:dyDescent="0.25">
      <c r="A3" t="s">
        <v>406</v>
      </c>
      <c r="B3" t="s">
        <v>248</v>
      </c>
      <c r="C3" t="s">
        <v>238</v>
      </c>
      <c r="D3" t="s">
        <v>244</v>
      </c>
      <c r="E3">
        <v>2020</v>
      </c>
      <c r="F3" s="1">
        <f>current_cdr_nghgi!F199+current_cdr_nghgi!I199</f>
        <v>-7882.4854550142254</v>
      </c>
      <c r="G3" s="3">
        <f t="shared" ref="G3:G10" si="0">F3/1000</f>
        <v>-7.8824854550142254</v>
      </c>
      <c r="J3" s="2">
        <v>-6365.8441280613406</v>
      </c>
    </row>
    <row r="4" spans="1:13" x14ac:dyDescent="0.25">
      <c r="A4" t="s">
        <v>407</v>
      </c>
      <c r="B4" t="s">
        <v>248</v>
      </c>
      <c r="C4" t="s">
        <v>238</v>
      </c>
      <c r="D4" t="s">
        <v>244</v>
      </c>
      <c r="E4">
        <v>2020</v>
      </c>
      <c r="F4" s="1">
        <f>((J4/J3)*current_cdr_nghgi!F199)+current_cdr_nghgi!I199</f>
        <v>-3010.2969394090342</v>
      </c>
      <c r="G4" s="3">
        <f t="shared" si="0"/>
        <v>-3.010296939409034</v>
      </c>
      <c r="J4">
        <v>-1985</v>
      </c>
    </row>
    <row r="5" spans="1:13" x14ac:dyDescent="0.25">
      <c r="A5" t="s">
        <v>234</v>
      </c>
      <c r="B5" t="s">
        <v>246</v>
      </c>
      <c r="C5" t="s">
        <v>238</v>
      </c>
      <c r="D5" t="s">
        <v>244</v>
      </c>
      <c r="E5">
        <v>2030</v>
      </c>
      <c r="F5" s="1">
        <f>F4+planned_cdr_ndcs!K6</f>
        <v>-3056.2969394090342</v>
      </c>
      <c r="G5" s="3">
        <f t="shared" si="0"/>
        <v>-3.0562969394090342</v>
      </c>
    </row>
    <row r="6" spans="1:13" x14ac:dyDescent="0.25">
      <c r="A6" t="s">
        <v>235</v>
      </c>
      <c r="B6" t="s">
        <v>247</v>
      </c>
      <c r="C6" t="s">
        <v>238</v>
      </c>
      <c r="D6" t="s">
        <v>244</v>
      </c>
      <c r="E6">
        <v>2030</v>
      </c>
      <c r="F6" s="1">
        <f>F4+planned_cdr_ndcs!N6</f>
        <v>-3539.2969394090342</v>
      </c>
      <c r="G6" s="3">
        <f t="shared" si="0"/>
        <v>-3.5392969394090343</v>
      </c>
      <c r="J6" t="s">
        <v>428</v>
      </c>
      <c r="K6" t="s">
        <v>878</v>
      </c>
    </row>
    <row r="7" spans="1:13" x14ac:dyDescent="0.25">
      <c r="A7" t="s">
        <v>239</v>
      </c>
      <c r="B7" t="s">
        <v>249</v>
      </c>
      <c r="C7" t="s">
        <v>238</v>
      </c>
      <c r="D7" t="s">
        <v>244</v>
      </c>
      <c r="E7">
        <v>2050</v>
      </c>
      <c r="F7" s="1">
        <f>planned_cdr_ltleds_reanalysed!T119</f>
        <v>-3846.7902684498308</v>
      </c>
      <c r="G7" s="3">
        <f t="shared" si="0"/>
        <v>-3.8467902684498307</v>
      </c>
      <c r="I7" t="s">
        <v>429</v>
      </c>
      <c r="J7" s="3">
        <f>SUM(G7,G9)</f>
        <v>-4.5511902684498304</v>
      </c>
      <c r="K7" s="4">
        <f>G7/J7</f>
        <v>0.8452273013318945</v>
      </c>
    </row>
    <row r="8" spans="1:13" x14ac:dyDescent="0.25">
      <c r="A8" t="s">
        <v>240</v>
      </c>
      <c r="B8" t="s">
        <v>250</v>
      </c>
      <c r="C8" t="s">
        <v>238</v>
      </c>
      <c r="D8" t="s">
        <v>244</v>
      </c>
      <c r="E8">
        <v>2050</v>
      </c>
      <c r="F8" s="1">
        <f>planned_cdr_ltleds_reanalysed!T118</f>
        <v>-3871.2229875620728</v>
      </c>
      <c r="G8" s="3">
        <f t="shared" si="0"/>
        <v>-3.8712229875620729</v>
      </c>
      <c r="I8" t="s">
        <v>430</v>
      </c>
      <c r="J8" s="3">
        <f>SUM(G8,G10)</f>
        <v>-4.8229229875620732</v>
      </c>
      <c r="K8" s="4">
        <f>G8/J8</f>
        <v>0.8026715329159605</v>
      </c>
    </row>
    <row r="9" spans="1:13" x14ac:dyDescent="0.25">
      <c r="A9" t="s">
        <v>239</v>
      </c>
      <c r="B9" t="s">
        <v>249</v>
      </c>
      <c r="C9" t="s">
        <v>237</v>
      </c>
      <c r="D9" t="s">
        <v>244</v>
      </c>
      <c r="E9">
        <v>2050</v>
      </c>
      <c r="F9" s="1">
        <f>planned_cdr_ltleds_reanalysed!G114</f>
        <v>-704.4</v>
      </c>
      <c r="G9" s="4">
        <f t="shared" si="0"/>
        <v>-0.70440000000000003</v>
      </c>
      <c r="M9" s="2"/>
    </row>
    <row r="10" spans="1:13" x14ac:dyDescent="0.25">
      <c r="A10" t="s">
        <v>240</v>
      </c>
      <c r="B10" t="s">
        <v>250</v>
      </c>
      <c r="C10" t="s">
        <v>237</v>
      </c>
      <c r="D10" t="s">
        <v>244</v>
      </c>
      <c r="E10">
        <v>2050</v>
      </c>
      <c r="F10" s="1">
        <f>planned_cdr_ltleds_reanalysed!G113</f>
        <v>-951.7</v>
      </c>
      <c r="G10" s="4">
        <f t="shared" si="0"/>
        <v>-0.95169999999999999</v>
      </c>
      <c r="M10" s="2"/>
    </row>
    <row r="11" spans="1:13" x14ac:dyDescent="0.25">
      <c r="F11" s="1"/>
      <c r="J11" t="s">
        <v>861</v>
      </c>
    </row>
    <row r="12" spans="1:13" x14ac:dyDescent="0.25">
      <c r="F12" s="2"/>
      <c r="J12" t="s">
        <v>431</v>
      </c>
      <c r="K12" t="s">
        <v>432</v>
      </c>
      <c r="L12" t="s">
        <v>433</v>
      </c>
    </row>
    <row r="13" spans="1:13" x14ac:dyDescent="0.25">
      <c r="I13" t="s">
        <v>429</v>
      </c>
      <c r="J13" s="3">
        <f>G7-G4</f>
        <v>-0.83649332904079676</v>
      </c>
      <c r="K13" s="4">
        <f>G9-G2</f>
        <v>-0.70235874799999998</v>
      </c>
      <c r="L13" s="3">
        <f>SUM(G7,G9)-SUM(G2,G4)</f>
        <v>-1.5388520770407963</v>
      </c>
    </row>
    <row r="14" spans="1:13" x14ac:dyDescent="0.25">
      <c r="I14" t="s">
        <v>430</v>
      </c>
      <c r="J14" s="3">
        <f>G8-G4</f>
        <v>-0.86092604815303897</v>
      </c>
      <c r="K14" s="4">
        <f>G10-G2</f>
        <v>-0.94965874799999994</v>
      </c>
      <c r="L14" s="3">
        <f>SUM(G8,G10)-SUM(G2,G4)</f>
        <v>-1.810584796153039</v>
      </c>
    </row>
    <row r="15" spans="1:13" x14ac:dyDescent="0.25">
      <c r="F15" s="2"/>
      <c r="G15" s="2"/>
      <c r="H15" s="2"/>
    </row>
    <row r="16" spans="1:13" x14ac:dyDescent="0.25">
      <c r="F16" s="2"/>
    </row>
    <row r="18" spans="6:6" x14ac:dyDescent="0.25">
      <c r="F18" s="1"/>
    </row>
  </sheetData>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0"/>
  <sheetViews>
    <sheetView tabSelected="1" workbookViewId="0">
      <pane xSplit="1" ySplit="1" topLeftCell="J2" activePane="bottomRight" state="frozen"/>
      <selection pane="topRight" activeCell="B1" sqref="B1"/>
      <selection pane="bottomLeft" activeCell="A2" sqref="A2"/>
      <selection pane="bottomRight" activeCell="R10" sqref="R10"/>
    </sheetView>
  </sheetViews>
  <sheetFormatPr baseColWidth="10" defaultRowHeight="15" x14ac:dyDescent="0.25"/>
  <cols>
    <col min="5" max="5" width="20" customWidth="1"/>
    <col min="8" max="8" width="26.7109375" customWidth="1"/>
    <col min="9" max="9" width="38.85546875" customWidth="1"/>
    <col min="10" max="10" width="21.5703125" customWidth="1"/>
    <col min="11" max="11" width="19" customWidth="1"/>
    <col min="12" max="12" width="30.42578125" customWidth="1"/>
    <col min="13" max="13" width="12.5703125" customWidth="1"/>
    <col min="14" max="14" width="22.85546875" customWidth="1"/>
    <col min="15" max="15" width="26.28515625" customWidth="1"/>
    <col min="16" max="16" width="24.7109375" customWidth="1"/>
  </cols>
  <sheetData>
    <row r="1" spans="1:19" x14ac:dyDescent="0.25">
      <c r="A1" t="s">
        <v>241</v>
      </c>
      <c r="B1" t="s">
        <v>413</v>
      </c>
      <c r="C1" t="s">
        <v>408</v>
      </c>
      <c r="D1" t="s">
        <v>841</v>
      </c>
      <c r="E1" t="s">
        <v>840</v>
      </c>
      <c r="F1" t="s">
        <v>839</v>
      </c>
      <c r="G1" t="s">
        <v>838</v>
      </c>
      <c r="H1" t="s">
        <v>837</v>
      </c>
      <c r="I1" t="s">
        <v>836</v>
      </c>
      <c r="J1" t="s">
        <v>842</v>
      </c>
      <c r="K1" t="s">
        <v>843</v>
      </c>
      <c r="L1" t="s">
        <v>844</v>
      </c>
      <c r="M1" t="s">
        <v>835</v>
      </c>
      <c r="N1" t="s">
        <v>834</v>
      </c>
      <c r="O1" t="s">
        <v>833</v>
      </c>
      <c r="P1" t="s">
        <v>832</v>
      </c>
      <c r="Q1" t="s">
        <v>831</v>
      </c>
      <c r="R1" t="s">
        <v>830</v>
      </c>
      <c r="S1" t="s">
        <v>848</v>
      </c>
    </row>
    <row r="2" spans="1:19" x14ac:dyDescent="0.25">
      <c r="A2" t="s">
        <v>253</v>
      </c>
      <c r="B2" t="s">
        <v>466</v>
      </c>
      <c r="C2" t="s">
        <v>243</v>
      </c>
      <c r="D2" t="s">
        <v>829</v>
      </c>
      <c r="E2" s="6">
        <v>44510</v>
      </c>
      <c r="F2" t="s">
        <v>655</v>
      </c>
      <c r="G2" t="s">
        <v>654</v>
      </c>
      <c r="H2" t="s">
        <v>242</v>
      </c>
      <c r="I2" t="s">
        <v>828</v>
      </c>
      <c r="K2">
        <v>0.14000000000000001</v>
      </c>
      <c r="L2" t="s">
        <v>652</v>
      </c>
      <c r="M2" t="s">
        <v>658</v>
      </c>
      <c r="N2" t="s">
        <v>827</v>
      </c>
      <c r="O2" t="s">
        <v>242</v>
      </c>
      <c r="P2" t="s">
        <v>826</v>
      </c>
      <c r="Q2" t="s">
        <v>831</v>
      </c>
      <c r="R2" t="s">
        <v>830</v>
      </c>
      <c r="S2" t="str">
        <f>CONCATENATE(Tabelle1[[#This Row],[MAX]],Tabelle1[[#This Row],[MIN]])</f>
        <v>MAXMIN</v>
      </c>
    </row>
    <row r="3" spans="1:19" x14ac:dyDescent="0.25">
      <c r="A3" t="s">
        <v>255</v>
      </c>
      <c r="B3" t="s">
        <v>422</v>
      </c>
      <c r="C3" t="s">
        <v>243</v>
      </c>
      <c r="D3" t="s">
        <v>825</v>
      </c>
      <c r="E3" s="6">
        <v>44871</v>
      </c>
      <c r="F3" t="s">
        <v>655</v>
      </c>
      <c r="G3" t="s">
        <v>664</v>
      </c>
      <c r="H3" t="s">
        <v>243</v>
      </c>
      <c r="I3" t="s">
        <v>652</v>
      </c>
      <c r="L3" t="s">
        <v>652</v>
      </c>
      <c r="M3" t="s">
        <v>652</v>
      </c>
      <c r="N3" t="s">
        <v>652</v>
      </c>
      <c r="O3" t="s">
        <v>652</v>
      </c>
      <c r="P3" t="s">
        <v>652</v>
      </c>
      <c r="S3" t="str">
        <f>CONCATENATE(Tabelle1[[#This Row],[MAX]],Tabelle1[[#This Row],[MIN]])</f>
        <v/>
      </c>
    </row>
    <row r="4" spans="1:19" x14ac:dyDescent="0.25">
      <c r="A4" t="s">
        <v>1</v>
      </c>
      <c r="B4" t="s">
        <v>470</v>
      </c>
      <c r="C4" t="s">
        <v>243</v>
      </c>
      <c r="D4" t="s">
        <v>824</v>
      </c>
      <c r="E4" s="6">
        <v>44498</v>
      </c>
      <c r="F4" t="s">
        <v>655</v>
      </c>
      <c r="G4" t="s">
        <v>654</v>
      </c>
      <c r="H4" t="s">
        <v>242</v>
      </c>
      <c r="I4" t="s">
        <v>823</v>
      </c>
      <c r="J4">
        <v>43</v>
      </c>
      <c r="K4">
        <v>63</v>
      </c>
      <c r="L4">
        <v>94</v>
      </c>
      <c r="M4" t="s">
        <v>662</v>
      </c>
      <c r="N4" t="s">
        <v>822</v>
      </c>
      <c r="O4" t="s">
        <v>652</v>
      </c>
      <c r="P4" t="s">
        <v>652</v>
      </c>
      <c r="R4" t="s">
        <v>830</v>
      </c>
      <c r="S4" t="str">
        <f>CONCATENATE(Tabelle1[[#This Row],[MAX]],Tabelle1[[#This Row],[MIN]])</f>
        <v>MIN</v>
      </c>
    </row>
    <row r="5" spans="1:19" x14ac:dyDescent="0.25">
      <c r="A5" t="s">
        <v>1</v>
      </c>
      <c r="B5" t="s">
        <v>470</v>
      </c>
      <c r="C5" t="s">
        <v>243</v>
      </c>
      <c r="D5" t="s">
        <v>824</v>
      </c>
      <c r="E5" s="6">
        <v>44498</v>
      </c>
      <c r="F5" t="s">
        <v>655</v>
      </c>
      <c r="G5" t="s">
        <v>654</v>
      </c>
      <c r="H5" t="s">
        <v>242</v>
      </c>
      <c r="I5" t="s">
        <v>823</v>
      </c>
      <c r="J5">
        <v>54</v>
      </c>
      <c r="K5">
        <v>78</v>
      </c>
      <c r="L5">
        <v>161</v>
      </c>
      <c r="M5" t="s">
        <v>662</v>
      </c>
      <c r="N5" t="s">
        <v>822</v>
      </c>
      <c r="O5" t="s">
        <v>652</v>
      </c>
      <c r="P5" t="s">
        <v>652</v>
      </c>
      <c r="Q5" t="s">
        <v>831</v>
      </c>
      <c r="S5" t="str">
        <f>CONCATENATE(Tabelle1[[#This Row],[MAX]],Tabelle1[[#This Row],[MIN]])</f>
        <v>MAX</v>
      </c>
    </row>
    <row r="6" spans="1:19" x14ac:dyDescent="0.25">
      <c r="A6" t="s">
        <v>1</v>
      </c>
      <c r="B6" t="s">
        <v>470</v>
      </c>
      <c r="C6" t="s">
        <v>243</v>
      </c>
      <c r="D6" t="s">
        <v>824</v>
      </c>
      <c r="E6" s="6">
        <v>44498</v>
      </c>
      <c r="F6" t="s">
        <v>655</v>
      </c>
      <c r="G6" t="s">
        <v>654</v>
      </c>
      <c r="H6" t="s">
        <v>242</v>
      </c>
      <c r="I6" t="s">
        <v>823</v>
      </c>
      <c r="J6">
        <v>64</v>
      </c>
      <c r="K6">
        <v>204</v>
      </c>
      <c r="L6" t="s">
        <v>652</v>
      </c>
      <c r="M6" t="s">
        <v>662</v>
      </c>
      <c r="N6" t="s">
        <v>822</v>
      </c>
      <c r="O6" t="s">
        <v>652</v>
      </c>
      <c r="P6" t="s">
        <v>652</v>
      </c>
      <c r="S6" t="str">
        <f>CONCATENATE(Tabelle1[[#This Row],[MAX]],Tabelle1[[#This Row],[MIN]])</f>
        <v/>
      </c>
    </row>
    <row r="7" spans="1:19" x14ac:dyDescent="0.25">
      <c r="A7" t="s">
        <v>1</v>
      </c>
      <c r="B7" t="s">
        <v>470</v>
      </c>
      <c r="C7" t="s">
        <v>243</v>
      </c>
      <c r="D7" t="s">
        <v>824</v>
      </c>
      <c r="E7" s="6">
        <v>44498</v>
      </c>
      <c r="F7" t="s">
        <v>655</v>
      </c>
      <c r="G7" t="s">
        <v>654</v>
      </c>
      <c r="H7" t="s">
        <v>242</v>
      </c>
      <c r="I7" t="s">
        <v>823</v>
      </c>
      <c r="J7">
        <v>216</v>
      </c>
      <c r="K7">
        <v>3</v>
      </c>
      <c r="L7" t="s">
        <v>652</v>
      </c>
      <c r="M7" t="s">
        <v>667</v>
      </c>
      <c r="N7" t="s">
        <v>822</v>
      </c>
      <c r="O7" t="s">
        <v>652</v>
      </c>
      <c r="P7" t="s">
        <v>652</v>
      </c>
      <c r="S7" t="str">
        <f>CONCATENATE(Tabelle1[[#This Row],[MAX]],Tabelle1[[#This Row],[MIN]])</f>
        <v/>
      </c>
    </row>
    <row r="8" spans="1:19" x14ac:dyDescent="0.25">
      <c r="A8" t="s">
        <v>257</v>
      </c>
      <c r="B8" t="s">
        <v>471</v>
      </c>
      <c r="C8" t="s">
        <v>242</v>
      </c>
      <c r="D8" t="s">
        <v>818</v>
      </c>
      <c r="E8" s="6">
        <v>44176</v>
      </c>
      <c r="F8" t="s">
        <v>690</v>
      </c>
      <c r="G8" t="s">
        <v>654</v>
      </c>
      <c r="H8" t="s">
        <v>242</v>
      </c>
      <c r="I8" t="s">
        <v>821</v>
      </c>
      <c r="J8">
        <v>8.8000000000000007</v>
      </c>
      <c r="K8">
        <v>3.9</v>
      </c>
      <c r="L8" t="s">
        <v>652</v>
      </c>
      <c r="M8" t="s">
        <v>658</v>
      </c>
      <c r="N8" t="s">
        <v>816</v>
      </c>
      <c r="O8" t="s">
        <v>652</v>
      </c>
      <c r="P8" t="s">
        <v>652</v>
      </c>
      <c r="Q8" t="s">
        <v>845</v>
      </c>
      <c r="R8" t="s">
        <v>830</v>
      </c>
      <c r="S8" t="str">
        <f>CONCATENATE(Tabelle1[[#This Row],[MAX]],Tabelle1[[#This Row],[MIN]])</f>
        <v>MIN</v>
      </c>
    </row>
    <row r="9" spans="1:19" x14ac:dyDescent="0.25">
      <c r="A9" t="s">
        <v>257</v>
      </c>
      <c r="B9" t="s">
        <v>471</v>
      </c>
      <c r="C9" t="s">
        <v>242</v>
      </c>
      <c r="D9" t="s">
        <v>818</v>
      </c>
      <c r="E9" s="6">
        <v>44176</v>
      </c>
      <c r="F9" t="s">
        <v>690</v>
      </c>
      <c r="G9" t="s">
        <v>654</v>
      </c>
      <c r="H9" t="s">
        <v>242</v>
      </c>
      <c r="I9" t="s">
        <v>820</v>
      </c>
      <c r="J9">
        <v>18.3</v>
      </c>
      <c r="K9">
        <v>3.9</v>
      </c>
      <c r="L9" t="s">
        <v>652</v>
      </c>
      <c r="M9" t="s">
        <v>658</v>
      </c>
      <c r="N9" t="s">
        <v>816</v>
      </c>
      <c r="O9" t="s">
        <v>652</v>
      </c>
      <c r="P9" t="s">
        <v>652</v>
      </c>
      <c r="Q9" t="s">
        <v>831</v>
      </c>
      <c r="R9" t="s">
        <v>845</v>
      </c>
      <c r="S9" t="str">
        <f>CONCATENATE(Tabelle1[[#This Row],[MAX]],Tabelle1[[#This Row],[MIN]])</f>
        <v>MAX</v>
      </c>
    </row>
    <row r="10" spans="1:19" x14ac:dyDescent="0.25">
      <c r="A10" t="s">
        <v>257</v>
      </c>
      <c r="B10" t="s">
        <v>471</v>
      </c>
      <c r="C10" t="s">
        <v>242</v>
      </c>
      <c r="D10" t="s">
        <v>818</v>
      </c>
      <c r="E10" s="6">
        <v>44176</v>
      </c>
      <c r="F10" t="s">
        <v>690</v>
      </c>
      <c r="G10" t="s">
        <v>654</v>
      </c>
      <c r="H10" t="s">
        <v>242</v>
      </c>
      <c r="I10" t="s">
        <v>819</v>
      </c>
      <c r="J10">
        <v>18.7</v>
      </c>
      <c r="L10" t="s">
        <v>652</v>
      </c>
      <c r="M10" t="s">
        <v>667</v>
      </c>
      <c r="N10" t="s">
        <v>816</v>
      </c>
      <c r="O10" t="s">
        <v>652</v>
      </c>
      <c r="P10" t="s">
        <v>652</v>
      </c>
      <c r="Q10" t="s">
        <v>845</v>
      </c>
      <c r="R10" t="s">
        <v>845</v>
      </c>
      <c r="S10" t="str">
        <f>CONCATENATE(Tabelle1[[#This Row],[MAX]],Tabelle1[[#This Row],[MIN]])</f>
        <v/>
      </c>
    </row>
    <row r="11" spans="1:19" x14ac:dyDescent="0.25">
      <c r="A11" t="s">
        <v>257</v>
      </c>
      <c r="B11" t="s">
        <v>471</v>
      </c>
      <c r="C11" t="s">
        <v>242</v>
      </c>
      <c r="D11" t="s">
        <v>818</v>
      </c>
      <c r="E11" s="6">
        <v>44176</v>
      </c>
      <c r="F11" t="s">
        <v>690</v>
      </c>
      <c r="G11" t="s">
        <v>654</v>
      </c>
      <c r="H11" t="s">
        <v>242</v>
      </c>
      <c r="I11" t="s">
        <v>817</v>
      </c>
      <c r="K11">
        <v>17</v>
      </c>
      <c r="L11" t="s">
        <v>652</v>
      </c>
      <c r="M11" t="s">
        <v>662</v>
      </c>
      <c r="N11" t="s">
        <v>816</v>
      </c>
      <c r="O11" t="s">
        <v>652</v>
      </c>
      <c r="P11" t="s">
        <v>652</v>
      </c>
      <c r="Q11" t="s">
        <v>845</v>
      </c>
      <c r="R11" t="s">
        <v>845</v>
      </c>
      <c r="S11" t="str">
        <f>CONCATENATE(Tabelle1[[#This Row],[MAX]],Tabelle1[[#This Row],[MIN]])</f>
        <v/>
      </c>
    </row>
    <row r="12" spans="1:19" x14ac:dyDescent="0.25">
      <c r="A12" t="s">
        <v>263</v>
      </c>
      <c r="B12" t="s">
        <v>478</v>
      </c>
      <c r="C12" t="s">
        <v>242</v>
      </c>
      <c r="D12" t="s">
        <v>815</v>
      </c>
      <c r="E12" s="6">
        <v>44175</v>
      </c>
      <c r="F12" t="s">
        <v>690</v>
      </c>
      <c r="G12" t="s">
        <v>679</v>
      </c>
      <c r="H12" t="s">
        <v>243</v>
      </c>
      <c r="I12" t="s">
        <v>652</v>
      </c>
      <c r="L12" t="s">
        <v>652</v>
      </c>
      <c r="M12" t="s">
        <v>652</v>
      </c>
      <c r="N12" t="s">
        <v>652</v>
      </c>
      <c r="O12" t="s">
        <v>652</v>
      </c>
      <c r="P12" t="s">
        <v>652</v>
      </c>
      <c r="Q12" t="s">
        <v>845</v>
      </c>
      <c r="R12" t="s">
        <v>830</v>
      </c>
      <c r="S12" t="str">
        <f>CONCATENATE(Tabelle1[[#This Row],[MAX]],Tabelle1[[#This Row],[MIN]])</f>
        <v>MIN</v>
      </c>
    </row>
    <row r="13" spans="1:19" x14ac:dyDescent="0.25">
      <c r="A13" t="s">
        <v>263</v>
      </c>
      <c r="B13" t="s">
        <v>478</v>
      </c>
      <c r="C13" t="s">
        <v>242</v>
      </c>
      <c r="D13" t="s">
        <v>815</v>
      </c>
      <c r="E13" s="6">
        <v>44175</v>
      </c>
      <c r="F13" t="s">
        <v>690</v>
      </c>
      <c r="G13" t="s">
        <v>679</v>
      </c>
      <c r="H13" t="s">
        <v>243</v>
      </c>
      <c r="I13" t="s">
        <v>652</v>
      </c>
      <c r="L13" t="s">
        <v>652</v>
      </c>
      <c r="M13" t="s">
        <v>652</v>
      </c>
      <c r="N13" t="s">
        <v>652</v>
      </c>
      <c r="O13" t="s">
        <v>652</v>
      </c>
      <c r="P13" t="s">
        <v>652</v>
      </c>
      <c r="Q13" t="s">
        <v>831</v>
      </c>
      <c r="R13" t="s">
        <v>845</v>
      </c>
      <c r="S13" t="str">
        <f>CONCATENATE(Tabelle1[[#This Row],[MAX]],Tabelle1[[#This Row],[MIN]])</f>
        <v>MAX</v>
      </c>
    </row>
    <row r="14" spans="1:19" x14ac:dyDescent="0.25">
      <c r="A14" t="s">
        <v>6</v>
      </c>
      <c r="B14" t="s">
        <v>427</v>
      </c>
      <c r="C14" t="s">
        <v>243</v>
      </c>
      <c r="D14" t="s">
        <v>814</v>
      </c>
      <c r="E14" s="6">
        <v>45049</v>
      </c>
      <c r="F14" t="s">
        <v>655</v>
      </c>
      <c r="G14" t="s">
        <v>654</v>
      </c>
      <c r="H14" t="s">
        <v>242</v>
      </c>
      <c r="I14" t="s">
        <v>813</v>
      </c>
      <c r="K14">
        <v>8.4049999999999994</v>
      </c>
      <c r="L14" t="s">
        <v>652</v>
      </c>
      <c r="M14" t="s">
        <v>667</v>
      </c>
      <c r="N14" t="s">
        <v>812</v>
      </c>
      <c r="O14" t="s">
        <v>242</v>
      </c>
      <c r="P14" t="s">
        <v>811</v>
      </c>
      <c r="Q14" t="s">
        <v>831</v>
      </c>
      <c r="S14" t="str">
        <f>CONCATENATE(Tabelle1[[#This Row],[MAX]],Tabelle1[[#This Row],[MIN]])</f>
        <v>MAX</v>
      </c>
    </row>
    <row r="15" spans="1:19" x14ac:dyDescent="0.25">
      <c r="A15" t="s">
        <v>6</v>
      </c>
      <c r="B15" t="s">
        <v>427</v>
      </c>
      <c r="C15" t="s">
        <v>243</v>
      </c>
      <c r="D15" t="s">
        <v>814</v>
      </c>
      <c r="E15" s="6">
        <v>45049</v>
      </c>
      <c r="F15" t="s">
        <v>655</v>
      </c>
      <c r="G15" t="s">
        <v>654</v>
      </c>
      <c r="H15" t="s">
        <v>242</v>
      </c>
      <c r="I15" t="s">
        <v>813</v>
      </c>
      <c r="K15">
        <v>10.657999999999999</v>
      </c>
      <c r="L15" t="s">
        <v>652</v>
      </c>
      <c r="M15" t="s">
        <v>667</v>
      </c>
      <c r="N15" t="s">
        <v>812</v>
      </c>
      <c r="O15" t="s">
        <v>242</v>
      </c>
      <c r="P15" t="s">
        <v>811</v>
      </c>
      <c r="R15" t="s">
        <v>830</v>
      </c>
      <c r="S15" t="str">
        <f>CONCATENATE(Tabelle1[[#This Row],[MAX]],Tabelle1[[#This Row],[MIN]])</f>
        <v>MIN</v>
      </c>
    </row>
    <row r="16" spans="1:19" x14ac:dyDescent="0.25">
      <c r="A16" t="s">
        <v>264</v>
      </c>
      <c r="B16" t="s">
        <v>479</v>
      </c>
      <c r="C16" t="s">
        <v>243</v>
      </c>
      <c r="D16" t="s">
        <v>810</v>
      </c>
      <c r="E16" s="6">
        <v>42716</v>
      </c>
      <c r="F16" t="s">
        <v>655</v>
      </c>
      <c r="G16" t="s">
        <v>679</v>
      </c>
      <c r="H16" t="s">
        <v>243</v>
      </c>
      <c r="I16" t="s">
        <v>652</v>
      </c>
      <c r="L16" t="s">
        <v>652</v>
      </c>
      <c r="M16" t="s">
        <v>652</v>
      </c>
      <c r="N16" t="s">
        <v>652</v>
      </c>
      <c r="O16" t="s">
        <v>652</v>
      </c>
      <c r="P16" t="s">
        <v>652</v>
      </c>
      <c r="S16" t="str">
        <f>CONCATENATE(Tabelle1[[#This Row],[MAX]],Tabelle1[[#This Row],[MIN]])</f>
        <v/>
      </c>
    </row>
    <row r="17" spans="1:19" x14ac:dyDescent="0.25">
      <c r="A17" t="s">
        <v>265</v>
      </c>
      <c r="B17" t="s">
        <v>480</v>
      </c>
      <c r="C17" t="s">
        <v>243</v>
      </c>
      <c r="D17" t="s">
        <v>809</v>
      </c>
      <c r="E17" s="6">
        <v>45191</v>
      </c>
      <c r="F17" t="s">
        <v>655</v>
      </c>
      <c r="G17" t="s">
        <v>654</v>
      </c>
      <c r="H17" t="s">
        <v>242</v>
      </c>
      <c r="I17" t="s">
        <v>808</v>
      </c>
      <c r="K17">
        <v>7.2545799999999998</v>
      </c>
      <c r="L17" t="s">
        <v>652</v>
      </c>
      <c r="M17" t="s">
        <v>667</v>
      </c>
      <c r="N17" t="s">
        <v>807</v>
      </c>
      <c r="Q17" t="s">
        <v>831</v>
      </c>
      <c r="R17" t="s">
        <v>830</v>
      </c>
      <c r="S17" t="str">
        <f>CONCATENATE(Tabelle1[[#This Row],[MAX]],Tabelle1[[#This Row],[MIN]])</f>
        <v>MAXMIN</v>
      </c>
    </row>
    <row r="18" spans="1:19" x14ac:dyDescent="0.25">
      <c r="A18" t="s">
        <v>267</v>
      </c>
      <c r="B18" t="s">
        <v>482</v>
      </c>
      <c r="C18" t="s">
        <v>243</v>
      </c>
      <c r="D18" t="s">
        <v>806</v>
      </c>
      <c r="E18" s="6">
        <v>45126</v>
      </c>
      <c r="F18" t="s">
        <v>655</v>
      </c>
      <c r="G18" t="s">
        <v>654</v>
      </c>
      <c r="H18" t="s">
        <v>242</v>
      </c>
      <c r="I18" t="s">
        <v>805</v>
      </c>
      <c r="K18">
        <v>6.8</v>
      </c>
      <c r="L18" t="s">
        <v>652</v>
      </c>
      <c r="M18" t="s">
        <v>662</v>
      </c>
      <c r="N18" t="s">
        <v>804</v>
      </c>
      <c r="O18" t="s">
        <v>242</v>
      </c>
      <c r="P18" t="s">
        <v>803</v>
      </c>
      <c r="Q18" t="s">
        <v>831</v>
      </c>
      <c r="R18" t="s">
        <v>830</v>
      </c>
      <c r="S18" t="str">
        <f>CONCATENATE(Tabelle1[[#This Row],[MAX]],Tabelle1[[#This Row],[MIN]])</f>
        <v>MAXMIN</v>
      </c>
    </row>
    <row r="19" spans="1:19" x14ac:dyDescent="0.25">
      <c r="A19" t="s">
        <v>12</v>
      </c>
      <c r="B19" t="s">
        <v>489</v>
      </c>
      <c r="C19" t="s">
        <v>243</v>
      </c>
      <c r="D19" t="s">
        <v>802</v>
      </c>
      <c r="E19" s="6">
        <v>44560</v>
      </c>
      <c r="F19" t="s">
        <v>655</v>
      </c>
      <c r="G19" t="s">
        <v>654</v>
      </c>
      <c r="H19" t="s">
        <v>242</v>
      </c>
      <c r="I19" t="s">
        <v>801</v>
      </c>
      <c r="K19">
        <v>50.2</v>
      </c>
      <c r="L19" t="s">
        <v>652</v>
      </c>
      <c r="M19" t="s">
        <v>662</v>
      </c>
      <c r="N19" t="s">
        <v>800</v>
      </c>
      <c r="O19" t="s">
        <v>652</v>
      </c>
      <c r="P19" t="s">
        <v>652</v>
      </c>
      <c r="Q19" t="s">
        <v>831</v>
      </c>
      <c r="R19" t="s">
        <v>830</v>
      </c>
      <c r="S19" t="str">
        <f>CONCATENATE(Tabelle1[[#This Row],[MAX]],Tabelle1[[#This Row],[MIN]])</f>
        <v>MAXMIN</v>
      </c>
    </row>
    <row r="20" spans="1:19" x14ac:dyDescent="0.25">
      <c r="A20" t="s">
        <v>3</v>
      </c>
      <c r="B20" t="s">
        <v>414</v>
      </c>
      <c r="C20" t="s">
        <v>243</v>
      </c>
      <c r="D20" t="s">
        <v>799</v>
      </c>
      <c r="E20" s="6">
        <v>44865</v>
      </c>
      <c r="F20" t="s">
        <v>655</v>
      </c>
      <c r="G20" t="s">
        <v>654</v>
      </c>
      <c r="H20" t="s">
        <v>798</v>
      </c>
      <c r="I20" t="s">
        <v>874</v>
      </c>
      <c r="J20">
        <v>149</v>
      </c>
      <c r="K20">
        <v>100</v>
      </c>
      <c r="L20" t="s">
        <v>652</v>
      </c>
      <c r="M20" t="s">
        <v>662</v>
      </c>
      <c r="N20" t="s">
        <v>797</v>
      </c>
      <c r="O20" t="s">
        <v>242</v>
      </c>
      <c r="P20" t="s">
        <v>796</v>
      </c>
      <c r="Q20" t="s">
        <v>845</v>
      </c>
      <c r="R20" t="s">
        <v>845</v>
      </c>
      <c r="S20" t="str">
        <f>CONCATENATE(Tabelle1[[#This Row],[MAX]],Tabelle1[[#This Row],[MIN]])</f>
        <v/>
      </c>
    </row>
    <row r="21" spans="1:19" x14ac:dyDescent="0.25">
      <c r="A21" t="s">
        <v>3</v>
      </c>
      <c r="B21" t="s">
        <v>414</v>
      </c>
      <c r="C21" t="s">
        <v>243</v>
      </c>
      <c r="D21" t="s">
        <v>799</v>
      </c>
      <c r="E21" s="6">
        <v>44865</v>
      </c>
      <c r="F21" t="s">
        <v>655</v>
      </c>
      <c r="G21" t="s">
        <v>654</v>
      </c>
      <c r="H21" t="s">
        <v>798</v>
      </c>
      <c r="I21" t="s">
        <v>874</v>
      </c>
      <c r="J21">
        <v>39</v>
      </c>
      <c r="K21">
        <v>100</v>
      </c>
      <c r="L21" t="s">
        <v>652</v>
      </c>
      <c r="M21" t="s">
        <v>662</v>
      </c>
      <c r="N21" t="s">
        <v>797</v>
      </c>
      <c r="O21" t="s">
        <v>242</v>
      </c>
      <c r="P21" t="s">
        <v>796</v>
      </c>
      <c r="Q21" t="s">
        <v>845</v>
      </c>
      <c r="R21" t="s">
        <v>845</v>
      </c>
      <c r="S21" t="str">
        <f>CONCATENATE(Tabelle1[[#This Row],[MAX]],Tabelle1[[#This Row],[MIN]])</f>
        <v/>
      </c>
    </row>
    <row r="22" spans="1:19" x14ac:dyDescent="0.25">
      <c r="A22" t="s">
        <v>3</v>
      </c>
      <c r="B22" t="s">
        <v>414</v>
      </c>
      <c r="C22" t="s">
        <v>243</v>
      </c>
      <c r="D22" t="s">
        <v>799</v>
      </c>
      <c r="E22" s="6">
        <v>44865</v>
      </c>
      <c r="F22" t="s">
        <v>655</v>
      </c>
      <c r="G22" t="s">
        <v>654</v>
      </c>
      <c r="H22" t="s">
        <v>798</v>
      </c>
      <c r="I22" t="s">
        <v>875</v>
      </c>
      <c r="J22">
        <v>149</v>
      </c>
      <c r="K22">
        <v>100</v>
      </c>
      <c r="L22" t="s">
        <v>652</v>
      </c>
      <c r="M22" t="s">
        <v>662</v>
      </c>
      <c r="N22" t="s">
        <v>797</v>
      </c>
      <c r="O22" t="s">
        <v>242</v>
      </c>
      <c r="P22" t="s">
        <v>796</v>
      </c>
      <c r="Q22" t="s">
        <v>845</v>
      </c>
      <c r="R22" t="s">
        <v>845</v>
      </c>
      <c r="S22" t="str">
        <f>CONCATENATE(Tabelle1[[#This Row],[MAX]],Tabelle1[[#This Row],[MIN]])</f>
        <v/>
      </c>
    </row>
    <row r="23" spans="1:19" x14ac:dyDescent="0.25">
      <c r="A23" t="s">
        <v>3</v>
      </c>
      <c r="B23" t="s">
        <v>414</v>
      </c>
      <c r="C23" t="s">
        <v>243</v>
      </c>
      <c r="D23" t="s">
        <v>799</v>
      </c>
      <c r="E23" s="6">
        <v>44865</v>
      </c>
      <c r="F23" t="s">
        <v>655</v>
      </c>
      <c r="G23" t="s">
        <v>654</v>
      </c>
      <c r="H23" t="s">
        <v>798</v>
      </c>
      <c r="I23" t="s">
        <v>875</v>
      </c>
      <c r="J23">
        <v>24</v>
      </c>
      <c r="K23">
        <v>100</v>
      </c>
      <c r="L23" t="s">
        <v>652</v>
      </c>
      <c r="M23" t="s">
        <v>662</v>
      </c>
      <c r="N23" t="s">
        <v>797</v>
      </c>
      <c r="O23" t="s">
        <v>242</v>
      </c>
      <c r="P23" t="s">
        <v>796</v>
      </c>
      <c r="Q23" t="s">
        <v>845</v>
      </c>
      <c r="S23" t="str">
        <f>CONCATENATE(Tabelle1[[#This Row],[MAX]],Tabelle1[[#This Row],[MIN]])</f>
        <v/>
      </c>
    </row>
    <row r="24" spans="1:19" x14ac:dyDescent="0.25">
      <c r="A24" t="s">
        <v>3</v>
      </c>
      <c r="B24" t="s">
        <v>414</v>
      </c>
      <c r="C24" t="s">
        <v>243</v>
      </c>
      <c r="D24" t="s">
        <v>799</v>
      </c>
      <c r="E24" s="6">
        <v>44865</v>
      </c>
      <c r="F24" t="s">
        <v>655</v>
      </c>
      <c r="G24" t="s">
        <v>654</v>
      </c>
      <c r="H24" t="s">
        <v>798</v>
      </c>
      <c r="I24" t="s">
        <v>876</v>
      </c>
      <c r="J24">
        <v>115</v>
      </c>
      <c r="K24">
        <v>100</v>
      </c>
      <c r="L24" t="s">
        <v>652</v>
      </c>
      <c r="M24" t="s">
        <v>662</v>
      </c>
      <c r="N24" t="s">
        <v>797</v>
      </c>
      <c r="O24" t="s">
        <v>242</v>
      </c>
      <c r="P24" t="s">
        <v>796</v>
      </c>
      <c r="Q24" t="s">
        <v>845</v>
      </c>
      <c r="R24" t="s">
        <v>845</v>
      </c>
      <c r="S24" t="str">
        <f>CONCATENATE(Tabelle1[[#This Row],[MAX]],Tabelle1[[#This Row],[MIN]])</f>
        <v/>
      </c>
    </row>
    <row r="25" spans="1:19" x14ac:dyDescent="0.25">
      <c r="A25" t="s">
        <v>3</v>
      </c>
      <c r="B25" t="s">
        <v>414</v>
      </c>
      <c r="C25" t="s">
        <v>243</v>
      </c>
      <c r="D25" t="s">
        <v>799</v>
      </c>
      <c r="E25" s="6">
        <v>44865</v>
      </c>
      <c r="F25" t="s">
        <v>655</v>
      </c>
      <c r="G25" t="s">
        <v>654</v>
      </c>
      <c r="H25" t="s">
        <v>798</v>
      </c>
      <c r="I25" t="s">
        <v>876</v>
      </c>
      <c r="J25">
        <v>24</v>
      </c>
      <c r="K25">
        <v>100</v>
      </c>
      <c r="L25" t="s">
        <v>652</v>
      </c>
      <c r="M25" t="s">
        <v>662</v>
      </c>
      <c r="N25" t="s">
        <v>797</v>
      </c>
      <c r="O25" t="s">
        <v>242</v>
      </c>
      <c r="P25" t="s">
        <v>796</v>
      </c>
      <c r="Q25" t="s">
        <v>845</v>
      </c>
      <c r="R25" t="s">
        <v>830</v>
      </c>
      <c r="S25" t="str">
        <f>CONCATENATE(Tabelle1[[#This Row],[MAX]],Tabelle1[[#This Row],[MIN]])</f>
        <v>MIN</v>
      </c>
    </row>
    <row r="26" spans="1:19" x14ac:dyDescent="0.25">
      <c r="A26" t="s">
        <v>3</v>
      </c>
      <c r="B26" t="s">
        <v>414</v>
      </c>
      <c r="C26" t="s">
        <v>243</v>
      </c>
      <c r="D26" t="s">
        <v>799</v>
      </c>
      <c r="E26" s="6">
        <v>44865</v>
      </c>
      <c r="F26" t="s">
        <v>655</v>
      </c>
      <c r="G26" t="s">
        <v>654</v>
      </c>
      <c r="H26" t="s">
        <v>798</v>
      </c>
      <c r="I26" t="s">
        <v>877</v>
      </c>
      <c r="J26">
        <v>226</v>
      </c>
      <c r="K26">
        <v>100</v>
      </c>
      <c r="L26" t="s">
        <v>652</v>
      </c>
      <c r="M26" t="s">
        <v>662</v>
      </c>
      <c r="N26" t="s">
        <v>797</v>
      </c>
      <c r="O26" t="s">
        <v>242</v>
      </c>
      <c r="P26" t="s">
        <v>796</v>
      </c>
      <c r="Q26" t="s">
        <v>831</v>
      </c>
      <c r="R26" t="s">
        <v>845</v>
      </c>
      <c r="S26" t="str">
        <f>CONCATENATE(Tabelle1[[#This Row],[MAX]],Tabelle1[[#This Row],[MIN]])</f>
        <v>MAX</v>
      </c>
    </row>
    <row r="27" spans="1:19" x14ac:dyDescent="0.25">
      <c r="A27" t="s">
        <v>3</v>
      </c>
      <c r="B27" t="s">
        <v>414</v>
      </c>
      <c r="C27" t="s">
        <v>243</v>
      </c>
      <c r="D27" t="s">
        <v>799</v>
      </c>
      <c r="E27" s="6">
        <v>44865</v>
      </c>
      <c r="F27" t="s">
        <v>655</v>
      </c>
      <c r="G27" t="s">
        <v>654</v>
      </c>
      <c r="H27" t="s">
        <v>798</v>
      </c>
      <c r="I27" t="s">
        <v>877</v>
      </c>
      <c r="J27">
        <v>77</v>
      </c>
      <c r="K27">
        <v>100</v>
      </c>
      <c r="L27" t="s">
        <v>652</v>
      </c>
      <c r="M27" t="s">
        <v>662</v>
      </c>
      <c r="N27" t="s">
        <v>797</v>
      </c>
      <c r="O27" t="s">
        <v>242</v>
      </c>
      <c r="P27" t="s">
        <v>796</v>
      </c>
      <c r="Q27" t="s">
        <v>845</v>
      </c>
      <c r="R27" t="s">
        <v>845</v>
      </c>
      <c r="S27" t="str">
        <f>CONCATENATE(Tabelle1[[#This Row],[MAX]],Tabelle1[[#This Row],[MIN]])</f>
        <v/>
      </c>
    </row>
    <row r="28" spans="1:19" x14ac:dyDescent="0.25">
      <c r="A28" t="s">
        <v>18</v>
      </c>
      <c r="B28" t="s">
        <v>494</v>
      </c>
      <c r="C28" t="s">
        <v>243</v>
      </c>
      <c r="D28" t="s">
        <v>795</v>
      </c>
      <c r="E28" s="6">
        <v>44503</v>
      </c>
      <c r="F28" t="s">
        <v>655</v>
      </c>
      <c r="G28" t="s">
        <v>654</v>
      </c>
      <c r="H28" t="s">
        <v>242</v>
      </c>
      <c r="I28" t="s">
        <v>794</v>
      </c>
      <c r="K28">
        <v>65</v>
      </c>
      <c r="L28" t="s">
        <v>652</v>
      </c>
      <c r="M28" t="s">
        <v>652</v>
      </c>
      <c r="N28" t="s">
        <v>652</v>
      </c>
      <c r="O28" t="s">
        <v>652</v>
      </c>
      <c r="P28" t="s">
        <v>652</v>
      </c>
      <c r="Q28" t="s">
        <v>831</v>
      </c>
      <c r="R28" t="s">
        <v>830</v>
      </c>
      <c r="S28" t="str">
        <f>CONCATENATE(Tabelle1[[#This Row],[MAX]],Tabelle1[[#This Row],[MIN]])</f>
        <v>MAXMIN</v>
      </c>
    </row>
    <row r="29" spans="1:19" x14ac:dyDescent="0.25">
      <c r="A29" t="s">
        <v>273</v>
      </c>
      <c r="B29" t="s">
        <v>495</v>
      </c>
      <c r="C29" t="s">
        <v>243</v>
      </c>
      <c r="D29" t="s">
        <v>793</v>
      </c>
      <c r="E29" s="6">
        <v>44497</v>
      </c>
      <c r="F29" t="s">
        <v>655</v>
      </c>
      <c r="G29" t="s">
        <v>709</v>
      </c>
      <c r="H29" t="s">
        <v>243</v>
      </c>
      <c r="I29" t="s">
        <v>652</v>
      </c>
      <c r="L29" t="s">
        <v>652</v>
      </c>
      <c r="M29" t="s">
        <v>652</v>
      </c>
      <c r="N29" t="s">
        <v>652</v>
      </c>
      <c r="O29" t="s">
        <v>652</v>
      </c>
      <c r="P29" t="s">
        <v>652</v>
      </c>
      <c r="S29" t="str">
        <f>CONCATENATE(Tabelle1[[#This Row],[MAX]],Tabelle1[[#This Row],[MIN]])</f>
        <v/>
      </c>
    </row>
    <row r="30" spans="1:19" x14ac:dyDescent="0.25">
      <c r="A30" t="s">
        <v>19</v>
      </c>
      <c r="B30" t="s">
        <v>496</v>
      </c>
      <c r="C30" t="s">
        <v>243</v>
      </c>
      <c r="D30" t="s">
        <v>792</v>
      </c>
      <c r="E30" s="6">
        <v>44512</v>
      </c>
      <c r="F30" t="s">
        <v>655</v>
      </c>
      <c r="G30" t="s">
        <v>664</v>
      </c>
      <c r="H30" t="s">
        <v>242</v>
      </c>
      <c r="I30" t="s">
        <v>791</v>
      </c>
      <c r="L30" t="s">
        <v>652</v>
      </c>
      <c r="M30" t="s">
        <v>652</v>
      </c>
      <c r="N30" t="s">
        <v>652</v>
      </c>
      <c r="O30" t="s">
        <v>652</v>
      </c>
      <c r="P30" t="s">
        <v>652</v>
      </c>
      <c r="S30" t="str">
        <f>CONCATENATE(Tabelle1[[#This Row],[MAX]],Tabelle1[[#This Row],[MIN]])</f>
        <v/>
      </c>
    </row>
    <row r="31" spans="1:19" x14ac:dyDescent="0.25">
      <c r="A31" t="s">
        <v>19</v>
      </c>
      <c r="B31" t="s">
        <v>496</v>
      </c>
      <c r="C31" t="s">
        <v>243</v>
      </c>
      <c r="D31" t="s">
        <v>792</v>
      </c>
      <c r="E31" s="6">
        <v>44512</v>
      </c>
      <c r="F31" t="s">
        <v>655</v>
      </c>
      <c r="G31" t="s">
        <v>664</v>
      </c>
      <c r="H31" t="s">
        <v>242</v>
      </c>
      <c r="I31" t="s">
        <v>791</v>
      </c>
      <c r="L31" t="s">
        <v>652</v>
      </c>
      <c r="M31" t="s">
        <v>652</v>
      </c>
      <c r="N31" t="s">
        <v>652</v>
      </c>
      <c r="O31" t="s">
        <v>652</v>
      </c>
      <c r="P31" t="s">
        <v>652</v>
      </c>
      <c r="S31" t="str">
        <f>CONCATENATE(Tabelle1[[#This Row],[MAX]],Tabelle1[[#This Row],[MIN]])</f>
        <v/>
      </c>
    </row>
    <row r="32" spans="1:19" x14ac:dyDescent="0.25">
      <c r="A32" t="s">
        <v>19</v>
      </c>
      <c r="B32" t="s">
        <v>496</v>
      </c>
      <c r="C32" t="s">
        <v>243</v>
      </c>
      <c r="D32" t="s">
        <v>792</v>
      </c>
      <c r="E32" s="6">
        <v>44512</v>
      </c>
      <c r="F32" t="s">
        <v>655</v>
      </c>
      <c r="G32" t="s">
        <v>664</v>
      </c>
      <c r="H32" t="s">
        <v>242</v>
      </c>
      <c r="I32" t="s">
        <v>791</v>
      </c>
      <c r="L32" t="s">
        <v>652</v>
      </c>
      <c r="M32" t="s">
        <v>652</v>
      </c>
      <c r="N32" t="s">
        <v>652</v>
      </c>
      <c r="O32" t="s">
        <v>652</v>
      </c>
      <c r="P32" t="s">
        <v>652</v>
      </c>
      <c r="S32" t="str">
        <f>CONCATENATE(Tabelle1[[#This Row],[MAX]],Tabelle1[[#This Row],[MIN]])</f>
        <v/>
      </c>
    </row>
    <row r="33" spans="1:19" x14ac:dyDescent="0.25">
      <c r="A33" t="s">
        <v>275</v>
      </c>
      <c r="B33" t="s">
        <v>500</v>
      </c>
      <c r="C33" t="s">
        <v>243</v>
      </c>
      <c r="D33" t="s">
        <v>790</v>
      </c>
      <c r="E33" s="6">
        <v>43811</v>
      </c>
      <c r="F33" t="s">
        <v>655</v>
      </c>
      <c r="G33" t="s">
        <v>654</v>
      </c>
      <c r="H33" t="s">
        <v>242</v>
      </c>
      <c r="I33" t="s">
        <v>789</v>
      </c>
      <c r="K33">
        <v>5.5</v>
      </c>
      <c r="L33" t="s">
        <v>652</v>
      </c>
      <c r="M33" t="s">
        <v>662</v>
      </c>
      <c r="N33" t="s">
        <v>788</v>
      </c>
      <c r="O33" t="s">
        <v>652</v>
      </c>
      <c r="P33" t="s">
        <v>652</v>
      </c>
      <c r="Q33" t="s">
        <v>831</v>
      </c>
      <c r="R33" t="s">
        <v>830</v>
      </c>
      <c r="S33" t="str">
        <f>CONCATENATE(Tabelle1[[#This Row],[MAX]],Tabelle1[[#This Row],[MIN]])</f>
        <v>MAXMIN</v>
      </c>
    </row>
    <row r="34" spans="1:19" x14ac:dyDescent="0.25">
      <c r="A34" t="s">
        <v>278</v>
      </c>
      <c r="B34" t="s">
        <v>504</v>
      </c>
      <c r="C34" t="s">
        <v>242</v>
      </c>
      <c r="D34" t="s">
        <v>787</v>
      </c>
      <c r="E34" s="6">
        <v>44964</v>
      </c>
      <c r="F34" t="s">
        <v>655</v>
      </c>
      <c r="G34" t="s">
        <v>654</v>
      </c>
      <c r="H34" t="s">
        <v>242</v>
      </c>
      <c r="I34" t="s">
        <v>786</v>
      </c>
      <c r="J34">
        <v>1.85</v>
      </c>
      <c r="K34">
        <v>1.1000000000000001</v>
      </c>
      <c r="L34" t="s">
        <v>652</v>
      </c>
      <c r="M34" t="s">
        <v>662</v>
      </c>
      <c r="N34" t="s">
        <v>785</v>
      </c>
      <c r="O34" t="s">
        <v>242</v>
      </c>
      <c r="P34" t="s">
        <v>784</v>
      </c>
      <c r="Q34" t="s">
        <v>831</v>
      </c>
      <c r="R34" t="s">
        <v>830</v>
      </c>
      <c r="S34" t="str">
        <f>CONCATENATE(Tabelle1[[#This Row],[MAX]],Tabelle1[[#This Row],[MIN]])</f>
        <v>MAXMIN</v>
      </c>
    </row>
    <row r="35" spans="1:19" x14ac:dyDescent="0.25">
      <c r="A35" t="s">
        <v>783</v>
      </c>
      <c r="B35" t="s">
        <v>505</v>
      </c>
      <c r="C35" t="s">
        <v>242</v>
      </c>
      <c r="D35" t="s">
        <v>782</v>
      </c>
      <c r="E35" s="6">
        <v>43115</v>
      </c>
      <c r="F35" t="s">
        <v>690</v>
      </c>
      <c r="G35" t="s">
        <v>654</v>
      </c>
      <c r="H35" t="s">
        <v>243</v>
      </c>
      <c r="I35" t="s">
        <v>652</v>
      </c>
      <c r="L35" t="s">
        <v>652</v>
      </c>
      <c r="M35" t="s">
        <v>652</v>
      </c>
      <c r="N35" t="s">
        <v>652</v>
      </c>
      <c r="O35" t="s">
        <v>652</v>
      </c>
      <c r="P35" t="s">
        <v>652</v>
      </c>
      <c r="Q35" t="s">
        <v>845</v>
      </c>
      <c r="R35" t="s">
        <v>845</v>
      </c>
      <c r="S35" t="str">
        <f>CONCATENATE(Tabelle1[[#This Row],[MAX]],Tabelle1[[#This Row],[MIN]])</f>
        <v/>
      </c>
    </row>
    <row r="36" spans="1:19" x14ac:dyDescent="0.25">
      <c r="A36" t="s">
        <v>282</v>
      </c>
      <c r="B36" t="s">
        <v>508</v>
      </c>
      <c r="C36" t="s">
        <v>242</v>
      </c>
      <c r="D36" t="s">
        <v>781</v>
      </c>
      <c r="E36" s="6">
        <v>44195</v>
      </c>
      <c r="F36" t="s">
        <v>655</v>
      </c>
      <c r="G36" t="s">
        <v>654</v>
      </c>
      <c r="H36" t="s">
        <v>243</v>
      </c>
      <c r="I36" t="s">
        <v>652</v>
      </c>
      <c r="L36" t="s">
        <v>652</v>
      </c>
      <c r="M36" t="s">
        <v>652</v>
      </c>
      <c r="N36" t="s">
        <v>652</v>
      </c>
      <c r="O36" t="s">
        <v>652</v>
      </c>
      <c r="P36" t="s">
        <v>652</v>
      </c>
      <c r="Q36" t="s">
        <v>845</v>
      </c>
      <c r="R36" t="s">
        <v>845</v>
      </c>
      <c r="S36" t="str">
        <f>CONCATENATE(Tabelle1[[#This Row],[MAX]],Tabelle1[[#This Row],[MIN]])</f>
        <v/>
      </c>
    </row>
    <row r="37" spans="1:19" x14ac:dyDescent="0.25">
      <c r="A37" t="s">
        <v>25</v>
      </c>
      <c r="B37" t="s">
        <v>417</v>
      </c>
      <c r="C37" t="s">
        <v>243</v>
      </c>
      <c r="D37" t="s">
        <v>780</v>
      </c>
      <c r="E37" s="6">
        <v>45098</v>
      </c>
      <c r="F37" t="s">
        <v>655</v>
      </c>
      <c r="G37" t="s">
        <v>654</v>
      </c>
      <c r="H37" t="s">
        <v>242</v>
      </c>
      <c r="I37" t="s">
        <v>779</v>
      </c>
      <c r="K37">
        <v>171.29999999999998</v>
      </c>
      <c r="L37" t="s">
        <v>652</v>
      </c>
      <c r="M37" t="s">
        <v>662</v>
      </c>
      <c r="N37" t="s">
        <v>778</v>
      </c>
      <c r="O37" t="s">
        <v>652</v>
      </c>
      <c r="Q37" t="s">
        <v>831</v>
      </c>
      <c r="R37" t="s">
        <v>830</v>
      </c>
      <c r="S37" t="str">
        <f>CONCATENATE(Tabelle1[[#This Row],[MAX]],Tabelle1[[#This Row],[MIN]])</f>
        <v>MAXMIN</v>
      </c>
    </row>
    <row r="38" spans="1:19" x14ac:dyDescent="0.25">
      <c r="A38" t="s">
        <v>290</v>
      </c>
      <c r="B38" t="s">
        <v>517</v>
      </c>
      <c r="C38" t="s">
        <v>242</v>
      </c>
      <c r="D38" t="s">
        <v>777</v>
      </c>
      <c r="E38" s="6">
        <v>43829</v>
      </c>
      <c r="F38" t="s">
        <v>741</v>
      </c>
      <c r="G38" t="s">
        <v>709</v>
      </c>
      <c r="H38" t="s">
        <v>242</v>
      </c>
      <c r="I38" t="s">
        <v>776</v>
      </c>
      <c r="K38">
        <v>2.57</v>
      </c>
      <c r="L38" t="s">
        <v>652</v>
      </c>
      <c r="M38" t="s">
        <v>662</v>
      </c>
      <c r="N38" t="s">
        <v>775</v>
      </c>
      <c r="O38" t="s">
        <v>652</v>
      </c>
      <c r="P38" t="s">
        <v>652</v>
      </c>
      <c r="Q38" t="s">
        <v>831</v>
      </c>
      <c r="R38" t="s">
        <v>830</v>
      </c>
      <c r="S38" t="str">
        <f>CONCATENATE(Tabelle1[[#This Row],[MAX]],Tabelle1[[#This Row],[MIN]])</f>
        <v>MAXMIN</v>
      </c>
    </row>
    <row r="39" spans="1:19" x14ac:dyDescent="0.25">
      <c r="A39" t="s">
        <v>291</v>
      </c>
      <c r="B39" t="s">
        <v>519</v>
      </c>
      <c r="C39" t="s">
        <v>243</v>
      </c>
      <c r="D39" t="s">
        <v>774</v>
      </c>
      <c r="E39" s="6">
        <v>43521</v>
      </c>
      <c r="F39" t="s">
        <v>655</v>
      </c>
      <c r="G39" t="s">
        <v>654</v>
      </c>
      <c r="H39" t="s">
        <v>242</v>
      </c>
      <c r="I39" t="s">
        <v>773</v>
      </c>
      <c r="K39">
        <v>1.709738</v>
      </c>
      <c r="L39" t="s">
        <v>652</v>
      </c>
      <c r="M39" t="s">
        <v>662</v>
      </c>
      <c r="N39" t="s">
        <v>772</v>
      </c>
      <c r="O39" t="s">
        <v>652</v>
      </c>
      <c r="P39" t="s">
        <v>652</v>
      </c>
      <c r="Q39" t="s">
        <v>831</v>
      </c>
      <c r="R39" t="s">
        <v>830</v>
      </c>
      <c r="S39" t="str">
        <f>CONCATENATE(Tabelle1[[#This Row],[MAX]],Tabelle1[[#This Row],[MIN]])</f>
        <v>MAXMIN</v>
      </c>
    </row>
    <row r="40" spans="1:19" x14ac:dyDescent="0.25">
      <c r="A40" t="s">
        <v>292</v>
      </c>
      <c r="B40" t="s">
        <v>520</v>
      </c>
      <c r="C40" t="s">
        <v>242</v>
      </c>
      <c r="D40" t="s">
        <v>768</v>
      </c>
      <c r="E40" s="6">
        <v>44110</v>
      </c>
      <c r="F40" t="s">
        <v>690</v>
      </c>
      <c r="G40" t="s">
        <v>709</v>
      </c>
      <c r="H40" t="s">
        <v>242</v>
      </c>
      <c r="I40" t="s">
        <v>771</v>
      </c>
      <c r="J40">
        <v>11.467000000000001</v>
      </c>
      <c r="K40">
        <v>16.39</v>
      </c>
      <c r="L40" t="s">
        <v>652</v>
      </c>
      <c r="M40" t="s">
        <v>667</v>
      </c>
      <c r="N40" t="s">
        <v>770</v>
      </c>
      <c r="O40" t="s">
        <v>242</v>
      </c>
      <c r="P40" t="s">
        <v>769</v>
      </c>
      <c r="Q40" t="s">
        <v>831</v>
      </c>
      <c r="R40" t="s">
        <v>845</v>
      </c>
      <c r="S40" t="str">
        <f>CONCATENATE(Tabelle1[[#This Row],[MAX]],Tabelle1[[#This Row],[MIN]])</f>
        <v>MAX</v>
      </c>
    </row>
    <row r="41" spans="1:19" x14ac:dyDescent="0.25">
      <c r="A41" t="s">
        <v>292</v>
      </c>
      <c r="B41" t="s">
        <v>520</v>
      </c>
      <c r="C41" t="s">
        <v>242</v>
      </c>
      <c r="D41" t="s">
        <v>768</v>
      </c>
      <c r="E41" s="6">
        <v>44110</v>
      </c>
      <c r="F41" t="s">
        <v>690</v>
      </c>
      <c r="G41" t="s">
        <v>709</v>
      </c>
      <c r="H41" t="s">
        <v>242</v>
      </c>
      <c r="I41" t="s">
        <v>767</v>
      </c>
      <c r="K41">
        <v>40.020000000000003</v>
      </c>
      <c r="L41" t="s">
        <v>652</v>
      </c>
      <c r="M41" t="s">
        <v>662</v>
      </c>
      <c r="N41" t="s">
        <v>766</v>
      </c>
      <c r="O41" t="s">
        <v>652</v>
      </c>
      <c r="P41" t="s">
        <v>652</v>
      </c>
      <c r="Q41" t="s">
        <v>845</v>
      </c>
      <c r="R41" t="s">
        <v>830</v>
      </c>
      <c r="S41" t="str">
        <f>CONCATENATE(Tabelle1[[#This Row],[MAX]],Tabelle1[[#This Row],[MIN]])</f>
        <v>MIN</v>
      </c>
    </row>
    <row r="42" spans="1:19" x14ac:dyDescent="0.25">
      <c r="A42" t="s">
        <v>293</v>
      </c>
      <c r="B42" t="s">
        <v>521</v>
      </c>
      <c r="C42" t="s">
        <v>242</v>
      </c>
      <c r="D42" t="s">
        <v>765</v>
      </c>
      <c r="E42" s="6">
        <v>44235</v>
      </c>
      <c r="F42" t="s">
        <v>690</v>
      </c>
      <c r="G42" t="s">
        <v>654</v>
      </c>
      <c r="H42" t="s">
        <v>242</v>
      </c>
      <c r="I42" t="s">
        <v>764</v>
      </c>
      <c r="J42">
        <v>10</v>
      </c>
      <c r="K42">
        <v>67</v>
      </c>
      <c r="L42" t="s">
        <v>652</v>
      </c>
      <c r="M42" t="s">
        <v>662</v>
      </c>
      <c r="N42" t="s">
        <v>763</v>
      </c>
      <c r="O42" t="s">
        <v>652</v>
      </c>
      <c r="P42" t="s">
        <v>652</v>
      </c>
      <c r="Q42" t="s">
        <v>831</v>
      </c>
      <c r="R42" t="s">
        <v>830</v>
      </c>
      <c r="S42" t="str">
        <f>CONCATENATE(Tabelle1[[#This Row],[MAX]],Tabelle1[[#This Row],[MIN]])</f>
        <v>MAXMIN</v>
      </c>
    </row>
    <row r="43" spans="1:19" x14ac:dyDescent="0.25">
      <c r="A43" t="s">
        <v>26</v>
      </c>
      <c r="B43" t="s">
        <v>423</v>
      </c>
      <c r="C43" t="s">
        <v>243</v>
      </c>
      <c r="D43" t="s">
        <v>762</v>
      </c>
      <c r="E43" s="6">
        <v>44826</v>
      </c>
      <c r="F43" t="s">
        <v>655</v>
      </c>
      <c r="G43" t="s">
        <v>654</v>
      </c>
      <c r="H43" t="s">
        <v>243</v>
      </c>
      <c r="I43" t="s">
        <v>761</v>
      </c>
      <c r="L43" t="s">
        <v>652</v>
      </c>
      <c r="M43" t="s">
        <v>652</v>
      </c>
      <c r="N43" t="s">
        <v>652</v>
      </c>
      <c r="O43" t="s">
        <v>652</v>
      </c>
      <c r="P43" t="s">
        <v>652</v>
      </c>
      <c r="S43" t="str">
        <f>CONCATENATE(Tabelle1[[#This Row],[MAX]],Tabelle1[[#This Row],[MIN]])</f>
        <v/>
      </c>
    </row>
    <row r="44" spans="1:19" x14ac:dyDescent="0.25">
      <c r="A44" t="s">
        <v>295</v>
      </c>
      <c r="B44" t="s">
        <v>523</v>
      </c>
      <c r="C44" t="s">
        <v>243</v>
      </c>
      <c r="D44" t="s">
        <v>759</v>
      </c>
      <c r="E44" s="6">
        <v>45132</v>
      </c>
      <c r="F44" t="s">
        <v>655</v>
      </c>
      <c r="G44" t="s">
        <v>654</v>
      </c>
      <c r="H44" t="s">
        <v>242</v>
      </c>
      <c r="I44" t="s">
        <v>760</v>
      </c>
      <c r="K44">
        <v>10.74</v>
      </c>
      <c r="L44" t="s">
        <v>652</v>
      </c>
      <c r="M44" t="s">
        <v>662</v>
      </c>
      <c r="N44" t="s">
        <v>757</v>
      </c>
      <c r="O44" t="s">
        <v>652</v>
      </c>
      <c r="P44" t="s">
        <v>652</v>
      </c>
      <c r="Q44" t="s">
        <v>831</v>
      </c>
      <c r="S44" t="str">
        <f>CONCATENATE(Tabelle1[[#This Row],[MAX]],Tabelle1[[#This Row],[MIN]])</f>
        <v>MAX</v>
      </c>
    </row>
    <row r="45" spans="1:19" x14ac:dyDescent="0.25">
      <c r="A45" t="s">
        <v>295</v>
      </c>
      <c r="B45" t="s">
        <v>523</v>
      </c>
      <c r="C45" t="s">
        <v>243</v>
      </c>
      <c r="D45" t="s">
        <v>759</v>
      </c>
      <c r="E45" s="6">
        <v>45132</v>
      </c>
      <c r="F45" t="s">
        <v>655</v>
      </c>
      <c r="G45" t="s">
        <v>654</v>
      </c>
      <c r="H45" t="s">
        <v>242</v>
      </c>
      <c r="I45" t="s">
        <v>758</v>
      </c>
      <c r="K45">
        <v>10.74</v>
      </c>
      <c r="L45" t="s">
        <v>652</v>
      </c>
      <c r="M45" t="s">
        <v>662</v>
      </c>
      <c r="N45" t="s">
        <v>757</v>
      </c>
      <c r="O45" t="s">
        <v>652</v>
      </c>
      <c r="P45" t="s">
        <v>652</v>
      </c>
      <c r="R45" t="s">
        <v>830</v>
      </c>
      <c r="S45" t="str">
        <f>CONCATENATE(Tabelle1[[#This Row],[MAX]],Tabelle1[[#This Row],[MIN]])</f>
        <v>MIN</v>
      </c>
    </row>
    <row r="46" spans="1:19" x14ac:dyDescent="0.25">
      <c r="A46" t="s">
        <v>296</v>
      </c>
      <c r="B46" t="s">
        <v>524</v>
      </c>
      <c r="C46" t="s">
        <v>242</v>
      </c>
      <c r="D46" t="s">
        <v>756</v>
      </c>
      <c r="E46" s="6">
        <v>44867</v>
      </c>
      <c r="F46" t="s">
        <v>655</v>
      </c>
      <c r="G46" t="s">
        <v>654</v>
      </c>
      <c r="H46" t="s">
        <v>243</v>
      </c>
      <c r="I46" t="s">
        <v>652</v>
      </c>
      <c r="L46" t="s">
        <v>652</v>
      </c>
      <c r="M46" t="s">
        <v>652</v>
      </c>
      <c r="N46" t="s">
        <v>652</v>
      </c>
      <c r="O46" t="s">
        <v>652</v>
      </c>
      <c r="P46" t="s">
        <v>652</v>
      </c>
      <c r="Q46" t="s">
        <v>845</v>
      </c>
      <c r="R46" t="s">
        <v>845</v>
      </c>
      <c r="S46" t="str">
        <f>CONCATENATE(Tabelle1[[#This Row],[MAX]],Tabelle1[[#This Row],[MIN]])</f>
        <v/>
      </c>
    </row>
    <row r="47" spans="1:19" x14ac:dyDescent="0.25">
      <c r="A47" t="s">
        <v>300</v>
      </c>
      <c r="B47" t="s">
        <v>528</v>
      </c>
      <c r="C47" t="s">
        <v>243</v>
      </c>
      <c r="D47" t="s">
        <v>755</v>
      </c>
      <c r="E47" s="6">
        <v>44383</v>
      </c>
      <c r="F47" t="s">
        <v>655</v>
      </c>
      <c r="G47" t="s">
        <v>664</v>
      </c>
      <c r="H47" t="s">
        <v>243</v>
      </c>
      <c r="I47" t="s">
        <v>652</v>
      </c>
      <c r="L47" t="s">
        <v>652</v>
      </c>
      <c r="M47" t="s">
        <v>652</v>
      </c>
      <c r="N47" t="s">
        <v>652</v>
      </c>
      <c r="O47" t="s">
        <v>652</v>
      </c>
      <c r="P47" t="s">
        <v>652</v>
      </c>
      <c r="S47" t="str">
        <f>CONCATENATE(Tabelle1[[#This Row],[MAX]],Tabelle1[[#This Row],[MIN]])</f>
        <v/>
      </c>
    </row>
    <row r="48" spans="1:19" x14ac:dyDescent="0.25">
      <c r="A48" t="s">
        <v>305</v>
      </c>
      <c r="B48" t="s">
        <v>534</v>
      </c>
      <c r="C48" t="s">
        <v>242</v>
      </c>
      <c r="D48" t="s">
        <v>754</v>
      </c>
      <c r="E48" s="6">
        <v>44456</v>
      </c>
      <c r="F48" t="s">
        <v>690</v>
      </c>
      <c r="G48" t="s">
        <v>654</v>
      </c>
      <c r="H48" t="s">
        <v>242</v>
      </c>
      <c r="I48" t="s">
        <v>753</v>
      </c>
      <c r="J48">
        <v>10</v>
      </c>
      <c r="K48">
        <v>4.5</v>
      </c>
      <c r="L48" t="s">
        <v>652</v>
      </c>
      <c r="M48" t="s">
        <v>658</v>
      </c>
      <c r="N48" t="s">
        <v>752</v>
      </c>
      <c r="O48" t="s">
        <v>652</v>
      </c>
      <c r="P48" t="s">
        <v>652</v>
      </c>
      <c r="Q48" t="s">
        <v>831</v>
      </c>
      <c r="R48" t="s">
        <v>830</v>
      </c>
      <c r="S48" t="str">
        <f>CONCATENATE(Tabelle1[[#This Row],[MAX]],Tabelle1[[#This Row],[MIN]])</f>
        <v>MAXMIN</v>
      </c>
    </row>
    <row r="49" spans="1:19" x14ac:dyDescent="0.25">
      <c r="A49" t="s">
        <v>306</v>
      </c>
      <c r="B49" t="s">
        <v>535</v>
      </c>
      <c r="C49" t="s">
        <v>243</v>
      </c>
      <c r="D49" t="s">
        <v>751</v>
      </c>
      <c r="E49" s="6">
        <v>44497</v>
      </c>
      <c r="F49" t="s">
        <v>655</v>
      </c>
      <c r="G49" t="s">
        <v>654</v>
      </c>
      <c r="H49" t="s">
        <v>242</v>
      </c>
      <c r="I49" t="s">
        <v>750</v>
      </c>
      <c r="K49">
        <v>1</v>
      </c>
      <c r="L49" t="s">
        <v>652</v>
      </c>
      <c r="M49" t="s">
        <v>662</v>
      </c>
      <c r="N49" t="s">
        <v>749</v>
      </c>
      <c r="O49" t="s">
        <v>652</v>
      </c>
      <c r="P49" t="s">
        <v>652</v>
      </c>
      <c r="S49" t="str">
        <f>CONCATENATE(Tabelle1[[#This Row],[MAX]],Tabelle1[[#This Row],[MIN]])</f>
        <v/>
      </c>
    </row>
    <row r="50" spans="1:19" x14ac:dyDescent="0.25">
      <c r="A50" t="s">
        <v>306</v>
      </c>
      <c r="B50" t="s">
        <v>535</v>
      </c>
      <c r="C50" t="s">
        <v>243</v>
      </c>
      <c r="D50" t="s">
        <v>751</v>
      </c>
      <c r="E50" s="6">
        <v>44497</v>
      </c>
      <c r="F50" t="s">
        <v>655</v>
      </c>
      <c r="G50" t="s">
        <v>654</v>
      </c>
      <c r="H50" t="s">
        <v>242</v>
      </c>
      <c r="I50" t="s">
        <v>750</v>
      </c>
      <c r="K50">
        <v>0.9</v>
      </c>
      <c r="L50" t="s">
        <v>652</v>
      </c>
      <c r="M50" t="s">
        <v>662</v>
      </c>
      <c r="N50" t="s">
        <v>749</v>
      </c>
      <c r="O50" t="s">
        <v>652</v>
      </c>
      <c r="P50" t="s">
        <v>652</v>
      </c>
      <c r="S50" t="str">
        <f>CONCATENATE(Tabelle1[[#This Row],[MAX]],Tabelle1[[#This Row],[MIN]])</f>
        <v/>
      </c>
    </row>
    <row r="51" spans="1:19" x14ac:dyDescent="0.25">
      <c r="A51" t="s">
        <v>306</v>
      </c>
      <c r="B51" t="s">
        <v>535</v>
      </c>
      <c r="C51" t="s">
        <v>243</v>
      </c>
      <c r="D51" t="s">
        <v>751</v>
      </c>
      <c r="E51" s="6">
        <v>44497</v>
      </c>
      <c r="F51" t="s">
        <v>655</v>
      </c>
      <c r="G51" t="s">
        <v>654</v>
      </c>
      <c r="H51" t="s">
        <v>242</v>
      </c>
      <c r="I51" t="s">
        <v>750</v>
      </c>
      <c r="K51">
        <v>1.3</v>
      </c>
      <c r="L51" t="s">
        <v>652</v>
      </c>
      <c r="M51" t="s">
        <v>662</v>
      </c>
      <c r="N51" t="s">
        <v>749</v>
      </c>
      <c r="O51" t="s">
        <v>652</v>
      </c>
      <c r="P51" t="s">
        <v>652</v>
      </c>
      <c r="Q51" t="s">
        <v>831</v>
      </c>
      <c r="S51" t="str">
        <f>CONCATENATE(Tabelle1[[#This Row],[MAX]],Tabelle1[[#This Row],[MIN]])</f>
        <v>MAX</v>
      </c>
    </row>
    <row r="52" spans="1:19" x14ac:dyDescent="0.25">
      <c r="A52" t="s">
        <v>306</v>
      </c>
      <c r="B52" t="s">
        <v>535</v>
      </c>
      <c r="C52" t="s">
        <v>243</v>
      </c>
      <c r="D52" t="s">
        <v>751</v>
      </c>
      <c r="E52" s="6">
        <v>44497</v>
      </c>
      <c r="F52" t="s">
        <v>655</v>
      </c>
      <c r="G52" t="s">
        <v>654</v>
      </c>
      <c r="H52" t="s">
        <v>242</v>
      </c>
      <c r="I52" t="s">
        <v>750</v>
      </c>
      <c r="K52">
        <v>0.8</v>
      </c>
      <c r="L52" t="s">
        <v>652</v>
      </c>
      <c r="M52" t="s">
        <v>662</v>
      </c>
      <c r="N52" t="s">
        <v>749</v>
      </c>
      <c r="O52" t="s">
        <v>652</v>
      </c>
      <c r="P52" t="s">
        <v>652</v>
      </c>
      <c r="R52" t="s">
        <v>830</v>
      </c>
      <c r="S52" t="str">
        <f>CONCATENATE(Tabelle1[[#This Row],[MAX]],Tabelle1[[#This Row],[MIN]])</f>
        <v>MIN</v>
      </c>
    </row>
    <row r="53" spans="1:19" x14ac:dyDescent="0.25">
      <c r="A53" t="s">
        <v>307</v>
      </c>
      <c r="B53" t="s">
        <v>424</v>
      </c>
      <c r="C53" t="s">
        <v>243</v>
      </c>
      <c r="D53" t="s">
        <v>748</v>
      </c>
      <c r="E53" s="6">
        <v>44879</v>
      </c>
      <c r="F53" t="s">
        <v>655</v>
      </c>
      <c r="G53" t="s">
        <v>654</v>
      </c>
      <c r="H53" t="s">
        <v>243</v>
      </c>
      <c r="I53" t="s">
        <v>652</v>
      </c>
      <c r="L53" t="s">
        <v>652</v>
      </c>
      <c r="M53" t="s">
        <v>652</v>
      </c>
      <c r="N53" t="s">
        <v>652</v>
      </c>
      <c r="O53" t="s">
        <v>652</v>
      </c>
      <c r="P53" t="s">
        <v>652</v>
      </c>
      <c r="S53" t="str">
        <f>CONCATENATE(Tabelle1[[#This Row],[MAX]],Tabelle1[[#This Row],[MIN]])</f>
        <v/>
      </c>
    </row>
    <row r="54" spans="1:19" x14ac:dyDescent="0.25">
      <c r="A54" t="s">
        <v>28</v>
      </c>
      <c r="B54" t="s">
        <v>536</v>
      </c>
      <c r="C54" t="s">
        <v>243</v>
      </c>
      <c r="D54" t="s">
        <v>747</v>
      </c>
      <c r="E54" s="6">
        <v>44399</v>
      </c>
      <c r="F54" t="s">
        <v>655</v>
      </c>
      <c r="G54" t="s">
        <v>654</v>
      </c>
      <c r="H54" t="s">
        <v>242</v>
      </c>
      <c r="I54" t="s">
        <v>746</v>
      </c>
      <c r="K54">
        <v>300</v>
      </c>
      <c r="L54" t="s">
        <v>652</v>
      </c>
      <c r="M54" t="s">
        <v>662</v>
      </c>
      <c r="N54" t="s">
        <v>745</v>
      </c>
      <c r="O54" t="s">
        <v>242</v>
      </c>
      <c r="P54" t="s">
        <v>744</v>
      </c>
      <c r="Q54" t="s">
        <v>831</v>
      </c>
      <c r="R54" t="s">
        <v>830</v>
      </c>
      <c r="S54" t="str">
        <f>CONCATENATE(Tabelle1[[#This Row],[MAX]],Tabelle1[[#This Row],[MIN]])</f>
        <v>MAXMIN</v>
      </c>
    </row>
    <row r="55" spans="1:19" x14ac:dyDescent="0.25">
      <c r="A55" t="s">
        <v>310</v>
      </c>
      <c r="B55" t="s">
        <v>420</v>
      </c>
      <c r="C55" t="s">
        <v>242</v>
      </c>
      <c r="D55" t="s">
        <v>743</v>
      </c>
      <c r="E55" s="6">
        <v>45062</v>
      </c>
      <c r="F55" t="s">
        <v>655</v>
      </c>
      <c r="G55" t="s">
        <v>654</v>
      </c>
      <c r="H55" t="s">
        <v>243</v>
      </c>
      <c r="I55" t="s">
        <v>652</v>
      </c>
      <c r="L55" t="s">
        <v>652</v>
      </c>
      <c r="M55" t="s">
        <v>652</v>
      </c>
      <c r="N55" t="s">
        <v>652</v>
      </c>
      <c r="O55" t="s">
        <v>652</v>
      </c>
      <c r="P55" t="s">
        <v>652</v>
      </c>
      <c r="Q55" t="s">
        <v>845</v>
      </c>
      <c r="R55" t="s">
        <v>845</v>
      </c>
      <c r="S55" t="str">
        <f>CONCATENATE(Tabelle1[[#This Row],[MAX]],Tabelle1[[#This Row],[MIN]])</f>
        <v/>
      </c>
    </row>
    <row r="56" spans="1:19" x14ac:dyDescent="0.25">
      <c r="A56" t="s">
        <v>312</v>
      </c>
      <c r="B56" t="s">
        <v>540</v>
      </c>
      <c r="C56" t="s">
        <v>242</v>
      </c>
      <c r="D56" t="s">
        <v>742</v>
      </c>
      <c r="E56" s="6">
        <v>44238</v>
      </c>
      <c r="F56" t="s">
        <v>741</v>
      </c>
      <c r="G56" t="s">
        <v>740</v>
      </c>
      <c r="H56" t="s">
        <v>242</v>
      </c>
      <c r="I56" t="s">
        <v>739</v>
      </c>
      <c r="K56">
        <v>45</v>
      </c>
      <c r="L56" t="s">
        <v>652</v>
      </c>
      <c r="M56" t="s">
        <v>658</v>
      </c>
      <c r="N56" t="s">
        <v>738</v>
      </c>
      <c r="O56" t="s">
        <v>652</v>
      </c>
      <c r="P56" t="s">
        <v>652</v>
      </c>
      <c r="Q56" t="s">
        <v>831</v>
      </c>
      <c r="R56" t="s">
        <v>830</v>
      </c>
      <c r="S56" t="str">
        <f>CONCATENATE(Tabelle1[[#This Row],[MAX]],Tabelle1[[#This Row],[MIN]])</f>
        <v>MAXMIN</v>
      </c>
    </row>
    <row r="57" spans="1:19" x14ac:dyDescent="0.25">
      <c r="A57" t="s">
        <v>5</v>
      </c>
      <c r="B57" t="s">
        <v>542</v>
      </c>
      <c r="C57" t="s">
        <v>243</v>
      </c>
      <c r="D57" t="s">
        <v>737</v>
      </c>
      <c r="E57" s="6">
        <v>44498</v>
      </c>
      <c r="F57" t="s">
        <v>655</v>
      </c>
      <c r="G57" t="s">
        <v>654</v>
      </c>
      <c r="H57" t="s">
        <v>243</v>
      </c>
      <c r="I57" t="s">
        <v>652</v>
      </c>
      <c r="L57" t="s">
        <v>652</v>
      </c>
      <c r="M57" t="s">
        <v>652</v>
      </c>
      <c r="N57" t="s">
        <v>652</v>
      </c>
      <c r="O57" t="s">
        <v>652</v>
      </c>
      <c r="P57" t="s">
        <v>652</v>
      </c>
      <c r="S57" t="str">
        <f>CONCATENATE(Tabelle1[[#This Row],[MAX]],Tabelle1[[#This Row],[MIN]])</f>
        <v/>
      </c>
    </row>
    <row r="58" spans="1:19" x14ac:dyDescent="0.25">
      <c r="A58" t="s">
        <v>320</v>
      </c>
      <c r="B58" t="s">
        <v>550</v>
      </c>
      <c r="C58" t="s">
        <v>242</v>
      </c>
      <c r="D58" t="s">
        <v>736</v>
      </c>
      <c r="E58" s="6">
        <v>44174</v>
      </c>
      <c r="F58" t="s">
        <v>690</v>
      </c>
      <c r="G58" t="s">
        <v>709</v>
      </c>
      <c r="H58" t="s">
        <v>243</v>
      </c>
      <c r="I58" t="s">
        <v>652</v>
      </c>
      <c r="L58" t="s">
        <v>652</v>
      </c>
      <c r="M58" t="s">
        <v>652</v>
      </c>
      <c r="N58" t="s">
        <v>652</v>
      </c>
      <c r="O58" t="s">
        <v>652</v>
      </c>
      <c r="P58" t="s">
        <v>652</v>
      </c>
      <c r="Q58" t="s">
        <v>845</v>
      </c>
      <c r="R58" t="s">
        <v>845</v>
      </c>
      <c r="S58" t="str">
        <f>CONCATENATE(Tabelle1[[#This Row],[MAX]],Tabelle1[[#This Row],[MIN]])</f>
        <v/>
      </c>
    </row>
    <row r="59" spans="1:19" x14ac:dyDescent="0.25">
      <c r="A59" t="s">
        <v>326</v>
      </c>
      <c r="B59" t="s">
        <v>556</v>
      </c>
      <c r="C59" t="s">
        <v>242</v>
      </c>
      <c r="D59" t="s">
        <v>735</v>
      </c>
      <c r="E59" s="6">
        <v>44637</v>
      </c>
      <c r="F59" t="s">
        <v>690</v>
      </c>
      <c r="G59" t="s">
        <v>654</v>
      </c>
      <c r="H59" t="s">
        <v>243</v>
      </c>
      <c r="I59" t="s">
        <v>652</v>
      </c>
      <c r="L59" t="s">
        <v>652</v>
      </c>
      <c r="M59" t="s">
        <v>652</v>
      </c>
      <c r="N59" t="s">
        <v>652</v>
      </c>
      <c r="O59" t="s">
        <v>652</v>
      </c>
      <c r="P59" t="s">
        <v>652</v>
      </c>
      <c r="Q59" t="s">
        <v>845</v>
      </c>
      <c r="R59" t="s">
        <v>845</v>
      </c>
      <c r="S59" t="str">
        <f>CONCATENATE(Tabelle1[[#This Row],[MAX]],Tabelle1[[#This Row],[MIN]])</f>
        <v/>
      </c>
    </row>
    <row r="60" spans="1:19" x14ac:dyDescent="0.25">
      <c r="A60" t="s">
        <v>327</v>
      </c>
      <c r="B60" t="s">
        <v>557</v>
      </c>
      <c r="C60" t="s">
        <v>242</v>
      </c>
      <c r="D60" t="s">
        <v>734</v>
      </c>
      <c r="E60" s="6">
        <v>44502</v>
      </c>
      <c r="F60" t="s">
        <v>690</v>
      </c>
      <c r="G60" t="s">
        <v>679</v>
      </c>
      <c r="H60" t="s">
        <v>243</v>
      </c>
      <c r="I60" t="s">
        <v>652</v>
      </c>
      <c r="L60" t="s">
        <v>652</v>
      </c>
      <c r="M60" t="s">
        <v>652</v>
      </c>
      <c r="N60" t="s">
        <v>652</v>
      </c>
      <c r="O60" t="s">
        <v>652</v>
      </c>
      <c r="P60" t="s">
        <v>652</v>
      </c>
      <c r="Q60" t="s">
        <v>845</v>
      </c>
      <c r="R60" t="s">
        <v>845</v>
      </c>
      <c r="S60" t="str">
        <f>CONCATENATE(Tabelle1[[#This Row],[MAX]],Tabelle1[[#This Row],[MIN]])</f>
        <v/>
      </c>
    </row>
    <row r="61" spans="1:19" x14ac:dyDescent="0.25">
      <c r="A61" t="s">
        <v>333</v>
      </c>
      <c r="B61" t="s">
        <v>564</v>
      </c>
      <c r="C61" t="s">
        <v>242</v>
      </c>
      <c r="D61" t="s">
        <v>733</v>
      </c>
      <c r="E61" s="6">
        <v>44512</v>
      </c>
      <c r="F61" t="s">
        <v>690</v>
      </c>
      <c r="G61" t="s">
        <v>654</v>
      </c>
      <c r="H61" t="s">
        <v>243</v>
      </c>
      <c r="I61" t="s">
        <v>652</v>
      </c>
      <c r="L61" t="s">
        <v>652</v>
      </c>
      <c r="M61" t="s">
        <v>652</v>
      </c>
      <c r="N61" t="s">
        <v>652</v>
      </c>
      <c r="O61" t="s">
        <v>652</v>
      </c>
      <c r="P61" t="s">
        <v>652</v>
      </c>
      <c r="Q61" t="s">
        <v>845</v>
      </c>
      <c r="R61" t="s">
        <v>845</v>
      </c>
      <c r="S61" t="str">
        <f>CONCATENATE(Tabelle1[[#This Row],[MAX]],Tabelle1[[#This Row],[MIN]])</f>
        <v/>
      </c>
    </row>
    <row r="62" spans="1:19" x14ac:dyDescent="0.25">
      <c r="A62" t="s">
        <v>334</v>
      </c>
      <c r="B62" t="s">
        <v>565</v>
      </c>
      <c r="C62" t="s">
        <v>243</v>
      </c>
      <c r="D62" t="s">
        <v>732</v>
      </c>
      <c r="E62" s="6">
        <v>43368</v>
      </c>
      <c r="F62" t="s">
        <v>655</v>
      </c>
      <c r="G62" t="s">
        <v>654</v>
      </c>
      <c r="H62" t="s">
        <v>243</v>
      </c>
      <c r="I62" t="s">
        <v>652</v>
      </c>
      <c r="L62" t="s">
        <v>652</v>
      </c>
      <c r="M62" t="s">
        <v>652</v>
      </c>
      <c r="N62" t="s">
        <v>652</v>
      </c>
      <c r="O62" t="s">
        <v>652</v>
      </c>
      <c r="P62" t="s">
        <v>652</v>
      </c>
      <c r="S62" t="str">
        <f>CONCATENATE(Tabelle1[[#This Row],[MAX]],Tabelle1[[#This Row],[MIN]])</f>
        <v/>
      </c>
    </row>
    <row r="63" spans="1:19" x14ac:dyDescent="0.25">
      <c r="A63" t="s">
        <v>31</v>
      </c>
      <c r="B63" t="s">
        <v>568</v>
      </c>
      <c r="C63" t="s">
        <v>243</v>
      </c>
      <c r="D63" t="s">
        <v>731</v>
      </c>
      <c r="E63" s="6">
        <v>42690</v>
      </c>
      <c r="F63" t="s">
        <v>655</v>
      </c>
      <c r="G63" t="s">
        <v>654</v>
      </c>
      <c r="H63" t="s">
        <v>243</v>
      </c>
      <c r="I63" t="s">
        <v>652</v>
      </c>
      <c r="L63" t="s">
        <v>652</v>
      </c>
      <c r="M63" t="s">
        <v>652</v>
      </c>
      <c r="N63" t="s">
        <v>652</v>
      </c>
      <c r="O63" t="s">
        <v>652</v>
      </c>
      <c r="P63" t="s">
        <v>652</v>
      </c>
      <c r="S63" t="str">
        <f>CONCATENATE(Tabelle1[[#This Row],[MAX]],Tabelle1[[#This Row],[MIN]])</f>
        <v/>
      </c>
    </row>
    <row r="64" spans="1:19" x14ac:dyDescent="0.25">
      <c r="A64" t="s">
        <v>340</v>
      </c>
      <c r="B64" t="s">
        <v>573</v>
      </c>
      <c r="C64" t="s">
        <v>243</v>
      </c>
      <c r="D64" t="s">
        <v>730</v>
      </c>
      <c r="E64" s="6">
        <v>44551</v>
      </c>
      <c r="F64" t="s">
        <v>655</v>
      </c>
      <c r="G64" t="s">
        <v>679</v>
      </c>
      <c r="H64" t="s">
        <v>243</v>
      </c>
      <c r="I64" t="s">
        <v>652</v>
      </c>
      <c r="L64" t="s">
        <v>652</v>
      </c>
      <c r="M64" t="s">
        <v>652</v>
      </c>
      <c r="N64" t="s">
        <v>652</v>
      </c>
      <c r="O64" t="s">
        <v>652</v>
      </c>
      <c r="P64" t="s">
        <v>652</v>
      </c>
      <c r="S64" t="str">
        <f>CONCATENATE(Tabelle1[[#This Row],[MAX]],Tabelle1[[#This Row],[MIN]])</f>
        <v/>
      </c>
    </row>
    <row r="65" spans="1:19" x14ac:dyDescent="0.25">
      <c r="A65" t="s">
        <v>343</v>
      </c>
      <c r="B65" t="s">
        <v>578</v>
      </c>
      <c r="C65" t="s">
        <v>243</v>
      </c>
      <c r="D65" t="s">
        <v>729</v>
      </c>
      <c r="E65" s="6">
        <v>44500</v>
      </c>
      <c r="F65" t="s">
        <v>655</v>
      </c>
      <c r="G65" t="s">
        <v>654</v>
      </c>
      <c r="H65" t="s">
        <v>242</v>
      </c>
      <c r="I65" t="s">
        <v>728</v>
      </c>
      <c r="K65">
        <v>9.1999999999999993</v>
      </c>
      <c r="L65" t="s">
        <v>652</v>
      </c>
      <c r="M65" t="s">
        <v>662</v>
      </c>
      <c r="N65" t="s">
        <v>727</v>
      </c>
      <c r="O65" t="s">
        <v>242</v>
      </c>
      <c r="P65" t="s">
        <v>726</v>
      </c>
      <c r="Q65" t="s">
        <v>831</v>
      </c>
      <c r="R65" t="s">
        <v>830</v>
      </c>
      <c r="S65" t="str">
        <f>CONCATENATE(Tabelle1[[#This Row],[MAX]],Tabelle1[[#This Row],[MIN]])</f>
        <v>MAXMIN</v>
      </c>
    </row>
    <row r="66" spans="1:19" x14ac:dyDescent="0.25">
      <c r="A66" t="s">
        <v>344</v>
      </c>
      <c r="B66" t="s">
        <v>579</v>
      </c>
      <c r="C66" t="s">
        <v>242</v>
      </c>
      <c r="D66" t="s">
        <v>725</v>
      </c>
      <c r="E66" s="6">
        <v>44176</v>
      </c>
      <c r="F66" t="s">
        <v>690</v>
      </c>
      <c r="G66" t="s">
        <v>654</v>
      </c>
      <c r="H66" t="s">
        <v>243</v>
      </c>
      <c r="I66" t="s">
        <v>652</v>
      </c>
      <c r="L66" t="s">
        <v>652</v>
      </c>
      <c r="M66" t="s">
        <v>652</v>
      </c>
      <c r="N66" t="s">
        <v>652</v>
      </c>
      <c r="O66" t="s">
        <v>652</v>
      </c>
      <c r="P66" t="s">
        <v>652</v>
      </c>
      <c r="Q66" t="s">
        <v>845</v>
      </c>
      <c r="R66" t="s">
        <v>845</v>
      </c>
      <c r="S66" t="str">
        <f>CONCATENATE(Tabelle1[[#This Row],[MAX]],Tabelle1[[#This Row],[MIN]])</f>
        <v/>
      </c>
    </row>
    <row r="67" spans="1:19" x14ac:dyDescent="0.25">
      <c r="A67" t="s">
        <v>7</v>
      </c>
      <c r="B67" t="s">
        <v>580</v>
      </c>
      <c r="C67" t="s">
        <v>243</v>
      </c>
      <c r="D67" t="s">
        <v>724</v>
      </c>
      <c r="E67" s="6">
        <v>44504</v>
      </c>
      <c r="F67" t="s">
        <v>655</v>
      </c>
      <c r="G67" t="s">
        <v>654</v>
      </c>
      <c r="H67" t="s">
        <v>243</v>
      </c>
      <c r="I67" t="s">
        <v>652</v>
      </c>
      <c r="L67" t="s">
        <v>652</v>
      </c>
      <c r="M67" t="s">
        <v>652</v>
      </c>
      <c r="N67" t="s">
        <v>652</v>
      </c>
      <c r="O67" t="s">
        <v>652</v>
      </c>
      <c r="P67" t="s">
        <v>652</v>
      </c>
      <c r="S67" t="str">
        <f>CONCATENATE(Tabelle1[[#This Row],[MAX]],Tabelle1[[#This Row],[MIN]])</f>
        <v/>
      </c>
    </row>
    <row r="68" spans="1:19" x14ac:dyDescent="0.25">
      <c r="A68" t="s">
        <v>35</v>
      </c>
      <c r="B68" t="s">
        <v>583</v>
      </c>
      <c r="C68" t="s">
        <v>243</v>
      </c>
      <c r="D68" t="s">
        <v>723</v>
      </c>
      <c r="E68" s="6">
        <v>44538</v>
      </c>
      <c r="F68" t="s">
        <v>655</v>
      </c>
      <c r="G68" t="s">
        <v>654</v>
      </c>
      <c r="H68" t="s">
        <v>243</v>
      </c>
      <c r="I68" t="s">
        <v>652</v>
      </c>
      <c r="L68" t="s">
        <v>652</v>
      </c>
      <c r="M68" t="s">
        <v>652</v>
      </c>
      <c r="N68" t="s">
        <v>652</v>
      </c>
      <c r="O68" t="s">
        <v>652</v>
      </c>
      <c r="P68" t="s">
        <v>652</v>
      </c>
      <c r="S68" t="str">
        <f>CONCATENATE(Tabelle1[[#This Row],[MAX]],Tabelle1[[#This Row],[MIN]])</f>
        <v/>
      </c>
    </row>
    <row r="69" spans="1:19" x14ac:dyDescent="0.25">
      <c r="A69" t="s">
        <v>722</v>
      </c>
      <c r="B69" t="s">
        <v>558</v>
      </c>
      <c r="C69" t="s">
        <v>243</v>
      </c>
      <c r="D69" t="s">
        <v>721</v>
      </c>
      <c r="E69" s="6">
        <v>44504</v>
      </c>
      <c r="F69" t="s">
        <v>655</v>
      </c>
      <c r="G69" t="s">
        <v>654</v>
      </c>
      <c r="H69" t="s">
        <v>242</v>
      </c>
      <c r="I69" t="s">
        <v>720</v>
      </c>
      <c r="K69">
        <v>3.794</v>
      </c>
      <c r="L69" t="s">
        <v>652</v>
      </c>
      <c r="M69" t="s">
        <v>662</v>
      </c>
      <c r="N69" t="s">
        <v>719</v>
      </c>
      <c r="O69" t="s">
        <v>652</v>
      </c>
      <c r="P69" t="s">
        <v>652</v>
      </c>
      <c r="Q69" t="s">
        <v>831</v>
      </c>
      <c r="R69" t="s">
        <v>830</v>
      </c>
      <c r="S69" t="str">
        <f>CONCATENATE(Tabelle1[[#This Row],[MAX]],Tabelle1[[#This Row],[MIN]])</f>
        <v>MAXMIN</v>
      </c>
    </row>
    <row r="70" spans="1:19" x14ac:dyDescent="0.25">
      <c r="A70" t="s">
        <v>9</v>
      </c>
      <c r="B70" t="s">
        <v>585</v>
      </c>
      <c r="C70" t="s">
        <v>243</v>
      </c>
      <c r="D70" t="s">
        <v>718</v>
      </c>
      <c r="E70" s="6">
        <v>44160</v>
      </c>
      <c r="F70" t="s">
        <v>655</v>
      </c>
      <c r="G70" t="s">
        <v>709</v>
      </c>
      <c r="H70" t="s">
        <v>243</v>
      </c>
      <c r="I70" t="s">
        <v>652</v>
      </c>
      <c r="L70" t="s">
        <v>652</v>
      </c>
      <c r="M70" t="s">
        <v>652</v>
      </c>
      <c r="N70" t="s">
        <v>652</v>
      </c>
      <c r="O70" t="s">
        <v>652</v>
      </c>
      <c r="P70" t="s">
        <v>652</v>
      </c>
      <c r="S70" t="str">
        <f>CONCATENATE(Tabelle1[[#This Row],[MAX]],Tabelle1[[#This Row],[MIN]])</f>
        <v/>
      </c>
    </row>
    <row r="71" spans="1:19" x14ac:dyDescent="0.25">
      <c r="A71" t="s">
        <v>347</v>
      </c>
      <c r="B71" t="s">
        <v>421</v>
      </c>
      <c r="C71" t="s">
        <v>243</v>
      </c>
      <c r="D71" t="s">
        <v>717</v>
      </c>
      <c r="E71" s="6">
        <v>45048</v>
      </c>
      <c r="F71" t="s">
        <v>655</v>
      </c>
      <c r="G71" t="s">
        <v>654</v>
      </c>
      <c r="H71" t="s">
        <v>242</v>
      </c>
      <c r="I71" t="s">
        <v>716</v>
      </c>
      <c r="J71">
        <v>7</v>
      </c>
      <c r="L71" t="s">
        <v>652</v>
      </c>
      <c r="M71" t="s">
        <v>652</v>
      </c>
      <c r="N71" t="s">
        <v>652</v>
      </c>
      <c r="O71" t="s">
        <v>242</v>
      </c>
      <c r="P71" t="s">
        <v>715</v>
      </c>
      <c r="Q71" t="s">
        <v>831</v>
      </c>
      <c r="R71" t="s">
        <v>830</v>
      </c>
      <c r="S71" t="str">
        <f>CONCATENATE(Tabelle1[[#This Row],[MAX]],Tabelle1[[#This Row],[MIN]])</f>
        <v>MAXMIN</v>
      </c>
    </row>
    <row r="72" spans="1:19" x14ac:dyDescent="0.25">
      <c r="A72" t="s">
        <v>354</v>
      </c>
      <c r="B72" t="s">
        <v>594</v>
      </c>
      <c r="C72" t="s">
        <v>242</v>
      </c>
      <c r="D72" t="s">
        <v>714</v>
      </c>
      <c r="E72" s="6">
        <v>43728</v>
      </c>
      <c r="F72" t="s">
        <v>690</v>
      </c>
      <c r="G72" t="s">
        <v>654</v>
      </c>
      <c r="H72" t="s">
        <v>242</v>
      </c>
      <c r="I72" t="s">
        <v>713</v>
      </c>
      <c r="K72">
        <v>14.18</v>
      </c>
      <c r="L72" t="s">
        <v>652</v>
      </c>
      <c r="M72" t="s">
        <v>662</v>
      </c>
      <c r="N72" t="s">
        <v>712</v>
      </c>
      <c r="O72" t="s">
        <v>652</v>
      </c>
      <c r="P72" t="s">
        <v>652</v>
      </c>
      <c r="Q72" t="s">
        <v>845</v>
      </c>
      <c r="R72" t="s">
        <v>830</v>
      </c>
      <c r="S72" t="str">
        <f>CONCATENATE(Tabelle1[[#This Row],[MAX]],Tabelle1[[#This Row],[MIN]])</f>
        <v>MIN</v>
      </c>
    </row>
    <row r="73" spans="1:19" x14ac:dyDescent="0.25">
      <c r="A73" t="s">
        <v>354</v>
      </c>
      <c r="B73" t="s">
        <v>594</v>
      </c>
      <c r="C73" t="s">
        <v>242</v>
      </c>
      <c r="D73" t="s">
        <v>714</v>
      </c>
      <c r="E73" s="6">
        <v>43728</v>
      </c>
      <c r="F73" t="s">
        <v>690</v>
      </c>
      <c r="G73" t="s">
        <v>654</v>
      </c>
      <c r="H73" t="s">
        <v>242</v>
      </c>
      <c r="I73" t="s">
        <v>713</v>
      </c>
      <c r="K73">
        <v>11.92</v>
      </c>
      <c r="L73" t="s">
        <v>652</v>
      </c>
      <c r="M73" t="s">
        <v>662</v>
      </c>
      <c r="N73" t="s">
        <v>712</v>
      </c>
      <c r="O73" t="s">
        <v>652</v>
      </c>
      <c r="P73" t="s">
        <v>652</v>
      </c>
      <c r="Q73" t="s">
        <v>831</v>
      </c>
      <c r="R73" t="s">
        <v>845</v>
      </c>
      <c r="S73" t="str">
        <f>CONCATENATE(Tabelle1[[#This Row],[MAX]],Tabelle1[[#This Row],[MIN]])</f>
        <v>MAX</v>
      </c>
    </row>
    <row r="74" spans="1:19" x14ac:dyDescent="0.25">
      <c r="A74" t="s">
        <v>711</v>
      </c>
      <c r="B74" t="s">
        <v>599</v>
      </c>
      <c r="C74" t="s">
        <v>243</v>
      </c>
      <c r="D74" t="s">
        <v>710</v>
      </c>
      <c r="E74" s="6">
        <v>44809</v>
      </c>
      <c r="F74" t="s">
        <v>655</v>
      </c>
      <c r="G74" t="s">
        <v>709</v>
      </c>
      <c r="H74" t="s">
        <v>242</v>
      </c>
      <c r="I74" t="s">
        <v>708</v>
      </c>
      <c r="K74">
        <v>1200</v>
      </c>
      <c r="L74" t="s">
        <v>652</v>
      </c>
      <c r="M74" t="s">
        <v>652</v>
      </c>
      <c r="N74" t="s">
        <v>652</v>
      </c>
      <c r="O74" t="s">
        <v>652</v>
      </c>
      <c r="P74" t="s">
        <v>652</v>
      </c>
      <c r="Q74" t="s">
        <v>831</v>
      </c>
      <c r="R74" t="s">
        <v>830</v>
      </c>
      <c r="S74" t="str">
        <f>CONCATENATE(Tabelle1[[#This Row],[MAX]],Tabelle1[[#This Row],[MIN]])</f>
        <v>MAXMIN</v>
      </c>
    </row>
    <row r="75" spans="1:19" x14ac:dyDescent="0.25">
      <c r="A75" t="s">
        <v>369</v>
      </c>
      <c r="B75" t="s">
        <v>612</v>
      </c>
      <c r="C75" t="s">
        <v>243</v>
      </c>
      <c r="D75" t="s">
        <v>707</v>
      </c>
      <c r="E75" s="6">
        <v>44868</v>
      </c>
      <c r="F75" t="s">
        <v>655</v>
      </c>
      <c r="G75" t="s">
        <v>654</v>
      </c>
      <c r="H75" t="s">
        <v>243</v>
      </c>
      <c r="I75" t="s">
        <v>652</v>
      </c>
      <c r="L75" t="s">
        <v>652</v>
      </c>
      <c r="M75" t="s">
        <v>652</v>
      </c>
      <c r="N75" t="s">
        <v>652</v>
      </c>
      <c r="O75" t="s">
        <v>652</v>
      </c>
      <c r="P75" t="s">
        <v>652</v>
      </c>
      <c r="S75" t="str">
        <f>CONCATENATE(Tabelle1[[#This Row],[MAX]],Tabelle1[[#This Row],[MIN]])</f>
        <v/>
      </c>
    </row>
    <row r="76" spans="1:19" x14ac:dyDescent="0.25">
      <c r="A76" t="s">
        <v>370</v>
      </c>
      <c r="B76" t="s">
        <v>613</v>
      </c>
      <c r="C76" t="s">
        <v>242</v>
      </c>
      <c r="D76" t="s">
        <v>706</v>
      </c>
      <c r="E76" s="6">
        <v>43920</v>
      </c>
      <c r="F76" t="s">
        <v>690</v>
      </c>
      <c r="G76" t="s">
        <v>654</v>
      </c>
      <c r="H76" t="s">
        <v>243</v>
      </c>
      <c r="I76" t="s">
        <v>652</v>
      </c>
      <c r="L76" t="s">
        <v>652</v>
      </c>
      <c r="M76" t="s">
        <v>652</v>
      </c>
      <c r="N76" t="s">
        <v>652</v>
      </c>
      <c r="O76" t="s">
        <v>652</v>
      </c>
      <c r="P76" t="s">
        <v>652</v>
      </c>
      <c r="Q76" t="s">
        <v>845</v>
      </c>
      <c r="R76" t="s">
        <v>845</v>
      </c>
      <c r="S76" t="str">
        <f>CONCATENATE(Tabelle1[[#This Row],[MAX]],Tabelle1[[#This Row],[MIN]])</f>
        <v/>
      </c>
    </row>
    <row r="77" spans="1:19" x14ac:dyDescent="0.25">
      <c r="A77" t="s">
        <v>371</v>
      </c>
      <c r="B77" t="s">
        <v>614</v>
      </c>
      <c r="C77" t="s">
        <v>242</v>
      </c>
      <c r="D77" t="s">
        <v>705</v>
      </c>
      <c r="E77" s="6">
        <v>44431</v>
      </c>
      <c r="F77" t="s">
        <v>690</v>
      </c>
      <c r="G77" t="s">
        <v>654</v>
      </c>
      <c r="H77" t="s">
        <v>242</v>
      </c>
      <c r="I77" t="s">
        <v>704</v>
      </c>
      <c r="K77">
        <v>2.5</v>
      </c>
      <c r="L77" t="s">
        <v>652</v>
      </c>
      <c r="M77" t="s">
        <v>662</v>
      </c>
      <c r="N77" t="s">
        <v>703</v>
      </c>
      <c r="O77" t="s">
        <v>652</v>
      </c>
      <c r="P77" t="s">
        <v>652</v>
      </c>
      <c r="Q77" t="s">
        <v>831</v>
      </c>
      <c r="R77" t="s">
        <v>830</v>
      </c>
      <c r="S77" t="str">
        <f>CONCATENATE(Tabelle1[[#This Row],[MAX]],Tabelle1[[#This Row],[MIN]])</f>
        <v>MAXMIN</v>
      </c>
    </row>
    <row r="78" spans="1:19" x14ac:dyDescent="0.25">
      <c r="A78" t="s">
        <v>372</v>
      </c>
      <c r="B78" t="s">
        <v>615</v>
      </c>
      <c r="C78" t="s">
        <v>243</v>
      </c>
      <c r="D78" t="s">
        <v>702</v>
      </c>
      <c r="E78" s="6">
        <v>45173</v>
      </c>
      <c r="F78" t="s">
        <v>655</v>
      </c>
      <c r="G78" t="s">
        <v>654</v>
      </c>
      <c r="H78" t="s">
        <v>242</v>
      </c>
      <c r="I78" t="s">
        <v>701</v>
      </c>
      <c r="K78">
        <v>42</v>
      </c>
      <c r="L78" t="s">
        <v>652</v>
      </c>
      <c r="M78" t="s">
        <v>662</v>
      </c>
      <c r="N78" t="s">
        <v>700</v>
      </c>
      <c r="O78" t="s">
        <v>652</v>
      </c>
      <c r="P78" t="s">
        <v>652</v>
      </c>
      <c r="Q78" t="s">
        <v>831</v>
      </c>
      <c r="R78" t="s">
        <v>830</v>
      </c>
      <c r="S78" t="str">
        <f>CONCATENATE(Tabelle1[[#This Row],[MAX]],Tabelle1[[#This Row],[MIN]])</f>
        <v>MAXMIN</v>
      </c>
    </row>
    <row r="79" spans="1:19" x14ac:dyDescent="0.25">
      <c r="A79" t="s">
        <v>373</v>
      </c>
      <c r="B79" t="s">
        <v>617</v>
      </c>
      <c r="C79" t="s">
        <v>243</v>
      </c>
      <c r="D79" t="s">
        <v>699</v>
      </c>
      <c r="E79" s="6">
        <v>44097</v>
      </c>
      <c r="F79" t="s">
        <v>655</v>
      </c>
      <c r="G79" t="s">
        <v>654</v>
      </c>
      <c r="H79" t="s">
        <v>243</v>
      </c>
      <c r="I79" t="s">
        <v>652</v>
      </c>
      <c r="L79" t="s">
        <v>652</v>
      </c>
      <c r="M79" t="s">
        <v>652</v>
      </c>
      <c r="N79" t="s">
        <v>652</v>
      </c>
      <c r="O79" t="s">
        <v>652</v>
      </c>
      <c r="P79" t="s">
        <v>652</v>
      </c>
      <c r="S79" t="str">
        <f>CONCATENATE(Tabelle1[[#This Row],[MAX]],Tabelle1[[#This Row],[MIN]])</f>
        <v/>
      </c>
    </row>
    <row r="80" spans="1:19" x14ac:dyDescent="0.25">
      <c r="A80" t="s">
        <v>698</v>
      </c>
      <c r="B80" t="s">
        <v>596</v>
      </c>
      <c r="C80" t="s">
        <v>243</v>
      </c>
      <c r="D80" t="s">
        <v>697</v>
      </c>
      <c r="E80" s="6">
        <v>44195</v>
      </c>
      <c r="F80" t="s">
        <v>655</v>
      </c>
      <c r="G80" t="s">
        <v>654</v>
      </c>
      <c r="H80" t="s">
        <v>243</v>
      </c>
      <c r="I80" t="s">
        <v>652</v>
      </c>
      <c r="L80" t="s">
        <v>652</v>
      </c>
      <c r="M80" t="s">
        <v>652</v>
      </c>
      <c r="N80" t="s">
        <v>652</v>
      </c>
      <c r="O80" t="s">
        <v>652</v>
      </c>
      <c r="P80" t="s">
        <v>652</v>
      </c>
      <c r="S80" t="str">
        <f>CONCATENATE(Tabelle1[[#This Row],[MAX]],Tabelle1[[#This Row],[MIN]])</f>
        <v/>
      </c>
    </row>
    <row r="81" spans="1:19" x14ac:dyDescent="0.25">
      <c r="A81" t="s">
        <v>375</v>
      </c>
      <c r="B81" t="s">
        <v>619</v>
      </c>
      <c r="C81" t="s">
        <v>242</v>
      </c>
      <c r="D81" t="s">
        <v>696</v>
      </c>
      <c r="E81" s="6">
        <v>44175</v>
      </c>
      <c r="F81" t="s">
        <v>690</v>
      </c>
      <c r="G81" t="s">
        <v>664</v>
      </c>
      <c r="H81" t="s">
        <v>242</v>
      </c>
      <c r="I81" t="s">
        <v>695</v>
      </c>
      <c r="K81">
        <v>36.9</v>
      </c>
      <c r="L81" t="s">
        <v>652</v>
      </c>
      <c r="M81" t="s">
        <v>658</v>
      </c>
      <c r="N81" t="s">
        <v>694</v>
      </c>
      <c r="O81" t="s">
        <v>242</v>
      </c>
      <c r="P81" t="s">
        <v>693</v>
      </c>
      <c r="Q81" t="s">
        <v>831</v>
      </c>
      <c r="R81" t="s">
        <v>830</v>
      </c>
      <c r="S81" t="str">
        <f>CONCATENATE(Tabelle1[[#This Row],[MAX]],Tabelle1[[#This Row],[MIN]])</f>
        <v>MAXMIN</v>
      </c>
    </row>
    <row r="82" spans="1:19" x14ac:dyDescent="0.25">
      <c r="A82" t="s">
        <v>41</v>
      </c>
      <c r="B82" t="s">
        <v>418</v>
      </c>
      <c r="C82" t="s">
        <v>243</v>
      </c>
      <c r="D82" t="s">
        <v>692</v>
      </c>
      <c r="E82" s="6">
        <v>45082</v>
      </c>
      <c r="F82" t="s">
        <v>655</v>
      </c>
      <c r="G82" t="s">
        <v>654</v>
      </c>
      <c r="H82" t="s">
        <v>243</v>
      </c>
      <c r="I82" t="s">
        <v>652</v>
      </c>
      <c r="L82" t="s">
        <v>652</v>
      </c>
      <c r="M82" t="s">
        <v>652</v>
      </c>
      <c r="N82" t="s">
        <v>652</v>
      </c>
      <c r="O82" t="s">
        <v>652</v>
      </c>
      <c r="P82" t="s">
        <v>652</v>
      </c>
      <c r="S82" t="str">
        <f>CONCATENATE(Tabelle1[[#This Row],[MAX]],Tabelle1[[#This Row],[MIN]])</f>
        <v/>
      </c>
    </row>
    <row r="83" spans="1:19" x14ac:dyDescent="0.25">
      <c r="A83" t="s">
        <v>379</v>
      </c>
      <c r="B83" t="s">
        <v>623</v>
      </c>
      <c r="C83" t="s">
        <v>242</v>
      </c>
      <c r="D83" t="s">
        <v>691</v>
      </c>
      <c r="E83" s="6">
        <v>44176</v>
      </c>
      <c r="F83" t="s">
        <v>690</v>
      </c>
      <c r="G83" t="s">
        <v>654</v>
      </c>
      <c r="H83" t="s">
        <v>242</v>
      </c>
      <c r="I83" t="s">
        <v>689</v>
      </c>
      <c r="K83">
        <v>42.2</v>
      </c>
      <c r="L83" t="s">
        <v>652</v>
      </c>
      <c r="M83" t="s">
        <v>658</v>
      </c>
      <c r="N83" t="s">
        <v>688</v>
      </c>
      <c r="O83" t="s">
        <v>652</v>
      </c>
      <c r="P83" t="s">
        <v>652</v>
      </c>
      <c r="Q83" t="s">
        <v>831</v>
      </c>
      <c r="R83" t="s">
        <v>830</v>
      </c>
      <c r="S83" t="str">
        <f>CONCATENATE(Tabelle1[[#This Row],[MAX]],Tabelle1[[#This Row],[MIN]])</f>
        <v>MAXMIN</v>
      </c>
    </row>
    <row r="84" spans="1:19" x14ac:dyDescent="0.25">
      <c r="A84" t="s">
        <v>380</v>
      </c>
      <c r="B84" t="s">
        <v>624</v>
      </c>
      <c r="C84" t="s">
        <v>243</v>
      </c>
      <c r="D84" t="s">
        <v>687</v>
      </c>
      <c r="E84" s="6">
        <v>44224</v>
      </c>
      <c r="F84" t="s">
        <v>655</v>
      </c>
      <c r="G84" t="s">
        <v>654</v>
      </c>
      <c r="H84" t="s">
        <v>242</v>
      </c>
      <c r="I84" t="s">
        <v>686</v>
      </c>
      <c r="J84">
        <v>2</v>
      </c>
      <c r="L84">
        <v>4.9000000000000004</v>
      </c>
      <c r="M84" t="s">
        <v>652</v>
      </c>
      <c r="N84" t="s">
        <v>652</v>
      </c>
      <c r="O84" t="s">
        <v>652</v>
      </c>
      <c r="P84" t="s">
        <v>652</v>
      </c>
      <c r="Q84" t="s">
        <v>831</v>
      </c>
      <c r="R84" t="s">
        <v>830</v>
      </c>
      <c r="S84" t="str">
        <f>CONCATENATE(Tabelle1[[#This Row],[MAX]],Tabelle1[[#This Row],[MIN]])</f>
        <v>MAXMIN</v>
      </c>
    </row>
    <row r="85" spans="1:19" x14ac:dyDescent="0.25">
      <c r="A85" t="s">
        <v>383</v>
      </c>
      <c r="B85" t="s">
        <v>415</v>
      </c>
      <c r="C85" t="s">
        <v>243</v>
      </c>
      <c r="D85" t="s">
        <v>685</v>
      </c>
      <c r="E85" s="6">
        <v>44872</v>
      </c>
      <c r="F85" t="s">
        <v>655</v>
      </c>
      <c r="G85" t="s">
        <v>654</v>
      </c>
      <c r="H85" t="s">
        <v>242</v>
      </c>
      <c r="I85" t="s">
        <v>684</v>
      </c>
      <c r="K85">
        <v>120</v>
      </c>
      <c r="L85" t="s">
        <v>652</v>
      </c>
      <c r="M85" t="s">
        <v>662</v>
      </c>
      <c r="N85" t="s">
        <v>683</v>
      </c>
      <c r="O85" t="s">
        <v>242</v>
      </c>
      <c r="P85" t="s">
        <v>682</v>
      </c>
      <c r="Q85" t="s">
        <v>831</v>
      </c>
      <c r="R85" t="s">
        <v>830</v>
      </c>
      <c r="S85" t="str">
        <f>CONCATENATE(Tabelle1[[#This Row],[MAX]],Tabelle1[[#This Row],[MIN]])</f>
        <v>MAXMIN</v>
      </c>
    </row>
    <row r="86" spans="1:19" x14ac:dyDescent="0.25">
      <c r="A86" t="s">
        <v>386</v>
      </c>
      <c r="B86" t="s">
        <v>629</v>
      </c>
      <c r="C86" t="s">
        <v>243</v>
      </c>
      <c r="D86" t="s">
        <v>681</v>
      </c>
      <c r="E86" s="6">
        <v>44511</v>
      </c>
      <c r="F86" t="s">
        <v>655</v>
      </c>
      <c r="G86" t="s">
        <v>654</v>
      </c>
      <c r="H86" t="s">
        <v>243</v>
      </c>
      <c r="I86" t="s">
        <v>652</v>
      </c>
      <c r="L86" t="s">
        <v>652</v>
      </c>
      <c r="M86" t="s">
        <v>652</v>
      </c>
      <c r="N86" t="s">
        <v>652</v>
      </c>
      <c r="O86" t="s">
        <v>652</v>
      </c>
      <c r="P86" t="s">
        <v>652</v>
      </c>
      <c r="S86" t="str">
        <f>CONCATENATE(Tabelle1[[#This Row],[MAX]],Tabelle1[[#This Row],[MIN]])</f>
        <v/>
      </c>
    </row>
    <row r="87" spans="1:19" x14ac:dyDescent="0.25">
      <c r="A87" t="s">
        <v>388</v>
      </c>
      <c r="B87" t="s">
        <v>425</v>
      </c>
      <c r="C87" t="s">
        <v>243</v>
      </c>
      <c r="D87" t="s">
        <v>680</v>
      </c>
      <c r="E87" s="6">
        <v>44866</v>
      </c>
      <c r="F87" t="s">
        <v>655</v>
      </c>
      <c r="G87" t="s">
        <v>679</v>
      </c>
      <c r="H87" t="s">
        <v>242</v>
      </c>
      <c r="I87" t="s">
        <v>678</v>
      </c>
      <c r="K87">
        <v>28.6</v>
      </c>
      <c r="L87" t="s">
        <v>652</v>
      </c>
      <c r="M87" t="s">
        <v>662</v>
      </c>
      <c r="N87" t="s">
        <v>677</v>
      </c>
      <c r="O87" t="s">
        <v>652</v>
      </c>
      <c r="P87" t="s">
        <v>652</v>
      </c>
      <c r="Q87" t="s">
        <v>831</v>
      </c>
      <c r="R87" t="s">
        <v>830</v>
      </c>
      <c r="S87" t="str">
        <f>CONCATENATE(Tabelle1[[#This Row],[MAX]],Tabelle1[[#This Row],[MIN]])</f>
        <v>MAXMIN</v>
      </c>
    </row>
    <row r="88" spans="1:19" x14ac:dyDescent="0.25">
      <c r="A88" t="s">
        <v>392</v>
      </c>
      <c r="B88" t="s">
        <v>635</v>
      </c>
      <c r="C88" t="s">
        <v>243</v>
      </c>
      <c r="D88" t="s">
        <v>676</v>
      </c>
      <c r="E88" s="6">
        <v>43311</v>
      </c>
      <c r="F88" t="s">
        <v>655</v>
      </c>
      <c r="G88" t="s">
        <v>654</v>
      </c>
      <c r="H88" t="s">
        <v>242</v>
      </c>
      <c r="I88" t="s">
        <v>652</v>
      </c>
      <c r="K88">
        <v>44.4</v>
      </c>
      <c r="L88" t="s">
        <v>652</v>
      </c>
      <c r="M88" t="s">
        <v>667</v>
      </c>
      <c r="N88" t="s">
        <v>675</v>
      </c>
      <c r="O88" t="s">
        <v>652</v>
      </c>
      <c r="P88" t="s">
        <v>652</v>
      </c>
      <c r="S88" t="str">
        <f>CONCATENATE(Tabelle1[[#This Row],[MAX]],Tabelle1[[#This Row],[MIN]])</f>
        <v/>
      </c>
    </row>
    <row r="89" spans="1:19" x14ac:dyDescent="0.25">
      <c r="A89" t="s">
        <v>392</v>
      </c>
      <c r="B89" t="s">
        <v>635</v>
      </c>
      <c r="C89" t="s">
        <v>243</v>
      </c>
      <c r="D89" t="s">
        <v>676</v>
      </c>
      <c r="E89" s="6">
        <v>43311</v>
      </c>
      <c r="F89" t="s">
        <v>655</v>
      </c>
      <c r="G89" t="s">
        <v>654</v>
      </c>
      <c r="H89" t="s">
        <v>242</v>
      </c>
      <c r="I89" t="s">
        <v>652</v>
      </c>
      <c r="K89">
        <v>50.4</v>
      </c>
      <c r="L89" t="s">
        <v>652</v>
      </c>
      <c r="M89" t="s">
        <v>667</v>
      </c>
      <c r="N89" t="s">
        <v>675</v>
      </c>
      <c r="O89" t="s">
        <v>652</v>
      </c>
      <c r="P89" t="s">
        <v>652</v>
      </c>
      <c r="S89" t="str">
        <f>CONCATENATE(Tabelle1[[#This Row],[MAX]],Tabelle1[[#This Row],[MIN]])</f>
        <v/>
      </c>
    </row>
    <row r="90" spans="1:19" x14ac:dyDescent="0.25">
      <c r="A90" t="s">
        <v>392</v>
      </c>
      <c r="B90" t="s">
        <v>635</v>
      </c>
      <c r="C90" t="s">
        <v>243</v>
      </c>
      <c r="D90" t="s">
        <v>676</v>
      </c>
      <c r="E90" s="6">
        <v>43311</v>
      </c>
      <c r="F90" t="s">
        <v>655</v>
      </c>
      <c r="G90" t="s">
        <v>654</v>
      </c>
      <c r="H90" t="s">
        <v>242</v>
      </c>
      <c r="I90" t="s">
        <v>652</v>
      </c>
      <c r="K90">
        <v>53.9</v>
      </c>
      <c r="L90" t="s">
        <v>652</v>
      </c>
      <c r="M90" t="s">
        <v>667</v>
      </c>
      <c r="N90" t="s">
        <v>675</v>
      </c>
      <c r="O90" t="s">
        <v>652</v>
      </c>
      <c r="P90" t="s">
        <v>652</v>
      </c>
      <c r="Q90" t="s">
        <v>831</v>
      </c>
      <c r="S90" t="str">
        <f>CONCATENATE(Tabelle1[[#This Row],[MAX]],Tabelle1[[#This Row],[MIN]])</f>
        <v>MAX</v>
      </c>
    </row>
    <row r="91" spans="1:19" x14ac:dyDescent="0.25">
      <c r="A91" t="s">
        <v>392</v>
      </c>
      <c r="B91" t="s">
        <v>635</v>
      </c>
      <c r="C91" t="s">
        <v>243</v>
      </c>
      <c r="D91" t="s">
        <v>676</v>
      </c>
      <c r="E91" s="6">
        <v>43311</v>
      </c>
      <c r="F91" t="s">
        <v>655</v>
      </c>
      <c r="G91" t="s">
        <v>654</v>
      </c>
      <c r="H91" t="s">
        <v>242</v>
      </c>
      <c r="I91" t="s">
        <v>652</v>
      </c>
      <c r="K91">
        <v>44.4</v>
      </c>
      <c r="L91" t="s">
        <v>652</v>
      </c>
      <c r="M91" t="s">
        <v>667</v>
      </c>
      <c r="N91" t="s">
        <v>675</v>
      </c>
      <c r="O91" t="s">
        <v>652</v>
      </c>
      <c r="P91" t="s">
        <v>652</v>
      </c>
      <c r="S91" t="str">
        <f>CONCATENATE(Tabelle1[[#This Row],[MAX]],Tabelle1[[#This Row],[MIN]])</f>
        <v/>
      </c>
    </row>
    <row r="92" spans="1:19" x14ac:dyDescent="0.25">
      <c r="A92" t="s">
        <v>392</v>
      </c>
      <c r="B92" t="s">
        <v>635</v>
      </c>
      <c r="C92" t="s">
        <v>243</v>
      </c>
      <c r="D92" t="s">
        <v>676</v>
      </c>
      <c r="E92" s="6">
        <v>43311</v>
      </c>
      <c r="F92" t="s">
        <v>655</v>
      </c>
      <c r="G92" t="s">
        <v>654</v>
      </c>
      <c r="H92" t="s">
        <v>242</v>
      </c>
      <c r="I92" t="s">
        <v>652</v>
      </c>
      <c r="K92">
        <v>50.4</v>
      </c>
      <c r="L92" t="s">
        <v>652</v>
      </c>
      <c r="M92" t="s">
        <v>667</v>
      </c>
      <c r="N92" t="s">
        <v>675</v>
      </c>
      <c r="O92" t="s">
        <v>652</v>
      </c>
      <c r="P92" t="s">
        <v>652</v>
      </c>
      <c r="S92" t="str">
        <f>CONCATENATE(Tabelle1[[#This Row],[MAX]],Tabelle1[[#This Row],[MIN]])</f>
        <v/>
      </c>
    </row>
    <row r="93" spans="1:19" x14ac:dyDescent="0.25">
      <c r="A93" t="s">
        <v>392</v>
      </c>
      <c r="B93" t="s">
        <v>635</v>
      </c>
      <c r="C93" t="s">
        <v>243</v>
      </c>
      <c r="D93" t="s">
        <v>676</v>
      </c>
      <c r="E93" s="6">
        <v>43311</v>
      </c>
      <c r="F93" t="s">
        <v>655</v>
      </c>
      <c r="G93" t="s">
        <v>654</v>
      </c>
      <c r="H93" t="s">
        <v>242</v>
      </c>
      <c r="I93" t="s">
        <v>652</v>
      </c>
      <c r="K93">
        <v>53.9</v>
      </c>
      <c r="L93" t="s">
        <v>652</v>
      </c>
      <c r="M93" t="s">
        <v>667</v>
      </c>
      <c r="N93" t="s">
        <v>675</v>
      </c>
      <c r="O93" t="s">
        <v>652</v>
      </c>
      <c r="P93" t="s">
        <v>652</v>
      </c>
      <c r="S93" t="str">
        <f>CONCATENATE(Tabelle1[[#This Row],[MAX]],Tabelle1[[#This Row],[MIN]])</f>
        <v/>
      </c>
    </row>
    <row r="94" spans="1:19" x14ac:dyDescent="0.25">
      <c r="A94" t="s">
        <v>392</v>
      </c>
      <c r="B94" t="s">
        <v>635</v>
      </c>
      <c r="C94" t="s">
        <v>243</v>
      </c>
      <c r="D94" t="s">
        <v>676</v>
      </c>
      <c r="E94" s="6">
        <v>43311</v>
      </c>
      <c r="F94" t="s">
        <v>655</v>
      </c>
      <c r="G94" t="s">
        <v>654</v>
      </c>
      <c r="H94" t="s">
        <v>242</v>
      </c>
      <c r="I94" t="s">
        <v>652</v>
      </c>
      <c r="K94">
        <v>44.4</v>
      </c>
      <c r="L94" t="s">
        <v>652</v>
      </c>
      <c r="M94" t="s">
        <v>667</v>
      </c>
      <c r="N94" t="s">
        <v>675</v>
      </c>
      <c r="O94" t="s">
        <v>652</v>
      </c>
      <c r="P94" t="s">
        <v>652</v>
      </c>
      <c r="S94" t="str">
        <f>CONCATENATE(Tabelle1[[#This Row],[MAX]],Tabelle1[[#This Row],[MIN]])</f>
        <v/>
      </c>
    </row>
    <row r="95" spans="1:19" x14ac:dyDescent="0.25">
      <c r="A95" t="s">
        <v>392</v>
      </c>
      <c r="B95" t="s">
        <v>635</v>
      </c>
      <c r="C95" t="s">
        <v>243</v>
      </c>
      <c r="D95" t="s">
        <v>676</v>
      </c>
      <c r="E95" s="6">
        <v>43311</v>
      </c>
      <c r="F95" t="s">
        <v>655</v>
      </c>
      <c r="G95" t="s">
        <v>654</v>
      </c>
      <c r="H95" t="s">
        <v>242</v>
      </c>
      <c r="I95" t="s">
        <v>652</v>
      </c>
      <c r="K95">
        <v>50.4</v>
      </c>
      <c r="L95" t="s">
        <v>652</v>
      </c>
      <c r="M95" t="s">
        <v>667</v>
      </c>
      <c r="N95" t="s">
        <v>675</v>
      </c>
      <c r="O95" t="s">
        <v>652</v>
      </c>
      <c r="P95" t="s">
        <v>652</v>
      </c>
      <c r="S95" t="str">
        <f>CONCATENATE(Tabelle1[[#This Row],[MAX]],Tabelle1[[#This Row],[MIN]])</f>
        <v/>
      </c>
    </row>
    <row r="96" spans="1:19" x14ac:dyDescent="0.25">
      <c r="A96" t="s">
        <v>392</v>
      </c>
      <c r="B96" t="s">
        <v>635</v>
      </c>
      <c r="C96" t="s">
        <v>243</v>
      </c>
      <c r="D96" t="s">
        <v>676</v>
      </c>
      <c r="E96" s="6">
        <v>43311</v>
      </c>
      <c r="F96" t="s">
        <v>655</v>
      </c>
      <c r="G96" t="s">
        <v>654</v>
      </c>
      <c r="H96" t="s">
        <v>242</v>
      </c>
      <c r="I96" t="s">
        <v>652</v>
      </c>
      <c r="K96">
        <v>53.9</v>
      </c>
      <c r="L96" t="s">
        <v>652</v>
      </c>
      <c r="M96" t="s">
        <v>667</v>
      </c>
      <c r="N96" t="s">
        <v>675</v>
      </c>
      <c r="O96" t="s">
        <v>652</v>
      </c>
      <c r="P96" t="s">
        <v>652</v>
      </c>
      <c r="S96" t="str">
        <f>CONCATENATE(Tabelle1[[#This Row],[MAX]],Tabelle1[[#This Row],[MIN]])</f>
        <v/>
      </c>
    </row>
    <row r="97" spans="1:19" x14ac:dyDescent="0.25">
      <c r="A97" t="s">
        <v>392</v>
      </c>
      <c r="B97" t="s">
        <v>635</v>
      </c>
      <c r="C97" t="s">
        <v>243</v>
      </c>
      <c r="D97" t="s">
        <v>676</v>
      </c>
      <c r="E97" s="6">
        <v>43311</v>
      </c>
      <c r="F97" t="s">
        <v>655</v>
      </c>
      <c r="G97" t="s">
        <v>654</v>
      </c>
      <c r="H97" t="s">
        <v>242</v>
      </c>
      <c r="I97" t="s">
        <v>652</v>
      </c>
      <c r="K97">
        <v>44.4</v>
      </c>
      <c r="L97" t="s">
        <v>652</v>
      </c>
      <c r="M97" t="s">
        <v>667</v>
      </c>
      <c r="N97" t="s">
        <v>675</v>
      </c>
      <c r="O97" t="s">
        <v>652</v>
      </c>
      <c r="P97" t="s">
        <v>652</v>
      </c>
      <c r="R97" t="s">
        <v>830</v>
      </c>
      <c r="S97" t="str">
        <f>CONCATENATE(Tabelle1[[#This Row],[MAX]],Tabelle1[[#This Row],[MIN]])</f>
        <v>MIN</v>
      </c>
    </row>
    <row r="98" spans="1:19" x14ac:dyDescent="0.25">
      <c r="A98" t="s">
        <v>392</v>
      </c>
      <c r="B98" t="s">
        <v>635</v>
      </c>
      <c r="C98" t="s">
        <v>243</v>
      </c>
      <c r="D98" t="s">
        <v>676</v>
      </c>
      <c r="E98" s="6">
        <v>43311</v>
      </c>
      <c r="F98" t="s">
        <v>655</v>
      </c>
      <c r="G98" t="s">
        <v>654</v>
      </c>
      <c r="H98" t="s">
        <v>242</v>
      </c>
      <c r="I98" t="s">
        <v>652</v>
      </c>
      <c r="K98">
        <v>50.4</v>
      </c>
      <c r="L98" t="s">
        <v>652</v>
      </c>
      <c r="M98" t="s">
        <v>667</v>
      </c>
      <c r="N98" t="s">
        <v>675</v>
      </c>
      <c r="O98" t="s">
        <v>652</v>
      </c>
      <c r="P98" t="s">
        <v>652</v>
      </c>
      <c r="S98" t="str">
        <f>CONCATENATE(Tabelle1[[#This Row],[MAX]],Tabelle1[[#This Row],[MIN]])</f>
        <v/>
      </c>
    </row>
    <row r="99" spans="1:19" x14ac:dyDescent="0.25">
      <c r="A99" t="s">
        <v>392</v>
      </c>
      <c r="B99" t="s">
        <v>635</v>
      </c>
      <c r="C99" t="s">
        <v>243</v>
      </c>
      <c r="D99" t="s">
        <v>676</v>
      </c>
      <c r="E99" s="6">
        <v>43311</v>
      </c>
      <c r="F99" t="s">
        <v>655</v>
      </c>
      <c r="G99" t="s">
        <v>654</v>
      </c>
      <c r="H99" t="s">
        <v>242</v>
      </c>
      <c r="I99" t="s">
        <v>652</v>
      </c>
      <c r="K99">
        <v>53.9</v>
      </c>
      <c r="L99" t="s">
        <v>652</v>
      </c>
      <c r="M99" t="s">
        <v>667</v>
      </c>
      <c r="N99" t="s">
        <v>675</v>
      </c>
      <c r="O99" t="s">
        <v>652</v>
      </c>
      <c r="P99" t="s">
        <v>652</v>
      </c>
      <c r="S99" t="str">
        <f>CONCATENATE(Tabelle1[[#This Row],[MAX]],Tabelle1[[#This Row],[MIN]])</f>
        <v/>
      </c>
    </row>
    <row r="100" spans="1:19" x14ac:dyDescent="0.25">
      <c r="A100" t="s">
        <v>394</v>
      </c>
      <c r="B100" t="s">
        <v>637</v>
      </c>
      <c r="C100" t="s">
        <v>243</v>
      </c>
      <c r="D100" t="s">
        <v>674</v>
      </c>
      <c r="E100" s="6">
        <v>44488</v>
      </c>
      <c r="F100" t="s">
        <v>655</v>
      </c>
      <c r="G100" t="s">
        <v>654</v>
      </c>
      <c r="H100" t="s">
        <v>242</v>
      </c>
      <c r="I100" t="s">
        <v>673</v>
      </c>
      <c r="J100">
        <v>75</v>
      </c>
      <c r="K100">
        <v>21.2</v>
      </c>
      <c r="L100" t="s">
        <v>652</v>
      </c>
      <c r="M100" t="s">
        <v>652</v>
      </c>
      <c r="N100" t="s">
        <v>652</v>
      </c>
      <c r="O100" t="s">
        <v>242</v>
      </c>
      <c r="P100" t="s">
        <v>672</v>
      </c>
      <c r="Q100" t="s">
        <v>845</v>
      </c>
      <c r="R100" t="s">
        <v>830</v>
      </c>
      <c r="S100" t="str">
        <f>CONCATENATE(Tabelle1[[#This Row],[MAX]],Tabelle1[[#This Row],[MIN]])</f>
        <v>MIN</v>
      </c>
    </row>
    <row r="101" spans="1:19" x14ac:dyDescent="0.25">
      <c r="A101" t="s">
        <v>394</v>
      </c>
      <c r="B101" t="s">
        <v>637</v>
      </c>
      <c r="C101" t="s">
        <v>243</v>
      </c>
      <c r="D101" t="s">
        <v>674</v>
      </c>
      <c r="E101" s="6">
        <v>44488</v>
      </c>
      <c r="F101" t="s">
        <v>655</v>
      </c>
      <c r="G101" t="s">
        <v>654</v>
      </c>
      <c r="H101" t="s">
        <v>242</v>
      </c>
      <c r="I101" t="s">
        <v>673</v>
      </c>
      <c r="J101">
        <v>76</v>
      </c>
      <c r="K101">
        <v>21.2</v>
      </c>
      <c r="L101" t="s">
        <v>652</v>
      </c>
      <c r="M101" t="s">
        <v>652</v>
      </c>
      <c r="N101" t="s">
        <v>652</v>
      </c>
      <c r="O101" t="s">
        <v>242</v>
      </c>
      <c r="P101" t="s">
        <v>672</v>
      </c>
      <c r="Q101" t="s">
        <v>845</v>
      </c>
      <c r="S101" t="str">
        <f>CONCATENATE(Tabelle1[[#This Row],[MAX]],Tabelle1[[#This Row],[MIN]])</f>
        <v/>
      </c>
    </row>
    <row r="102" spans="1:19" x14ac:dyDescent="0.25">
      <c r="A102" t="s">
        <v>394</v>
      </c>
      <c r="B102" t="s">
        <v>637</v>
      </c>
      <c r="C102" t="s">
        <v>243</v>
      </c>
      <c r="D102" t="s">
        <v>674</v>
      </c>
      <c r="E102" s="6">
        <v>44488</v>
      </c>
      <c r="F102" t="s">
        <v>655</v>
      </c>
      <c r="G102" t="s">
        <v>654</v>
      </c>
      <c r="H102" t="s">
        <v>242</v>
      </c>
      <c r="I102" t="s">
        <v>673</v>
      </c>
      <c r="J102">
        <v>81</v>
      </c>
      <c r="K102">
        <v>21.2</v>
      </c>
      <c r="L102" t="s">
        <v>652</v>
      </c>
      <c r="M102" t="s">
        <v>652</v>
      </c>
      <c r="N102" t="s">
        <v>652</v>
      </c>
      <c r="O102" t="s">
        <v>242</v>
      </c>
      <c r="P102" t="s">
        <v>672</v>
      </c>
      <c r="Q102" t="s">
        <v>831</v>
      </c>
      <c r="R102" t="s">
        <v>845</v>
      </c>
      <c r="S102" t="str">
        <f>CONCATENATE(Tabelle1[[#This Row],[MAX]],Tabelle1[[#This Row],[MIN]])</f>
        <v>MAX</v>
      </c>
    </row>
    <row r="103" spans="1:19" x14ac:dyDescent="0.25">
      <c r="A103" t="s">
        <v>671</v>
      </c>
      <c r="B103" t="s">
        <v>416</v>
      </c>
      <c r="C103" t="s">
        <v>243</v>
      </c>
      <c r="D103" t="s">
        <v>670</v>
      </c>
      <c r="E103" s="6">
        <v>44501</v>
      </c>
      <c r="F103" t="s">
        <v>655</v>
      </c>
      <c r="G103" t="s">
        <v>654</v>
      </c>
      <c r="H103" t="s">
        <v>242</v>
      </c>
      <c r="I103" t="s">
        <v>669</v>
      </c>
      <c r="J103">
        <v>500</v>
      </c>
      <c r="K103">
        <v>1000</v>
      </c>
      <c r="L103" t="s">
        <v>652</v>
      </c>
      <c r="M103" t="s">
        <v>658</v>
      </c>
      <c r="N103" t="s">
        <v>668</v>
      </c>
      <c r="O103" t="s">
        <v>652</v>
      </c>
      <c r="P103" t="s">
        <v>652</v>
      </c>
      <c r="Q103" t="s">
        <v>831</v>
      </c>
      <c r="R103" t="s">
        <v>830</v>
      </c>
      <c r="S103" t="str">
        <f>CONCATENATE(Tabelle1[[#This Row],[MAX]],Tabelle1[[#This Row],[MIN]])</f>
        <v>MAXMIN</v>
      </c>
    </row>
    <row r="104" spans="1:19" x14ac:dyDescent="0.25">
      <c r="A104" t="s">
        <v>396</v>
      </c>
      <c r="B104" t="s">
        <v>639</v>
      </c>
      <c r="C104" t="s">
        <v>243</v>
      </c>
      <c r="D104" t="s">
        <v>665</v>
      </c>
      <c r="E104" s="6">
        <v>44558</v>
      </c>
      <c r="F104" t="s">
        <v>655</v>
      </c>
      <c r="G104" t="s">
        <v>664</v>
      </c>
      <c r="H104" t="s">
        <v>242</v>
      </c>
      <c r="I104" t="s">
        <v>663</v>
      </c>
      <c r="K104">
        <v>5.17</v>
      </c>
      <c r="L104" t="s">
        <v>652</v>
      </c>
      <c r="M104" t="s">
        <v>667</v>
      </c>
      <c r="N104" t="s">
        <v>666</v>
      </c>
      <c r="O104" t="s">
        <v>242</v>
      </c>
      <c r="P104" t="s">
        <v>652</v>
      </c>
      <c r="R104" t="s">
        <v>830</v>
      </c>
      <c r="S104" t="str">
        <f>CONCATENATE(Tabelle1[[#This Row],[MAX]],Tabelle1[[#This Row],[MIN]])</f>
        <v>MIN</v>
      </c>
    </row>
    <row r="105" spans="1:19" x14ac:dyDescent="0.25">
      <c r="A105" t="s">
        <v>396</v>
      </c>
      <c r="B105" t="s">
        <v>639</v>
      </c>
      <c r="C105" t="s">
        <v>243</v>
      </c>
      <c r="D105" t="s">
        <v>665</v>
      </c>
      <c r="E105" s="6">
        <v>44558</v>
      </c>
      <c r="F105" t="s">
        <v>655</v>
      </c>
      <c r="G105" t="s">
        <v>664</v>
      </c>
      <c r="H105" t="s">
        <v>242</v>
      </c>
      <c r="I105" t="s">
        <v>663</v>
      </c>
      <c r="K105">
        <v>9.5939999999999994</v>
      </c>
      <c r="L105" t="s">
        <v>652</v>
      </c>
      <c r="M105" t="s">
        <v>662</v>
      </c>
      <c r="N105" t="s">
        <v>661</v>
      </c>
      <c r="O105" t="s">
        <v>242</v>
      </c>
      <c r="P105" t="s">
        <v>652</v>
      </c>
      <c r="Q105" t="s">
        <v>831</v>
      </c>
      <c r="S105" t="str">
        <f>CONCATENATE(Tabelle1[[#This Row],[MAX]],Tabelle1[[#This Row],[MIN]])</f>
        <v>MAX</v>
      </c>
    </row>
    <row r="106" spans="1:19" x14ac:dyDescent="0.25">
      <c r="A106" t="s">
        <v>398</v>
      </c>
      <c r="B106" t="s">
        <v>419</v>
      </c>
      <c r="C106" t="s">
        <v>243</v>
      </c>
      <c r="D106" t="s">
        <v>660</v>
      </c>
      <c r="E106" s="6">
        <v>45063</v>
      </c>
      <c r="F106" t="s">
        <v>655</v>
      </c>
      <c r="G106" t="s">
        <v>654</v>
      </c>
      <c r="H106" t="s">
        <v>242</v>
      </c>
      <c r="I106" t="s">
        <v>659</v>
      </c>
      <c r="K106">
        <v>6.9740000000000002</v>
      </c>
      <c r="L106" t="s">
        <v>652</v>
      </c>
      <c r="M106" t="s">
        <v>658</v>
      </c>
      <c r="N106" t="s">
        <v>657</v>
      </c>
      <c r="O106" t="s">
        <v>652</v>
      </c>
      <c r="P106" t="s">
        <v>652</v>
      </c>
      <c r="Q106" t="s">
        <v>831</v>
      </c>
      <c r="R106" t="s">
        <v>830</v>
      </c>
      <c r="S106" t="str">
        <f>CONCATENATE(Tabelle1[[#This Row],[MAX]],Tabelle1[[#This Row],[MIN]])</f>
        <v>MAXMIN</v>
      </c>
    </row>
    <row r="107" spans="1:19" x14ac:dyDescent="0.25">
      <c r="A107" t="s">
        <v>44</v>
      </c>
      <c r="B107" t="s">
        <v>426</v>
      </c>
      <c r="C107" t="s">
        <v>243</v>
      </c>
      <c r="D107" t="s">
        <v>656</v>
      </c>
      <c r="E107" s="6">
        <v>44873</v>
      </c>
      <c r="F107" t="s">
        <v>655</v>
      </c>
      <c r="G107" t="s">
        <v>654</v>
      </c>
      <c r="H107" t="s">
        <v>242</v>
      </c>
      <c r="I107" t="s">
        <v>652</v>
      </c>
      <c r="L107" t="s">
        <v>652</v>
      </c>
      <c r="M107" t="s">
        <v>652</v>
      </c>
      <c r="N107" t="s">
        <v>652</v>
      </c>
      <c r="O107" t="s">
        <v>242</v>
      </c>
      <c r="P107" t="s">
        <v>653</v>
      </c>
      <c r="S107" t="str">
        <f>CONCATENATE(Tabelle1[[#This Row],[MAX]],Tabelle1[[#This Row],[MIN]])</f>
        <v/>
      </c>
    </row>
    <row r="108" spans="1:19" x14ac:dyDescent="0.25">
      <c r="A108" t="s">
        <v>518</v>
      </c>
      <c r="B108" t="s">
        <v>518</v>
      </c>
      <c r="C108" t="s">
        <v>243</v>
      </c>
      <c r="D108" t="s">
        <v>649</v>
      </c>
      <c r="I108" t="s">
        <v>846</v>
      </c>
      <c r="J108">
        <v>53.4</v>
      </c>
      <c r="K108">
        <v>464.1</v>
      </c>
      <c r="R108" t="s">
        <v>830</v>
      </c>
      <c r="S108" t="str">
        <f>CONCATENATE(Tabelle1[[#This Row],[MAX]],Tabelle1[[#This Row],[MIN]])</f>
        <v>MIN</v>
      </c>
    </row>
    <row r="109" spans="1:19" x14ac:dyDescent="0.25">
      <c r="A109" t="s">
        <v>518</v>
      </c>
      <c r="B109" t="s">
        <v>518</v>
      </c>
      <c r="C109" t="s">
        <v>243</v>
      </c>
      <c r="D109" t="s">
        <v>649</v>
      </c>
      <c r="I109" t="s">
        <v>846</v>
      </c>
      <c r="J109">
        <v>258.39999999999998</v>
      </c>
      <c r="K109">
        <v>316.89999999999998</v>
      </c>
      <c r="S109" t="str">
        <f>CONCATENATE(Tabelle1[[#This Row],[MAX]],Tabelle1[[#This Row],[MIN]])</f>
        <v/>
      </c>
    </row>
    <row r="110" spans="1:19" x14ac:dyDescent="0.25">
      <c r="A110" t="s">
        <v>518</v>
      </c>
      <c r="B110" t="s">
        <v>518</v>
      </c>
      <c r="C110" t="s">
        <v>243</v>
      </c>
      <c r="D110" t="s">
        <v>649</v>
      </c>
      <c r="I110" t="s">
        <v>846</v>
      </c>
      <c r="J110">
        <v>81.7</v>
      </c>
      <c r="K110">
        <v>471.7</v>
      </c>
      <c r="Q110" t="s">
        <v>831</v>
      </c>
      <c r="S110" t="str">
        <f>CONCATENATE(Tabelle1[[#This Row],[MAX]],Tabelle1[[#This Row],[MIN]])</f>
        <v>MAX</v>
      </c>
    </row>
  </sheetData>
  <hyperlinks>
    <hyperlink ref="D108" r:id="rId1"/>
    <hyperlink ref="D109" r:id="rId2"/>
    <hyperlink ref="D110" r:id="rId3"/>
  </hyperlinks>
  <pageMargins left="0.7" right="0.7" top="0.78740157499999996" bottom="0.78740157499999996" header="0.3" footer="0.3"/>
  <legacy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pane xSplit="1" ySplit="2" topLeftCell="B3" activePane="bottomRight" state="frozen"/>
      <selection pane="topRight" activeCell="B1" sqref="B1"/>
      <selection pane="bottomLeft" activeCell="A3" sqref="A3"/>
      <selection pane="bottomRight" activeCell="I106" sqref="I106"/>
    </sheetView>
  </sheetViews>
  <sheetFormatPr baseColWidth="10" defaultRowHeight="15" x14ac:dyDescent="0.25"/>
  <cols>
    <col min="7" max="8" width="11.85546875" customWidth="1"/>
    <col min="14" max="14" width="20.7109375" customWidth="1"/>
  </cols>
  <sheetData>
    <row r="1" spans="1:25" ht="45" customHeight="1" x14ac:dyDescent="0.25">
      <c r="D1" t="s">
        <v>655</v>
      </c>
      <c r="I1" t="s">
        <v>870</v>
      </c>
      <c r="L1" t="s">
        <v>863</v>
      </c>
      <c r="N1" t="s">
        <v>866</v>
      </c>
      <c r="O1" t="s">
        <v>849</v>
      </c>
      <c r="R1" t="s">
        <v>871</v>
      </c>
      <c r="X1" t="s">
        <v>650</v>
      </c>
    </row>
    <row r="2" spans="1:25" x14ac:dyDescent="0.25">
      <c r="A2" t="s">
        <v>404</v>
      </c>
      <c r="B2" t="s">
        <v>457</v>
      </c>
      <c r="C2" t="s">
        <v>408</v>
      </c>
      <c r="D2" t="s">
        <v>831</v>
      </c>
      <c r="E2" t="s">
        <v>830</v>
      </c>
      <c r="F2" t="s">
        <v>847</v>
      </c>
      <c r="G2" t="s">
        <v>855</v>
      </c>
      <c r="H2" t="s">
        <v>856</v>
      </c>
      <c r="I2" t="s">
        <v>850</v>
      </c>
      <c r="J2" t="s">
        <v>851</v>
      </c>
      <c r="K2" t="s">
        <v>852</v>
      </c>
      <c r="L2" t="s">
        <v>865</v>
      </c>
      <c r="M2" t="s">
        <v>864</v>
      </c>
      <c r="N2" t="s">
        <v>867</v>
      </c>
      <c r="O2" t="s">
        <v>651</v>
      </c>
      <c r="P2" t="s">
        <v>853</v>
      </c>
      <c r="Q2" t="s">
        <v>854</v>
      </c>
      <c r="R2" t="s">
        <v>862</v>
      </c>
      <c r="S2" t="s">
        <v>872</v>
      </c>
      <c r="T2" t="s">
        <v>857</v>
      </c>
      <c r="W2">
        <v>-6365.8441280613406</v>
      </c>
      <c r="X2" t="s">
        <v>643</v>
      </c>
      <c r="Y2">
        <f>W3/W2</f>
        <v>0.311820390205582</v>
      </c>
    </row>
    <row r="3" spans="1:25" x14ac:dyDescent="0.25">
      <c r="A3" t="str">
        <f>planned_cdr_ltleds!A2</f>
        <v>Andorra</v>
      </c>
      <c r="B3" t="str">
        <f>planned_cdr_ltleds!B2</f>
        <v>AND</v>
      </c>
      <c r="C3" t="str">
        <f>planned_cdr_ltleds!C2</f>
        <v>No</v>
      </c>
      <c r="D3" t="str">
        <f>CONCATENATE(Tabelle2[[#This Row],[EU]],planned_cdr_ltleds!Q2)</f>
        <v>NoMAX</v>
      </c>
      <c r="E3" t="str">
        <f>CONCATENATE(Tabelle2[[#This Row],[EU]],planned_cdr_ltleds!R2)</f>
        <v>NoMIN</v>
      </c>
      <c r="F3" t="str">
        <f>planned_cdr_ltleds!S2</f>
        <v>MAXMIN</v>
      </c>
      <c r="G3" s="2">
        <f>-planned_cdr_ltleds!J2</f>
        <v>0</v>
      </c>
      <c r="H3" s="2">
        <f>-planned_cdr_ltleds!K2</f>
        <v>-0.14000000000000001</v>
      </c>
      <c r="I3" s="2">
        <f>VLOOKUP(Tabelle2[[#This Row],[iso]],current_cdr_nghgi!$B$2:$J$199,5,FALSE)</f>
        <v>0</v>
      </c>
      <c r="J3" s="2">
        <f>VLOOKUP(Tabelle2[[#This Row],[iso]],current_cdr_nghgi!$B$2:$J$199,8,FALSE)</f>
        <v>0</v>
      </c>
      <c r="K3" s="2">
        <f>SUM(Tabelle2[[#This Row],[lulucf_historical_forest]:[lulucf_historical_other]])</f>
        <v>0</v>
      </c>
      <c r="L3" s="2">
        <f>Tabelle2[[#This Row],[lulucf_lts]]-Tabelle2[[#This Row],[lulucf_lts_other]]</f>
        <v>-0.14000000000000001</v>
      </c>
      <c r="M3" s="2">
        <f>IF(Tabelle2[[#This Row],[lulucf_historical_other]]&gt;Tabelle2[[#This Row],[lulucf_lts]],Tabelle2[[#This Row],[lulucf_historical_other]],Tabelle2[[#This Row],[lulucf_lts]])</f>
        <v>0</v>
      </c>
      <c r="N3" s="2">
        <f>Tabelle2[[#This Row],[lulucf_lts_forest]]-Tabelle2[[#This Row],[lulucf_historical_forest]]</f>
        <v>-0.14000000000000001</v>
      </c>
      <c r="O3" s="2">
        <f t="shared" ref="O3:O34" si="0">$Y$2</f>
        <v>0.311820390205582</v>
      </c>
      <c r="P3" s="2">
        <f>Tabelle2[[#This Row],[correction]]*Tabelle2[[#This Row],[lulucf_historical_forest]]</f>
        <v>0</v>
      </c>
      <c r="Q3" s="2">
        <f>Tabelle2[[#This Row],[lulucf_historical_forest_direct]]+Tabelle2[[#This Row],[lulucf_historical_other]]</f>
        <v>0</v>
      </c>
      <c r="R3" s="2">
        <f>IF(Tabelle2[[#This Row],[lulucf_forest_difference]]&gt;0,(Tabelle2[[#This Row],[correction]]*Tabelle2[[#This Row],[lulucf_lts_forest]]),(Tabelle2[[#This Row],[correction]]*Tabelle2[[#This Row],[lulucf_historical_forest]])+Tabelle2[[#This Row],[lulucf_forest_difference]])</f>
        <v>-0.14000000000000001</v>
      </c>
      <c r="S3" s="2">
        <f>Tabelle2[[#This Row],[lulucf_lts_forest_direct]]+Tabelle2[[#This Row],[lulucf_lts_other]]</f>
        <v>-0.14000000000000001</v>
      </c>
      <c r="T3" s="2">
        <f>Tabelle2[[#This Row],[lulucf_lts_total_direct]]-Tabelle2[[#This Row],[lulucf_historical_total_direct]]</f>
        <v>-0.14000000000000001</v>
      </c>
      <c r="W3">
        <v>-1985</v>
      </c>
    </row>
    <row r="4" spans="1:25" hidden="1" x14ac:dyDescent="0.25">
      <c r="A4" t="str">
        <f>planned_cdr_ltleds!A3</f>
        <v>Argentina</v>
      </c>
      <c r="B4" t="str">
        <f>planned_cdr_ltleds!B3</f>
        <v>ARG</v>
      </c>
      <c r="C4" t="str">
        <f>planned_cdr_ltleds!C3</f>
        <v>No</v>
      </c>
      <c r="D4" t="str">
        <f>CONCATENATE(Tabelle2[[#This Row],[EU]],planned_cdr_ltleds!Q3)</f>
        <v>No</v>
      </c>
      <c r="E4" t="str">
        <f>CONCATENATE(Tabelle2[[#This Row],[EU]],planned_cdr_ltleds!R3)</f>
        <v>No</v>
      </c>
      <c r="F4" t="str">
        <f>planned_cdr_ltleds!S3</f>
        <v/>
      </c>
      <c r="G4">
        <f>-planned_cdr_ltleds!J3</f>
        <v>0</v>
      </c>
      <c r="H4">
        <f>-planned_cdr_ltleds!K3</f>
        <v>0</v>
      </c>
      <c r="I4">
        <f>VLOOKUP(Tabelle2[[#This Row],[iso]],current_cdr_nghgi!$B$2:$J$199,5,FALSE)</f>
        <v>-10.644</v>
      </c>
      <c r="J4">
        <f>VLOOKUP(Tabelle2[[#This Row],[iso]],current_cdr_nghgi!$B$2:$J$199,8,FALSE)</f>
        <v>0</v>
      </c>
      <c r="K4">
        <f>SUM(Tabelle2[[#This Row],[lulucf_historical_forest]:[lulucf_historical_other]])</f>
        <v>-10.644</v>
      </c>
      <c r="L4">
        <f>Tabelle2[[#This Row],[lulucf_lts]]-Tabelle2[[#This Row],[lulucf_lts_other]]</f>
        <v>0</v>
      </c>
      <c r="M4">
        <f>Tabelle2[[#This Row],[lulucf_historical_other]]</f>
        <v>0</v>
      </c>
      <c r="N4">
        <f>Tabelle2[[#This Row],[lulucf_lts_forest]]-Tabelle2[[#This Row],[lulucf_historical_forest]]</f>
        <v>10.644</v>
      </c>
      <c r="O4">
        <f t="shared" si="0"/>
        <v>0.311820390205582</v>
      </c>
      <c r="P4">
        <f>Tabelle2[[#This Row],[correction]]*Tabelle2[[#This Row],[lulucf_historical_forest]]</f>
        <v>-3.3190162333482149</v>
      </c>
      <c r="Q4">
        <f>Tabelle2[[#This Row],[lulucf_historical_forest_direct]]+Tabelle2[[#This Row],[lulucf_historical_other]]</f>
        <v>-3.3190162333482149</v>
      </c>
      <c r="R4">
        <f>IF(Tabelle2[[#This Row],[lulucf_forest_difference]]&gt;0,(Tabelle2[[#This Row],[correction]]*Tabelle2[[#This Row],[lulucf_lts_forest]]),(Tabelle2[[#This Row],[correction]]*Tabelle2[[#This Row],[lulucf_historical_forest]])+Tabelle2[[#This Row],[lulucf_forest_difference]])</f>
        <v>0</v>
      </c>
      <c r="S4" t="b">
        <f>IF(Tabelle2[[#This Row],[lulucf_forest_difference]]&lt;0,Tabelle2[[#This Row],[lulucf_lts]]-#REF!)</f>
        <v>0</v>
      </c>
      <c r="T4">
        <f>Tabelle2[[#This Row],[lulucf_lts_total_direct]]-Tabelle2[[#This Row],[lulucf_historical_total_direct]]</f>
        <v>3.3190162333482149</v>
      </c>
    </row>
    <row r="5" spans="1:25" x14ac:dyDescent="0.25">
      <c r="A5" t="str">
        <f>planned_cdr_ltleds!A4</f>
        <v>Australia</v>
      </c>
      <c r="B5" t="str">
        <f>planned_cdr_ltleds!B4</f>
        <v>AUS</v>
      </c>
      <c r="C5" t="str">
        <f>planned_cdr_ltleds!C4</f>
        <v>No</v>
      </c>
      <c r="D5" t="str">
        <f>CONCATENATE(Tabelle2[[#This Row],[EU]],planned_cdr_ltleds!Q4)</f>
        <v>No</v>
      </c>
      <c r="E5" t="str">
        <f>CONCATENATE(Tabelle2[[#This Row],[EU]],planned_cdr_ltleds!R4)</f>
        <v>NoMIN</v>
      </c>
      <c r="F5" t="str">
        <f>planned_cdr_ltleds!S4</f>
        <v>MIN</v>
      </c>
      <c r="G5" s="2">
        <f>-planned_cdr_ltleds!J4</f>
        <v>-43</v>
      </c>
      <c r="H5" s="2">
        <f>-planned_cdr_ltleds!K4</f>
        <v>-63</v>
      </c>
      <c r="I5" s="2">
        <f>VLOOKUP(Tabelle2[[#This Row],[iso]],current_cdr_nghgi!$B$2:$J$199,5,FALSE)</f>
        <v>-68.728360264940903</v>
      </c>
      <c r="J5" s="2">
        <f>VLOOKUP(Tabelle2[[#This Row],[iso]],current_cdr_nghgi!$B$2:$J$199,8,FALSE)</f>
        <v>-7.0946254995583207</v>
      </c>
      <c r="K5" s="2">
        <f>SUM(Tabelle2[[#This Row],[lulucf_historical_forest]:[lulucf_historical_other]])</f>
        <v>-75.822985764499222</v>
      </c>
      <c r="L5" s="2">
        <f>Tabelle2[[#This Row],[lulucf_lts]]-Tabelle2[[#This Row],[lulucf_lts_other]]</f>
        <v>-55.905374500441681</v>
      </c>
      <c r="M5" s="2">
        <f>IF(Tabelle2[[#This Row],[lulucf_historical_other]]&gt;Tabelle2[[#This Row],[lulucf_lts]],Tabelle2[[#This Row],[lulucf_historical_other]],Tabelle2[[#This Row],[lulucf_lts]])</f>
        <v>-7.0946254995583207</v>
      </c>
      <c r="N5" s="2">
        <f>Tabelle2[[#This Row],[lulucf_lts_forest]]-Tabelle2[[#This Row],[lulucf_historical_forest]]</f>
        <v>12.822985764499222</v>
      </c>
      <c r="O5" s="2">
        <f t="shared" si="0"/>
        <v>0.311820390205582</v>
      </c>
      <c r="P5" s="2">
        <f>Tabelle2[[#This Row],[correction]]*Tabelle2[[#This Row],[lulucf_historical_forest]]</f>
        <v>-21.430904116003688</v>
      </c>
      <c r="Q5" s="2">
        <f>Tabelle2[[#This Row],[lulucf_historical_forest_direct]]+Tabelle2[[#This Row],[lulucf_historical_other]]</f>
        <v>-28.525529615562007</v>
      </c>
      <c r="R5" s="2">
        <f>IF(Tabelle2[[#This Row],[lulucf_forest_difference]]&gt;0,(Tabelle2[[#This Row],[correction]]*Tabelle2[[#This Row],[lulucf_lts_forest]]),(Tabelle2[[#This Row],[correction]]*Tabelle2[[#This Row],[lulucf_historical_forest]])+Tabelle2[[#This Row],[lulucf_forest_difference]])</f>
        <v>-17.432435691316918</v>
      </c>
      <c r="S5" s="2">
        <f>Tabelle2[[#This Row],[lulucf_lts_forest_direct]]+Tabelle2[[#This Row],[lulucf_lts_other]]</f>
        <v>-24.527061190875237</v>
      </c>
      <c r="T5" s="2">
        <f>Tabelle2[[#This Row],[lulucf_lts_total_direct]]-Tabelle2[[#This Row],[lulucf_historical_total_direct]]</f>
        <v>3.9984684246867701</v>
      </c>
    </row>
    <row r="6" spans="1:25" x14ac:dyDescent="0.25">
      <c r="A6" t="str">
        <f>planned_cdr_ltleds!A5</f>
        <v>Australia</v>
      </c>
      <c r="B6" t="str">
        <f>planned_cdr_ltleds!B5</f>
        <v>AUS</v>
      </c>
      <c r="C6" t="str">
        <f>planned_cdr_ltleds!C5</f>
        <v>No</v>
      </c>
      <c r="D6" t="str">
        <f>CONCATENATE(Tabelle2[[#This Row],[EU]],planned_cdr_ltleds!Q5)</f>
        <v>NoMAX</v>
      </c>
      <c r="E6" t="str">
        <f>CONCATENATE(Tabelle2[[#This Row],[EU]],planned_cdr_ltleds!R5)</f>
        <v>No</v>
      </c>
      <c r="F6" t="str">
        <f>planned_cdr_ltleds!S5</f>
        <v>MAX</v>
      </c>
      <c r="G6" s="2">
        <f>-planned_cdr_ltleds!J5</f>
        <v>-54</v>
      </c>
      <c r="H6" s="2">
        <f>-planned_cdr_ltleds!K5</f>
        <v>-78</v>
      </c>
      <c r="I6" s="2">
        <f>VLOOKUP(Tabelle2[[#This Row],[iso]],current_cdr_nghgi!$B$2:$J$199,5,FALSE)</f>
        <v>-68.728360264940903</v>
      </c>
      <c r="J6" s="2">
        <f>VLOOKUP(Tabelle2[[#This Row],[iso]],current_cdr_nghgi!$B$2:$J$199,8,FALSE)</f>
        <v>-7.0946254995583207</v>
      </c>
      <c r="K6" s="2">
        <f>SUM(Tabelle2[[#This Row],[lulucf_historical_forest]:[lulucf_historical_other]])</f>
        <v>-75.822985764499222</v>
      </c>
      <c r="L6" s="2">
        <f>Tabelle2[[#This Row],[lulucf_lts]]-Tabelle2[[#This Row],[lulucf_lts_other]]</f>
        <v>-70.905374500441681</v>
      </c>
      <c r="M6" s="2">
        <f>IF(Tabelle2[[#This Row],[lulucf_historical_other]]&gt;Tabelle2[[#This Row],[lulucf_lts]],Tabelle2[[#This Row],[lulucf_historical_other]],Tabelle2[[#This Row],[lulucf_lts]])</f>
        <v>-7.0946254995583207</v>
      </c>
      <c r="N6" s="2">
        <f>Tabelle2[[#This Row],[lulucf_lts_forest]]-Tabelle2[[#This Row],[lulucf_historical_forest]]</f>
        <v>-2.1770142355007778</v>
      </c>
      <c r="O6" s="2">
        <f t="shared" si="0"/>
        <v>0.311820390205582</v>
      </c>
      <c r="P6" s="2">
        <f>Tabelle2[[#This Row],[correction]]*Tabelle2[[#This Row],[lulucf_historical_forest]]</f>
        <v>-21.430904116003688</v>
      </c>
      <c r="Q6" s="2">
        <f>Tabelle2[[#This Row],[lulucf_historical_forest_direct]]+Tabelle2[[#This Row],[lulucf_historical_other]]</f>
        <v>-28.525529615562007</v>
      </c>
      <c r="R6" s="2">
        <f>IF(Tabelle2[[#This Row],[lulucf_forest_difference]]&gt;0,(Tabelle2[[#This Row],[correction]]*Tabelle2[[#This Row],[lulucf_lts_forest]]),(Tabelle2[[#This Row],[correction]]*Tabelle2[[#This Row],[lulucf_historical_forest]])+Tabelle2[[#This Row],[lulucf_forest_difference]])</f>
        <v>-23.607918351504466</v>
      </c>
      <c r="S6" s="2">
        <f>Tabelle2[[#This Row],[lulucf_lts_forest_direct]]+Tabelle2[[#This Row],[lulucf_lts_other]]</f>
        <v>-30.702543851062785</v>
      </c>
      <c r="T6" s="2">
        <f>Tabelle2[[#This Row],[lulucf_lts_total_direct]]-Tabelle2[[#This Row],[lulucf_historical_total_direct]]</f>
        <v>-2.1770142355007778</v>
      </c>
    </row>
    <row r="7" spans="1:25" hidden="1" x14ac:dyDescent="0.25">
      <c r="A7" t="str">
        <f>planned_cdr_ltleds!A6</f>
        <v>Australia</v>
      </c>
      <c r="B7" t="str">
        <f>planned_cdr_ltleds!B6</f>
        <v>AUS</v>
      </c>
      <c r="C7" t="str">
        <f>planned_cdr_ltleds!C6</f>
        <v>No</v>
      </c>
      <c r="D7" t="str">
        <f>CONCATENATE(Tabelle2[[#This Row],[EU]],planned_cdr_ltleds!Q6)</f>
        <v>No</v>
      </c>
      <c r="E7" t="str">
        <f>CONCATENATE(Tabelle2[[#This Row],[EU]],planned_cdr_ltleds!R6)</f>
        <v>No</v>
      </c>
      <c r="F7" t="str">
        <f>planned_cdr_ltleds!S6</f>
        <v/>
      </c>
      <c r="G7">
        <f>-planned_cdr_ltleds!J6</f>
        <v>-64</v>
      </c>
      <c r="H7">
        <f>-planned_cdr_ltleds!K6</f>
        <v>-204</v>
      </c>
      <c r="I7">
        <f>VLOOKUP(Tabelle2[[#This Row],[iso]],current_cdr_nghgi!$B$2:$J$199,5,FALSE)</f>
        <v>-68.728360264940903</v>
      </c>
      <c r="J7">
        <f>VLOOKUP(Tabelle2[[#This Row],[iso]],current_cdr_nghgi!$B$2:$J$199,8,FALSE)</f>
        <v>-7.0946254995583207</v>
      </c>
      <c r="K7">
        <f>SUM(Tabelle2[[#This Row],[lulucf_historical_forest]:[lulucf_historical_other]])</f>
        <v>-75.822985764499222</v>
      </c>
      <c r="L7">
        <f>Tabelle2[[#This Row],[lulucf_lts]]-Tabelle2[[#This Row],[lulucf_lts_other]]</f>
        <v>-196.90537450044167</v>
      </c>
      <c r="M7">
        <f>Tabelle2[[#This Row],[lulucf_historical_other]]</f>
        <v>-7.0946254995583207</v>
      </c>
      <c r="N7">
        <f>Tabelle2[[#This Row],[lulucf_lts_forest]]-Tabelle2[[#This Row],[lulucf_historical_forest]]</f>
        <v>-128.17701423550076</v>
      </c>
      <c r="O7">
        <f t="shared" si="0"/>
        <v>0.311820390205582</v>
      </c>
      <c r="P7">
        <f>Tabelle2[[#This Row],[correction]]*Tabelle2[[#This Row],[lulucf_historical_forest]]</f>
        <v>-21.430904116003688</v>
      </c>
      <c r="Q7">
        <f>Tabelle2[[#This Row],[lulucf_historical_forest_direct]]+Tabelle2[[#This Row],[lulucf_historical_other]]</f>
        <v>-28.525529615562007</v>
      </c>
      <c r="R7">
        <f>IF(Tabelle2[[#This Row],[lulucf_forest_difference]]&gt;0,(Tabelle2[[#This Row],[correction]]*Tabelle2[[#This Row],[lulucf_lts_forest]]),(Tabelle2[[#This Row],[correction]]*Tabelle2[[#This Row],[lulucf_historical_forest]])+Tabelle2[[#This Row],[lulucf_forest_difference]])</f>
        <v>-149.60791835150445</v>
      </c>
      <c r="S7" t="e">
        <f>IF(Tabelle2[[#This Row],[lulucf_forest_difference]]&lt;0,Tabelle2[[#This Row],[lulucf_lts]]-#REF!)</f>
        <v>#REF!</v>
      </c>
      <c r="T7" t="e">
        <f>Tabelle2[[#This Row],[lulucf_lts_total_direct]]-Tabelle2[[#This Row],[lulucf_historical_total_direct]]</f>
        <v>#REF!</v>
      </c>
    </row>
    <row r="8" spans="1:25" hidden="1" x14ac:dyDescent="0.25">
      <c r="A8" t="str">
        <f>planned_cdr_ltleds!A7</f>
        <v>Australia</v>
      </c>
      <c r="B8" t="str">
        <f>planned_cdr_ltleds!B7</f>
        <v>AUS</v>
      </c>
      <c r="C8" t="str">
        <f>planned_cdr_ltleds!C7</f>
        <v>No</v>
      </c>
      <c r="D8" t="str">
        <f>CONCATENATE(Tabelle2[[#This Row],[EU]],planned_cdr_ltleds!Q7)</f>
        <v>No</v>
      </c>
      <c r="E8" t="str">
        <f>CONCATENATE(Tabelle2[[#This Row],[EU]],planned_cdr_ltleds!R7)</f>
        <v>No</v>
      </c>
      <c r="F8" t="str">
        <f>planned_cdr_ltleds!S7</f>
        <v/>
      </c>
      <c r="G8">
        <f>-planned_cdr_ltleds!J7</f>
        <v>-216</v>
      </c>
      <c r="H8">
        <f>-planned_cdr_ltleds!K7</f>
        <v>-3</v>
      </c>
      <c r="I8">
        <f>VLOOKUP(Tabelle2[[#This Row],[iso]],current_cdr_nghgi!$B$2:$J$199,5,FALSE)</f>
        <v>-68.728360264940903</v>
      </c>
      <c r="J8">
        <f>VLOOKUP(Tabelle2[[#This Row],[iso]],current_cdr_nghgi!$B$2:$J$199,8,FALSE)</f>
        <v>-7.0946254995583207</v>
      </c>
      <c r="K8">
        <f>SUM(Tabelle2[[#This Row],[lulucf_historical_forest]:[lulucf_historical_other]])</f>
        <v>-75.822985764499222</v>
      </c>
      <c r="L8">
        <f>Tabelle2[[#This Row],[lulucf_lts]]-Tabelle2[[#This Row],[lulucf_lts_other]]</f>
        <v>4.0946254995583207</v>
      </c>
      <c r="M8">
        <f>Tabelle2[[#This Row],[lulucf_historical_other]]</f>
        <v>-7.0946254995583207</v>
      </c>
      <c r="N8">
        <f>Tabelle2[[#This Row],[lulucf_lts_forest]]-Tabelle2[[#This Row],[lulucf_historical_forest]]</f>
        <v>72.822985764499222</v>
      </c>
      <c r="O8">
        <f t="shared" si="0"/>
        <v>0.311820390205582</v>
      </c>
      <c r="P8">
        <f>Tabelle2[[#This Row],[correction]]*Tabelle2[[#This Row],[lulucf_historical_forest]]</f>
        <v>-21.430904116003688</v>
      </c>
      <c r="Q8">
        <f>Tabelle2[[#This Row],[lulucf_historical_forest_direct]]+Tabelle2[[#This Row],[lulucf_historical_other]]</f>
        <v>-28.525529615562007</v>
      </c>
      <c r="R8">
        <f>IF(Tabelle2[[#This Row],[lulucf_forest_difference]]&gt;0,(Tabelle2[[#This Row],[correction]]*Tabelle2[[#This Row],[lulucf_lts_forest]]),(Tabelle2[[#This Row],[correction]]*Tabelle2[[#This Row],[lulucf_historical_forest]])+Tabelle2[[#This Row],[lulucf_forest_difference]])</f>
        <v>1.2767877210180016</v>
      </c>
      <c r="S8" t="b">
        <f>IF(Tabelle2[[#This Row],[lulucf_forest_difference]]&lt;0,Tabelle2[[#This Row],[lulucf_lts]]-#REF!)</f>
        <v>0</v>
      </c>
      <c r="T8">
        <f>Tabelle2[[#This Row],[lulucf_lts_total_direct]]-Tabelle2[[#This Row],[lulucf_historical_total_direct]]</f>
        <v>28.525529615562007</v>
      </c>
    </row>
    <row r="9" spans="1:25" hidden="1" x14ac:dyDescent="0.25">
      <c r="A9" t="str">
        <f>planned_cdr_ltleds!A8</f>
        <v>Austria</v>
      </c>
      <c r="B9" t="str">
        <f>planned_cdr_ltleds!B8</f>
        <v>AUT</v>
      </c>
      <c r="C9" t="str">
        <f>planned_cdr_ltleds!C8</f>
        <v>Yes</v>
      </c>
      <c r="D9" t="str">
        <f>CONCATENATE(Tabelle2[[#This Row],[EU]],planned_cdr_ltleds!Q8)</f>
        <v>Yes</v>
      </c>
      <c r="E9" t="str">
        <f>CONCATENATE(Tabelle2[[#This Row],[EU]],planned_cdr_ltleds!R8)</f>
        <v>YesMIN</v>
      </c>
      <c r="F9" t="str">
        <f>planned_cdr_ltleds!S8</f>
        <v>MIN</v>
      </c>
      <c r="G9">
        <f>-planned_cdr_ltleds!J8</f>
        <v>-8.8000000000000007</v>
      </c>
      <c r="H9">
        <f>-planned_cdr_ltleds!K8</f>
        <v>-3.9</v>
      </c>
      <c r="I9">
        <f>VLOOKUP(Tabelle2[[#This Row],[iso]],current_cdr_nghgi!$B$2:$J$199,5,FALSE)</f>
        <v>-3.9916757526319504</v>
      </c>
      <c r="J9">
        <f>VLOOKUP(Tabelle2[[#This Row],[iso]],current_cdr_nghgi!$B$2:$J$199,8,FALSE)</f>
        <v>0</v>
      </c>
      <c r="K9">
        <f>SUM(Tabelle2[[#This Row],[lulucf_historical_forest]:[lulucf_historical_other]])</f>
        <v>-3.9916757526319504</v>
      </c>
      <c r="L9">
        <f>Tabelle2[[#This Row],[lulucf_lts]]-Tabelle2[[#This Row],[lulucf_lts_other]]</f>
        <v>-3.9</v>
      </c>
      <c r="M9">
        <f>Tabelle2[[#This Row],[lulucf_historical_other]]</f>
        <v>0</v>
      </c>
      <c r="N9">
        <f>Tabelle2[[#This Row],[lulucf_lts_forest]]-Tabelle2[[#This Row],[lulucf_historical_forest]]</f>
        <v>9.1675752631950491E-2</v>
      </c>
      <c r="O9">
        <f t="shared" si="0"/>
        <v>0.311820390205582</v>
      </c>
      <c r="P9">
        <f>Tabelle2[[#This Row],[correction]]*Tabelle2[[#This Row],[lulucf_historical_forest]]</f>
        <v>-1.244685890759855</v>
      </c>
      <c r="Q9">
        <f>Tabelle2[[#This Row],[lulucf_historical_forest_direct]]+Tabelle2[[#This Row],[lulucf_historical_other]]</f>
        <v>-1.244685890759855</v>
      </c>
      <c r="R9">
        <f>IF(Tabelle2[[#This Row],[lulucf_forest_difference]]&gt;0,(Tabelle2[[#This Row],[correction]]*Tabelle2[[#This Row],[lulucf_lts_forest]]),(Tabelle2[[#This Row],[correction]]*Tabelle2[[#This Row],[lulucf_historical_forest]])+Tabelle2[[#This Row],[lulucf_forest_difference]])</f>
        <v>-1.2160995218017698</v>
      </c>
      <c r="S9" t="b">
        <f>IF(Tabelle2[[#This Row],[lulucf_forest_difference]]&lt;0,Tabelle2[[#This Row],[lulucf_lts]]-#REF!)</f>
        <v>0</v>
      </c>
      <c r="T9">
        <f>Tabelle2[[#This Row],[lulucf_lts_total_direct]]-Tabelle2[[#This Row],[lulucf_historical_total_direct]]</f>
        <v>1.244685890759855</v>
      </c>
    </row>
    <row r="10" spans="1:25" hidden="1" x14ac:dyDescent="0.25">
      <c r="A10" t="str">
        <f>planned_cdr_ltleds!A9</f>
        <v>Austria</v>
      </c>
      <c r="B10" t="str">
        <f>planned_cdr_ltleds!B9</f>
        <v>AUT</v>
      </c>
      <c r="C10" t="str">
        <f>planned_cdr_ltleds!C9</f>
        <v>Yes</v>
      </c>
      <c r="D10" t="str">
        <f>CONCATENATE(Tabelle2[[#This Row],[EU]],planned_cdr_ltleds!Q9)</f>
        <v>YesMAX</v>
      </c>
      <c r="E10" t="str">
        <f>CONCATENATE(Tabelle2[[#This Row],[EU]],planned_cdr_ltleds!R9)</f>
        <v>Yes</v>
      </c>
      <c r="F10" t="str">
        <f>planned_cdr_ltleds!S9</f>
        <v>MAX</v>
      </c>
      <c r="G10">
        <f>-planned_cdr_ltleds!J9</f>
        <v>-18.3</v>
      </c>
      <c r="H10">
        <f>-planned_cdr_ltleds!K9</f>
        <v>-3.9</v>
      </c>
      <c r="I10">
        <f>VLOOKUP(Tabelle2[[#This Row],[iso]],current_cdr_nghgi!$B$2:$J$199,5,FALSE)</f>
        <v>-3.9916757526319504</v>
      </c>
      <c r="J10">
        <f>VLOOKUP(Tabelle2[[#This Row],[iso]],current_cdr_nghgi!$B$2:$J$199,8,FALSE)</f>
        <v>0</v>
      </c>
      <c r="K10">
        <f>SUM(Tabelle2[[#This Row],[lulucf_historical_forest]:[lulucf_historical_other]])</f>
        <v>-3.9916757526319504</v>
      </c>
      <c r="L10">
        <f>Tabelle2[[#This Row],[lulucf_lts]]-Tabelle2[[#This Row],[lulucf_lts_other]]</f>
        <v>-3.9</v>
      </c>
      <c r="M10">
        <f>Tabelle2[[#This Row],[lulucf_historical_other]]</f>
        <v>0</v>
      </c>
      <c r="N10">
        <f>Tabelle2[[#This Row],[lulucf_lts_forest]]-Tabelle2[[#This Row],[lulucf_historical_forest]]</f>
        <v>9.1675752631950491E-2</v>
      </c>
      <c r="O10">
        <f t="shared" si="0"/>
        <v>0.311820390205582</v>
      </c>
      <c r="P10">
        <f>Tabelle2[[#This Row],[correction]]*Tabelle2[[#This Row],[lulucf_historical_forest]]</f>
        <v>-1.244685890759855</v>
      </c>
      <c r="Q10">
        <f>Tabelle2[[#This Row],[lulucf_historical_forest_direct]]+Tabelle2[[#This Row],[lulucf_historical_other]]</f>
        <v>-1.244685890759855</v>
      </c>
      <c r="R10">
        <f>IF(Tabelle2[[#This Row],[lulucf_forest_difference]]&gt;0,(Tabelle2[[#This Row],[correction]]*Tabelle2[[#This Row],[lulucf_lts_forest]]),(Tabelle2[[#This Row],[correction]]*Tabelle2[[#This Row],[lulucf_historical_forest]])+Tabelle2[[#This Row],[lulucf_forest_difference]])</f>
        <v>-1.2160995218017698</v>
      </c>
      <c r="S10" t="b">
        <f>IF(Tabelle2[[#This Row],[lulucf_forest_difference]]&lt;0,Tabelle2[[#This Row],[lulucf_lts]]-#REF!)</f>
        <v>0</v>
      </c>
      <c r="T10">
        <f>Tabelle2[[#This Row],[lulucf_lts_total_direct]]-Tabelle2[[#This Row],[lulucf_historical_total_direct]]</f>
        <v>1.244685890759855</v>
      </c>
    </row>
    <row r="11" spans="1:25" hidden="1" x14ac:dyDescent="0.25">
      <c r="A11" t="str">
        <f>planned_cdr_ltleds!A10</f>
        <v>Austria</v>
      </c>
      <c r="B11" t="str">
        <f>planned_cdr_ltleds!B10</f>
        <v>AUT</v>
      </c>
      <c r="C11" t="str">
        <f>planned_cdr_ltleds!C10</f>
        <v>Yes</v>
      </c>
      <c r="D11" t="str">
        <f>CONCATENATE(Tabelle2[[#This Row],[EU]],planned_cdr_ltleds!Q10)</f>
        <v>Yes</v>
      </c>
      <c r="E11" t="str">
        <f>CONCATENATE(Tabelle2[[#This Row],[EU]],planned_cdr_ltleds!R10)</f>
        <v>Yes</v>
      </c>
      <c r="F11" t="str">
        <f>planned_cdr_ltleds!S10</f>
        <v/>
      </c>
      <c r="G11">
        <f>-planned_cdr_ltleds!J10</f>
        <v>-18.7</v>
      </c>
      <c r="H11">
        <f>-planned_cdr_ltleds!K10</f>
        <v>0</v>
      </c>
      <c r="I11">
        <f>VLOOKUP(Tabelle2[[#This Row],[iso]],current_cdr_nghgi!$B$2:$J$199,5,FALSE)</f>
        <v>-3.9916757526319504</v>
      </c>
      <c r="J11">
        <f>VLOOKUP(Tabelle2[[#This Row],[iso]],current_cdr_nghgi!$B$2:$J$199,8,FALSE)</f>
        <v>0</v>
      </c>
      <c r="K11">
        <f>SUM(Tabelle2[[#This Row],[lulucf_historical_forest]:[lulucf_historical_other]])</f>
        <v>-3.9916757526319504</v>
      </c>
      <c r="L11">
        <f>Tabelle2[[#This Row],[lulucf_lts]]-Tabelle2[[#This Row],[lulucf_lts_other]]</f>
        <v>0</v>
      </c>
      <c r="M11">
        <f>Tabelle2[[#This Row],[lulucf_historical_other]]</f>
        <v>0</v>
      </c>
      <c r="N11">
        <f>Tabelle2[[#This Row],[lulucf_lts_forest]]-Tabelle2[[#This Row],[lulucf_historical_forest]]</f>
        <v>3.9916757526319504</v>
      </c>
      <c r="O11">
        <f t="shared" si="0"/>
        <v>0.311820390205582</v>
      </c>
      <c r="P11">
        <f>Tabelle2[[#This Row],[correction]]*Tabelle2[[#This Row],[lulucf_historical_forest]]</f>
        <v>-1.244685890759855</v>
      </c>
      <c r="Q11">
        <f>Tabelle2[[#This Row],[lulucf_historical_forest_direct]]+Tabelle2[[#This Row],[lulucf_historical_other]]</f>
        <v>-1.244685890759855</v>
      </c>
      <c r="R11">
        <f>IF(Tabelle2[[#This Row],[lulucf_forest_difference]]&gt;0,(Tabelle2[[#This Row],[correction]]*Tabelle2[[#This Row],[lulucf_lts_forest]]),(Tabelle2[[#This Row],[correction]]*Tabelle2[[#This Row],[lulucf_historical_forest]])+Tabelle2[[#This Row],[lulucf_forest_difference]])</f>
        <v>0</v>
      </c>
      <c r="S11" t="b">
        <f>IF(Tabelle2[[#This Row],[lulucf_forest_difference]]&lt;0,Tabelle2[[#This Row],[lulucf_lts]]-#REF!)</f>
        <v>0</v>
      </c>
      <c r="T11">
        <f>Tabelle2[[#This Row],[lulucf_lts_total_direct]]-Tabelle2[[#This Row],[lulucf_historical_total_direct]]</f>
        <v>1.244685890759855</v>
      </c>
    </row>
    <row r="12" spans="1:25" hidden="1" x14ac:dyDescent="0.25">
      <c r="A12" t="str">
        <f>planned_cdr_ltleds!A11</f>
        <v>Austria</v>
      </c>
      <c r="B12" t="str">
        <f>planned_cdr_ltleds!B11</f>
        <v>AUT</v>
      </c>
      <c r="C12" t="str">
        <f>planned_cdr_ltleds!C11</f>
        <v>Yes</v>
      </c>
      <c r="D12" t="str">
        <f>CONCATENATE(Tabelle2[[#This Row],[EU]],planned_cdr_ltleds!Q11)</f>
        <v>Yes</v>
      </c>
      <c r="E12" t="str">
        <f>CONCATENATE(Tabelle2[[#This Row],[EU]],planned_cdr_ltleds!R11)</f>
        <v>Yes</v>
      </c>
      <c r="F12" t="str">
        <f>planned_cdr_ltleds!S11</f>
        <v/>
      </c>
      <c r="G12">
        <f>-planned_cdr_ltleds!J11</f>
        <v>0</v>
      </c>
      <c r="H12">
        <f>-planned_cdr_ltleds!K11</f>
        <v>-17</v>
      </c>
      <c r="I12">
        <f>VLOOKUP(Tabelle2[[#This Row],[iso]],current_cdr_nghgi!$B$2:$J$199,5,FALSE)</f>
        <v>-3.9916757526319504</v>
      </c>
      <c r="J12">
        <f>VLOOKUP(Tabelle2[[#This Row],[iso]],current_cdr_nghgi!$B$2:$J$199,8,FALSE)</f>
        <v>0</v>
      </c>
      <c r="K12">
        <f>SUM(Tabelle2[[#This Row],[lulucf_historical_forest]:[lulucf_historical_other]])</f>
        <v>-3.9916757526319504</v>
      </c>
      <c r="L12">
        <f>Tabelle2[[#This Row],[lulucf_lts]]-Tabelle2[[#This Row],[lulucf_lts_other]]</f>
        <v>-17</v>
      </c>
      <c r="M12">
        <f>Tabelle2[[#This Row],[lulucf_historical_other]]</f>
        <v>0</v>
      </c>
      <c r="N12">
        <f>Tabelle2[[#This Row],[lulucf_lts_forest]]-Tabelle2[[#This Row],[lulucf_historical_forest]]</f>
        <v>-13.00832424736805</v>
      </c>
      <c r="O12">
        <f t="shared" si="0"/>
        <v>0.311820390205582</v>
      </c>
      <c r="P12">
        <f>Tabelle2[[#This Row],[correction]]*Tabelle2[[#This Row],[lulucf_historical_forest]]</f>
        <v>-1.244685890759855</v>
      </c>
      <c r="Q12">
        <f>Tabelle2[[#This Row],[lulucf_historical_forest_direct]]+Tabelle2[[#This Row],[lulucf_historical_other]]</f>
        <v>-1.244685890759855</v>
      </c>
      <c r="R12">
        <f>IF(Tabelle2[[#This Row],[lulucf_forest_difference]]&gt;0,(Tabelle2[[#This Row],[correction]]*Tabelle2[[#This Row],[lulucf_lts_forest]]),(Tabelle2[[#This Row],[correction]]*Tabelle2[[#This Row],[lulucf_historical_forest]])+Tabelle2[[#This Row],[lulucf_forest_difference]])</f>
        <v>-14.253010138127905</v>
      </c>
      <c r="S12" t="e">
        <f>IF(Tabelle2[[#This Row],[lulucf_forest_difference]]&lt;0,Tabelle2[[#This Row],[lulucf_lts]]-#REF!)</f>
        <v>#REF!</v>
      </c>
      <c r="T12" t="e">
        <f>Tabelle2[[#This Row],[lulucf_lts_total_direct]]-Tabelle2[[#This Row],[lulucf_historical_total_direct]]</f>
        <v>#REF!</v>
      </c>
    </row>
    <row r="13" spans="1:25" hidden="1" x14ac:dyDescent="0.25">
      <c r="A13" t="str">
        <f>planned_cdr_ltleds!A12</f>
        <v>Belgium</v>
      </c>
      <c r="B13" t="str">
        <f>planned_cdr_ltleds!B12</f>
        <v>BEL</v>
      </c>
      <c r="C13" t="str">
        <f>planned_cdr_ltleds!C12</f>
        <v>Yes</v>
      </c>
      <c r="D13" t="str">
        <f>CONCATENATE(Tabelle2[[#This Row],[EU]],planned_cdr_ltleds!Q12)</f>
        <v>Yes</v>
      </c>
      <c r="E13" t="str">
        <f>CONCATENATE(Tabelle2[[#This Row],[EU]],planned_cdr_ltleds!R12)</f>
        <v>YesMIN</v>
      </c>
      <c r="F13" t="str">
        <f>planned_cdr_ltleds!S12</f>
        <v>MIN</v>
      </c>
      <c r="G13">
        <f>-planned_cdr_ltleds!J12</f>
        <v>0</v>
      </c>
      <c r="H13">
        <f>-planned_cdr_ltleds!K12</f>
        <v>0</v>
      </c>
      <c r="I13">
        <f>VLOOKUP(Tabelle2[[#This Row],[iso]],current_cdr_nghgi!$B$2:$J$199,5,FALSE)</f>
        <v>-2.0718348864571801</v>
      </c>
      <c r="J13">
        <f>VLOOKUP(Tabelle2[[#This Row],[iso]],current_cdr_nghgi!$B$2:$J$199,8,FALSE)</f>
        <v>0</v>
      </c>
      <c r="K13">
        <f>SUM(Tabelle2[[#This Row],[lulucf_historical_forest]:[lulucf_historical_other]])</f>
        <v>-2.0718348864571801</v>
      </c>
      <c r="L13">
        <f>Tabelle2[[#This Row],[lulucf_lts]]-Tabelle2[[#This Row],[lulucf_lts_other]]</f>
        <v>0</v>
      </c>
      <c r="M13">
        <f>Tabelle2[[#This Row],[lulucf_historical_other]]</f>
        <v>0</v>
      </c>
      <c r="N13">
        <f>Tabelle2[[#This Row],[lulucf_lts_forest]]-Tabelle2[[#This Row],[lulucf_historical_forest]]</f>
        <v>2.0718348864571801</v>
      </c>
      <c r="O13">
        <f t="shared" si="0"/>
        <v>0.311820390205582</v>
      </c>
      <c r="P13">
        <f>Tabelle2[[#This Row],[correction]]*Tabelle2[[#This Row],[lulucf_historical_forest]]</f>
        <v>-0.64604036273661558</v>
      </c>
      <c r="Q13">
        <f>Tabelle2[[#This Row],[lulucf_historical_forest_direct]]+Tabelle2[[#This Row],[lulucf_historical_other]]</f>
        <v>-0.64604036273661558</v>
      </c>
      <c r="R13">
        <f>IF(Tabelle2[[#This Row],[lulucf_forest_difference]]&gt;0,(Tabelle2[[#This Row],[correction]]*Tabelle2[[#This Row],[lulucf_lts_forest]]),(Tabelle2[[#This Row],[correction]]*Tabelle2[[#This Row],[lulucf_historical_forest]])+Tabelle2[[#This Row],[lulucf_forest_difference]])</f>
        <v>0</v>
      </c>
      <c r="S13" t="b">
        <f>IF(Tabelle2[[#This Row],[lulucf_forest_difference]]&lt;0,Tabelle2[[#This Row],[lulucf_lts]]-#REF!)</f>
        <v>0</v>
      </c>
      <c r="T13">
        <f>Tabelle2[[#This Row],[lulucf_lts_total_direct]]-Tabelle2[[#This Row],[lulucf_historical_total_direct]]</f>
        <v>0.64604036273661558</v>
      </c>
    </row>
    <row r="14" spans="1:25" hidden="1" x14ac:dyDescent="0.25">
      <c r="A14" t="str">
        <f>planned_cdr_ltleds!A13</f>
        <v>Belgium</v>
      </c>
      <c r="B14" t="str">
        <f>planned_cdr_ltleds!B13</f>
        <v>BEL</v>
      </c>
      <c r="C14" t="str">
        <f>planned_cdr_ltleds!C13</f>
        <v>Yes</v>
      </c>
      <c r="D14" t="str">
        <f>CONCATENATE(Tabelle2[[#This Row],[EU]],planned_cdr_ltleds!Q13)</f>
        <v>YesMAX</v>
      </c>
      <c r="E14" t="str">
        <f>CONCATENATE(Tabelle2[[#This Row],[EU]],planned_cdr_ltleds!R13)</f>
        <v>Yes</v>
      </c>
      <c r="F14" t="str">
        <f>planned_cdr_ltleds!S13</f>
        <v>MAX</v>
      </c>
      <c r="G14">
        <f>-planned_cdr_ltleds!J13</f>
        <v>0</v>
      </c>
      <c r="H14">
        <f>-planned_cdr_ltleds!K13</f>
        <v>0</v>
      </c>
      <c r="I14">
        <f>VLOOKUP(Tabelle2[[#This Row],[iso]],current_cdr_nghgi!$B$2:$J$199,5,FALSE)</f>
        <v>-2.0718348864571801</v>
      </c>
      <c r="J14">
        <f>VLOOKUP(Tabelle2[[#This Row],[iso]],current_cdr_nghgi!$B$2:$J$199,8,FALSE)</f>
        <v>0</v>
      </c>
      <c r="K14">
        <f>SUM(Tabelle2[[#This Row],[lulucf_historical_forest]:[lulucf_historical_other]])</f>
        <v>-2.0718348864571801</v>
      </c>
      <c r="L14">
        <f>Tabelle2[[#This Row],[lulucf_lts]]-Tabelle2[[#This Row],[lulucf_lts_other]]</f>
        <v>0</v>
      </c>
      <c r="M14">
        <f>Tabelle2[[#This Row],[lulucf_historical_other]]</f>
        <v>0</v>
      </c>
      <c r="N14">
        <f>Tabelle2[[#This Row],[lulucf_lts_forest]]-Tabelle2[[#This Row],[lulucf_historical_forest]]</f>
        <v>2.0718348864571801</v>
      </c>
      <c r="O14">
        <f t="shared" si="0"/>
        <v>0.311820390205582</v>
      </c>
      <c r="P14">
        <f>Tabelle2[[#This Row],[correction]]*Tabelle2[[#This Row],[lulucf_historical_forest]]</f>
        <v>-0.64604036273661558</v>
      </c>
      <c r="Q14">
        <f>Tabelle2[[#This Row],[lulucf_historical_forest_direct]]+Tabelle2[[#This Row],[lulucf_historical_other]]</f>
        <v>-0.64604036273661558</v>
      </c>
      <c r="R14">
        <f>IF(Tabelle2[[#This Row],[lulucf_forest_difference]]&gt;0,(Tabelle2[[#This Row],[correction]]*Tabelle2[[#This Row],[lulucf_lts_forest]]),(Tabelle2[[#This Row],[correction]]*Tabelle2[[#This Row],[lulucf_historical_forest]])+Tabelle2[[#This Row],[lulucf_forest_difference]])</f>
        <v>0</v>
      </c>
      <c r="S14" t="b">
        <f>IF(Tabelle2[[#This Row],[lulucf_forest_difference]]&lt;0,Tabelle2[[#This Row],[lulucf_lts]]-#REF!)</f>
        <v>0</v>
      </c>
      <c r="T14">
        <f>Tabelle2[[#This Row],[lulucf_lts_total_direct]]-Tabelle2[[#This Row],[lulucf_historical_total_direct]]</f>
        <v>0.64604036273661558</v>
      </c>
    </row>
    <row r="15" spans="1:25" x14ac:dyDescent="0.25">
      <c r="A15" t="str">
        <f>planned_cdr_ltleds!A14</f>
        <v>Belize</v>
      </c>
      <c r="B15" t="str">
        <f>planned_cdr_ltleds!B14</f>
        <v>BLZ</v>
      </c>
      <c r="C15" t="str">
        <f>planned_cdr_ltleds!C14</f>
        <v>No</v>
      </c>
      <c r="D15" t="str">
        <f>CONCATENATE(Tabelle2[[#This Row],[EU]],planned_cdr_ltleds!Q14)</f>
        <v>NoMAX</v>
      </c>
      <c r="E15" t="str">
        <f>CONCATENATE(Tabelle2[[#This Row],[EU]],planned_cdr_ltleds!R14)</f>
        <v>No</v>
      </c>
      <c r="F15" t="str">
        <f>planned_cdr_ltleds!S14</f>
        <v>MAX</v>
      </c>
      <c r="G15" s="2">
        <f>-planned_cdr_ltleds!J14</f>
        <v>0</v>
      </c>
      <c r="H15" s="2">
        <f>-planned_cdr_ltleds!K14</f>
        <v>-8.4049999999999994</v>
      </c>
      <c r="I15" s="2">
        <f>VLOOKUP(Tabelle2[[#This Row],[iso]],current_cdr_nghgi!$B$2:$J$199,5,FALSE)</f>
        <v>-11.9270171</v>
      </c>
      <c r="J15" s="2">
        <f>VLOOKUP(Tabelle2[[#This Row],[iso]],current_cdr_nghgi!$B$2:$J$199,8,FALSE)</f>
        <v>0</v>
      </c>
      <c r="K15" s="2">
        <f>SUM(Tabelle2[[#This Row],[lulucf_historical_forest]:[lulucf_historical_other]])</f>
        <v>-11.9270171</v>
      </c>
      <c r="L15" s="2">
        <f>Tabelle2[[#This Row],[lulucf_lts]]-Tabelle2[[#This Row],[lulucf_lts_other]]</f>
        <v>-8.4049999999999994</v>
      </c>
      <c r="M15" s="2">
        <f>IF(Tabelle2[[#This Row],[lulucf_historical_other]]&gt;Tabelle2[[#This Row],[lulucf_lts]],Tabelle2[[#This Row],[lulucf_historical_other]],Tabelle2[[#This Row],[lulucf_lts]])</f>
        <v>0</v>
      </c>
      <c r="N15" s="2">
        <f>Tabelle2[[#This Row],[lulucf_lts_forest]]-Tabelle2[[#This Row],[lulucf_historical_forest]]</f>
        <v>3.5220171000000011</v>
      </c>
      <c r="O15" s="2">
        <f t="shared" si="0"/>
        <v>0.311820390205582</v>
      </c>
      <c r="P15" s="2">
        <f>Tabelle2[[#This Row],[correction]]*Tabelle2[[#This Row],[lulucf_historical_forest]]</f>
        <v>-3.7190871261106491</v>
      </c>
      <c r="Q15" s="2">
        <f>Tabelle2[[#This Row],[lulucf_historical_forest_direct]]+Tabelle2[[#This Row],[lulucf_historical_other]]</f>
        <v>-3.7190871261106491</v>
      </c>
      <c r="R15" s="2">
        <f>IF(Tabelle2[[#This Row],[lulucf_forest_difference]]&gt;0,(Tabelle2[[#This Row],[correction]]*Tabelle2[[#This Row],[lulucf_lts_forest]]),(Tabelle2[[#This Row],[correction]]*Tabelle2[[#This Row],[lulucf_historical_forest]])+Tabelle2[[#This Row],[lulucf_forest_difference]])</f>
        <v>-2.6208503796779166</v>
      </c>
      <c r="S15" s="2">
        <f>Tabelle2[[#This Row],[lulucf_lts_forest_direct]]+Tabelle2[[#This Row],[lulucf_lts_other]]</f>
        <v>-2.6208503796779166</v>
      </c>
      <c r="T15" s="2">
        <f>Tabelle2[[#This Row],[lulucf_lts_total_direct]]-Tabelle2[[#This Row],[lulucf_historical_total_direct]]</f>
        <v>1.0982367464327325</v>
      </c>
    </row>
    <row r="16" spans="1:25" x14ac:dyDescent="0.25">
      <c r="A16" t="str">
        <f>planned_cdr_ltleds!A15</f>
        <v>Belize</v>
      </c>
      <c r="B16" t="str">
        <f>planned_cdr_ltleds!B15</f>
        <v>BLZ</v>
      </c>
      <c r="C16" t="str">
        <f>planned_cdr_ltleds!C15</f>
        <v>No</v>
      </c>
      <c r="D16" t="str">
        <f>CONCATENATE(Tabelle2[[#This Row],[EU]],planned_cdr_ltleds!Q15)</f>
        <v>No</v>
      </c>
      <c r="E16" t="str">
        <f>CONCATENATE(Tabelle2[[#This Row],[EU]],planned_cdr_ltleds!R15)</f>
        <v>NoMIN</v>
      </c>
      <c r="F16" t="str">
        <f>planned_cdr_ltleds!S15</f>
        <v>MIN</v>
      </c>
      <c r="G16" s="2">
        <f>-planned_cdr_ltleds!J15</f>
        <v>0</v>
      </c>
      <c r="H16" s="2">
        <f>-planned_cdr_ltleds!K15</f>
        <v>-10.657999999999999</v>
      </c>
      <c r="I16" s="2">
        <f>VLOOKUP(Tabelle2[[#This Row],[iso]],current_cdr_nghgi!$B$2:$J$199,5,FALSE)</f>
        <v>-11.9270171</v>
      </c>
      <c r="J16" s="2">
        <f>VLOOKUP(Tabelle2[[#This Row],[iso]],current_cdr_nghgi!$B$2:$J$199,8,FALSE)</f>
        <v>0</v>
      </c>
      <c r="K16" s="2">
        <f>SUM(Tabelle2[[#This Row],[lulucf_historical_forest]:[lulucf_historical_other]])</f>
        <v>-11.9270171</v>
      </c>
      <c r="L16" s="2">
        <f>Tabelle2[[#This Row],[lulucf_lts]]-Tabelle2[[#This Row],[lulucf_lts_other]]</f>
        <v>-10.657999999999999</v>
      </c>
      <c r="M16" s="2">
        <f>IF(Tabelle2[[#This Row],[lulucf_historical_other]]&gt;Tabelle2[[#This Row],[lulucf_lts]],Tabelle2[[#This Row],[lulucf_historical_other]],Tabelle2[[#This Row],[lulucf_lts]])</f>
        <v>0</v>
      </c>
      <c r="N16" s="2">
        <f>Tabelle2[[#This Row],[lulucf_lts_forest]]-Tabelle2[[#This Row],[lulucf_historical_forest]]</f>
        <v>1.269017100000001</v>
      </c>
      <c r="O16" s="2">
        <f t="shared" si="0"/>
        <v>0.311820390205582</v>
      </c>
      <c r="P16" s="2">
        <f>Tabelle2[[#This Row],[correction]]*Tabelle2[[#This Row],[lulucf_historical_forest]]</f>
        <v>-3.7190871261106491</v>
      </c>
      <c r="Q16" s="2">
        <f>Tabelle2[[#This Row],[lulucf_historical_forest_direct]]+Tabelle2[[#This Row],[lulucf_historical_other]]</f>
        <v>-3.7190871261106491</v>
      </c>
      <c r="R16" s="2">
        <f>IF(Tabelle2[[#This Row],[lulucf_forest_difference]]&gt;0,(Tabelle2[[#This Row],[correction]]*Tabelle2[[#This Row],[lulucf_lts_forest]]),(Tabelle2[[#This Row],[correction]]*Tabelle2[[#This Row],[lulucf_historical_forest]])+Tabelle2[[#This Row],[lulucf_forest_difference]])</f>
        <v>-3.3233817188110928</v>
      </c>
      <c r="S16" s="2">
        <f>Tabelle2[[#This Row],[lulucf_lts_forest_direct]]+Tabelle2[[#This Row],[lulucf_lts_other]]</f>
        <v>-3.3233817188110928</v>
      </c>
      <c r="T16" s="2">
        <f>Tabelle2[[#This Row],[lulucf_lts_total_direct]]-Tabelle2[[#This Row],[lulucf_historical_total_direct]]</f>
        <v>0.39570540729955628</v>
      </c>
    </row>
    <row r="17" spans="1:22" hidden="1" x14ac:dyDescent="0.25">
      <c r="A17" t="str">
        <f>planned_cdr_ltleds!A16</f>
        <v>Benin</v>
      </c>
      <c r="B17" t="str">
        <f>planned_cdr_ltleds!B16</f>
        <v>BEN</v>
      </c>
      <c r="C17" t="str">
        <f>planned_cdr_ltleds!C16</f>
        <v>No</v>
      </c>
      <c r="D17" t="str">
        <f>CONCATENATE(Tabelle2[[#This Row],[EU]],planned_cdr_ltleds!Q16)</f>
        <v>No</v>
      </c>
      <c r="E17" t="str">
        <f>CONCATENATE(Tabelle2[[#This Row],[EU]],planned_cdr_ltleds!R16)</f>
        <v>No</v>
      </c>
      <c r="F17" t="str">
        <f>planned_cdr_ltleds!S16</f>
        <v/>
      </c>
      <c r="G17">
        <f>-planned_cdr_ltleds!J16</f>
        <v>0</v>
      </c>
      <c r="H17">
        <f>-planned_cdr_ltleds!K16</f>
        <v>0</v>
      </c>
      <c r="I17">
        <f>VLOOKUP(Tabelle2[[#This Row],[iso]],current_cdr_nghgi!$B$2:$J$199,5,FALSE)</f>
        <v>-22.688700000000001</v>
      </c>
      <c r="J17">
        <f>VLOOKUP(Tabelle2[[#This Row],[iso]],current_cdr_nghgi!$B$2:$J$199,8,FALSE)</f>
        <v>0</v>
      </c>
      <c r="K17">
        <f>SUM(Tabelle2[[#This Row],[lulucf_historical_forest]:[lulucf_historical_other]])</f>
        <v>-22.688700000000001</v>
      </c>
      <c r="L17">
        <f>Tabelle2[[#This Row],[lulucf_lts]]-Tabelle2[[#This Row],[lulucf_lts_other]]</f>
        <v>0</v>
      </c>
      <c r="M17">
        <f>Tabelle2[[#This Row],[lulucf_historical_other]]</f>
        <v>0</v>
      </c>
      <c r="N17">
        <f>Tabelle2[[#This Row],[lulucf_lts_forest]]-Tabelle2[[#This Row],[lulucf_historical_forest]]</f>
        <v>22.688700000000001</v>
      </c>
      <c r="O17">
        <f t="shared" si="0"/>
        <v>0.311820390205582</v>
      </c>
      <c r="P17">
        <f>Tabelle2[[#This Row],[correction]]*Tabelle2[[#This Row],[lulucf_historical_forest]]</f>
        <v>-7.0747992872573882</v>
      </c>
      <c r="Q17">
        <f>Tabelle2[[#This Row],[lulucf_historical_forest_direct]]+Tabelle2[[#This Row],[lulucf_historical_other]]</f>
        <v>-7.0747992872573882</v>
      </c>
      <c r="R17">
        <f>IF(Tabelle2[[#This Row],[lulucf_forest_difference]]&gt;0,(Tabelle2[[#This Row],[correction]]*Tabelle2[[#This Row],[lulucf_lts_forest]]),(Tabelle2[[#This Row],[correction]]*Tabelle2[[#This Row],[lulucf_historical_forest]])+Tabelle2[[#This Row],[lulucf_forest_difference]])</f>
        <v>0</v>
      </c>
      <c r="S17" t="b">
        <f>IF(Tabelle2[[#This Row],[lulucf_forest_difference]]&lt;0,Tabelle2[[#This Row],[lulucf_lts]]-#REF!)</f>
        <v>0</v>
      </c>
      <c r="T17">
        <f>Tabelle2[[#This Row],[lulucf_lts_total_direct]]-Tabelle2[[#This Row],[lulucf_historical_total_direct]]</f>
        <v>7.0747992872573882</v>
      </c>
    </row>
    <row r="18" spans="1:22" x14ac:dyDescent="0.25">
      <c r="A18" t="str">
        <f>planned_cdr_ltleds!A17</f>
        <v>Bhutan</v>
      </c>
      <c r="B18" t="str">
        <f>planned_cdr_ltleds!B17</f>
        <v>BTN</v>
      </c>
      <c r="C18" t="str">
        <f>planned_cdr_ltleds!C17</f>
        <v>No</v>
      </c>
      <c r="D18" t="str">
        <f>CONCATENATE(Tabelle2[[#This Row],[EU]],planned_cdr_ltleds!Q17)</f>
        <v>NoMAX</v>
      </c>
      <c r="E18" t="str">
        <f>CONCATENATE(Tabelle2[[#This Row],[EU]],planned_cdr_ltleds!R17)</f>
        <v>NoMIN</v>
      </c>
      <c r="F18" t="str">
        <f>planned_cdr_ltleds!S17</f>
        <v>MAXMIN</v>
      </c>
      <c r="G18" s="2">
        <f>-planned_cdr_ltleds!J17</f>
        <v>0</v>
      </c>
      <c r="H18" s="2">
        <f>-planned_cdr_ltleds!K17</f>
        <v>-7.2545799999999998</v>
      </c>
      <c r="I18" s="2">
        <f>VLOOKUP(Tabelle2[[#This Row],[iso]],current_cdr_nghgi!$B$2:$J$199,5,FALSE)</f>
        <v>-8.0626209000000006</v>
      </c>
      <c r="J18" s="2">
        <f>VLOOKUP(Tabelle2[[#This Row],[iso]],current_cdr_nghgi!$B$2:$J$199,8,FALSE)</f>
        <v>0</v>
      </c>
      <c r="K18" s="2">
        <f>SUM(Tabelle2[[#This Row],[lulucf_historical_forest]:[lulucf_historical_other]])</f>
        <v>-8.0626209000000006</v>
      </c>
      <c r="L18" s="2">
        <f>Tabelle2[[#This Row],[lulucf_lts]]-Tabelle2[[#This Row],[lulucf_lts_other]]</f>
        <v>-7.2545799999999998</v>
      </c>
      <c r="M18" s="2">
        <f>IF(Tabelle2[[#This Row],[lulucf_historical_other]]&gt;Tabelle2[[#This Row],[lulucf_lts]],Tabelle2[[#This Row],[lulucf_historical_other]],Tabelle2[[#This Row],[lulucf_lts]])</f>
        <v>0</v>
      </c>
      <c r="N18" s="2">
        <f>Tabelle2[[#This Row],[lulucf_lts_forest]]-Tabelle2[[#This Row],[lulucf_historical_forest]]</f>
        <v>0.80804090000000084</v>
      </c>
      <c r="O18" s="2">
        <f t="shared" si="0"/>
        <v>0.311820390205582</v>
      </c>
      <c r="P18" s="2">
        <f>Tabelle2[[#This Row],[correction]]*Tabelle2[[#This Row],[lulucf_historical_forest]]</f>
        <v>-2.5140895951176807</v>
      </c>
      <c r="Q18" s="2">
        <f>Tabelle2[[#This Row],[lulucf_historical_forest_direct]]+Tabelle2[[#This Row],[lulucf_historical_other]]</f>
        <v>-2.5140895951176807</v>
      </c>
      <c r="R18" s="2">
        <f>IF(Tabelle2[[#This Row],[lulucf_forest_difference]]&gt;0,(Tabelle2[[#This Row],[correction]]*Tabelle2[[#This Row],[lulucf_lts_forest]]),(Tabelle2[[#This Row],[correction]]*Tabelle2[[#This Row],[lulucf_historical_forest]])+Tabelle2[[#This Row],[lulucf_forest_difference]])</f>
        <v>-2.262125966377611</v>
      </c>
      <c r="S18" s="2">
        <f>Tabelle2[[#This Row],[lulucf_lts_forest_direct]]+Tabelle2[[#This Row],[lulucf_lts_other]]</f>
        <v>-2.262125966377611</v>
      </c>
      <c r="T18" s="2">
        <f>Tabelle2[[#This Row],[lulucf_lts_total_direct]]-Tabelle2[[#This Row],[lulucf_historical_total_direct]]</f>
        <v>0.25196362874006972</v>
      </c>
    </row>
    <row r="19" spans="1:22" x14ac:dyDescent="0.25">
      <c r="A19" t="str">
        <f>planned_cdr_ltleds!A18</f>
        <v>Bosnia and Herzegovina</v>
      </c>
      <c r="B19" t="str">
        <f>planned_cdr_ltleds!B18</f>
        <v>BIH</v>
      </c>
      <c r="C19" t="str">
        <f>planned_cdr_ltleds!C18</f>
        <v>No</v>
      </c>
      <c r="D19" t="str">
        <f>CONCATENATE(Tabelle2[[#This Row],[EU]],planned_cdr_ltleds!Q18)</f>
        <v>NoMAX</v>
      </c>
      <c r="E19" t="str">
        <f>CONCATENATE(Tabelle2[[#This Row],[EU]],planned_cdr_ltleds!R18)</f>
        <v>NoMIN</v>
      </c>
      <c r="F19" t="str">
        <f>planned_cdr_ltleds!S18</f>
        <v>MAXMIN</v>
      </c>
      <c r="G19" s="2">
        <f>-planned_cdr_ltleds!J18</f>
        <v>0</v>
      </c>
      <c r="H19" s="2">
        <f>-planned_cdr_ltleds!K18</f>
        <v>-6.8</v>
      </c>
      <c r="I19" s="2">
        <f>VLOOKUP(Tabelle2[[#This Row],[iso]],current_cdr_nghgi!$B$2:$J$199,5,FALSE)</f>
        <v>-6.4376340000000001</v>
      </c>
      <c r="J19" s="2">
        <f>VLOOKUP(Tabelle2[[#This Row],[iso]],current_cdr_nghgi!$B$2:$J$199,8,FALSE)</f>
        <v>0</v>
      </c>
      <c r="K19" s="2">
        <f>SUM(Tabelle2[[#This Row],[lulucf_historical_forest]:[lulucf_historical_other]])</f>
        <v>-6.4376340000000001</v>
      </c>
      <c r="L19" s="2">
        <f>Tabelle2[[#This Row],[lulucf_lts]]-Tabelle2[[#This Row],[lulucf_lts_other]]</f>
        <v>-6.8</v>
      </c>
      <c r="M19" s="2">
        <f>IF(Tabelle2[[#This Row],[lulucf_historical_other]]&gt;Tabelle2[[#This Row],[lulucf_lts]],Tabelle2[[#This Row],[lulucf_historical_other]],Tabelle2[[#This Row],[lulucf_lts]])</f>
        <v>0</v>
      </c>
      <c r="N19" s="2">
        <f>Tabelle2[[#This Row],[lulucf_lts_forest]]-Tabelle2[[#This Row],[lulucf_historical_forest]]</f>
        <v>-0.36236599999999974</v>
      </c>
      <c r="O19" s="2">
        <f t="shared" si="0"/>
        <v>0.311820390205582</v>
      </c>
      <c r="P19" s="2">
        <f>Tabelle2[[#This Row],[correction]]*Tabelle2[[#This Row],[lulucf_historical_forest]]</f>
        <v>-2.0073855458807217</v>
      </c>
      <c r="Q19" s="2">
        <f>Tabelle2[[#This Row],[lulucf_historical_forest_direct]]+Tabelle2[[#This Row],[lulucf_historical_other]]</f>
        <v>-2.0073855458807217</v>
      </c>
      <c r="R19" s="2">
        <f>IF(Tabelle2[[#This Row],[lulucf_forest_difference]]&gt;0,(Tabelle2[[#This Row],[correction]]*Tabelle2[[#This Row],[lulucf_lts_forest]]),(Tabelle2[[#This Row],[correction]]*Tabelle2[[#This Row],[lulucf_historical_forest]])+Tabelle2[[#This Row],[lulucf_forest_difference]])</f>
        <v>-2.3697515458807215</v>
      </c>
      <c r="S19" s="2">
        <f>Tabelle2[[#This Row],[lulucf_lts_forest_direct]]+Tabelle2[[#This Row],[lulucf_lts_other]]</f>
        <v>-2.3697515458807215</v>
      </c>
      <c r="T19" s="2">
        <f>Tabelle2[[#This Row],[lulucf_lts_total_direct]]-Tabelle2[[#This Row],[lulucf_historical_total_direct]]</f>
        <v>-0.36236599999999974</v>
      </c>
    </row>
    <row r="20" spans="1:22" x14ac:dyDescent="0.25">
      <c r="A20" t="str">
        <f>planned_cdr_ltleds!A19</f>
        <v>Cambodia</v>
      </c>
      <c r="B20" t="str">
        <f>planned_cdr_ltleds!B19</f>
        <v>KHM</v>
      </c>
      <c r="C20" t="str">
        <f>planned_cdr_ltleds!C19</f>
        <v>No</v>
      </c>
      <c r="D20" t="str">
        <f>CONCATENATE(Tabelle2[[#This Row],[EU]],planned_cdr_ltleds!Q19)</f>
        <v>NoMAX</v>
      </c>
      <c r="E20" t="str">
        <f>CONCATENATE(Tabelle2[[#This Row],[EU]],planned_cdr_ltleds!R19)</f>
        <v>NoMIN</v>
      </c>
      <c r="F20" t="str">
        <f>planned_cdr_ltleds!S19</f>
        <v>MAXMIN</v>
      </c>
      <c r="G20" s="2">
        <f>-planned_cdr_ltleds!J19</f>
        <v>0</v>
      </c>
      <c r="H20" s="2">
        <f>-planned_cdr_ltleds!K19</f>
        <v>-50.2</v>
      </c>
      <c r="I20" s="2">
        <f>VLOOKUP(Tabelle2[[#This Row],[iso]],current_cdr_nghgi!$B$2:$J$199,5,FALSE)</f>
        <v>-0.24457879999999999</v>
      </c>
      <c r="J20" s="2">
        <f>VLOOKUP(Tabelle2[[#This Row],[iso]],current_cdr_nghgi!$B$2:$J$199,8,FALSE)</f>
        <v>-3.5527136788005001E-15</v>
      </c>
      <c r="K20" s="2">
        <f>SUM(Tabelle2[[#This Row],[lulucf_historical_forest]:[lulucf_historical_other]])</f>
        <v>-0.24457880000000354</v>
      </c>
      <c r="L20" s="2">
        <f>Tabelle2[[#This Row],[lulucf_lts]]-Tabelle2[[#This Row],[lulucf_lts_other]]</f>
        <v>-50.2</v>
      </c>
      <c r="M20" s="2">
        <f>IF(Tabelle2[[#This Row],[lulucf_historical_other]]&gt;Tabelle2[[#This Row],[lulucf_lts]],Tabelle2[[#This Row],[lulucf_historical_other]],Tabelle2[[#This Row],[lulucf_lts]])</f>
        <v>-3.5527136788005001E-15</v>
      </c>
      <c r="N20" s="2">
        <f>Tabelle2[[#This Row],[lulucf_lts_forest]]-Tabelle2[[#This Row],[lulucf_historical_forest]]</f>
        <v>-49.955421200000004</v>
      </c>
      <c r="O20" s="2">
        <f t="shared" si="0"/>
        <v>0.311820390205582</v>
      </c>
      <c r="P20" s="2">
        <f>Tabelle2[[#This Row],[correction]]*Tabelle2[[#This Row],[lulucf_historical_forest]]</f>
        <v>-7.6264656852012988E-2</v>
      </c>
      <c r="Q20" s="2">
        <f>Tabelle2[[#This Row],[lulucf_historical_forest_direct]]+Tabelle2[[#This Row],[lulucf_historical_other]]</f>
        <v>-7.6264656852016541E-2</v>
      </c>
      <c r="R20" s="2">
        <f>IF(Tabelle2[[#This Row],[lulucf_forest_difference]]&gt;0,(Tabelle2[[#This Row],[correction]]*Tabelle2[[#This Row],[lulucf_lts_forest]]),(Tabelle2[[#This Row],[correction]]*Tabelle2[[#This Row],[lulucf_historical_forest]])+Tabelle2[[#This Row],[lulucf_forest_difference]])</f>
        <v>-50.031685856852015</v>
      </c>
      <c r="S20" s="2">
        <f>Tabelle2[[#This Row],[lulucf_lts_forest_direct]]+Tabelle2[[#This Row],[lulucf_lts_other]]</f>
        <v>-50.031685856852022</v>
      </c>
      <c r="T20" s="2">
        <f>Tabelle2[[#This Row],[lulucf_lts_total_direct]]-Tabelle2[[#This Row],[lulucf_historical_total_direct]]</f>
        <v>-49.955421200000004</v>
      </c>
    </row>
    <row r="21" spans="1:22" hidden="1" x14ac:dyDescent="0.25">
      <c r="A21" t="str">
        <f>planned_cdr_ltleds!A20</f>
        <v>Canada</v>
      </c>
      <c r="B21" t="str">
        <f>planned_cdr_ltleds!B20</f>
        <v>CAN</v>
      </c>
      <c r="C21" t="str">
        <f>planned_cdr_ltleds!C20</f>
        <v>No</v>
      </c>
      <c r="D21" t="str">
        <f>CONCATENATE(Tabelle2[[#This Row],[EU]],planned_cdr_ltleds!Q20)</f>
        <v>No</v>
      </c>
      <c r="E21" t="str">
        <f>CONCATENATE(Tabelle2[[#This Row],[EU]],planned_cdr_ltleds!R20)</f>
        <v>No</v>
      </c>
      <c r="F21" t="str">
        <f>planned_cdr_ltleds!S20</f>
        <v/>
      </c>
      <c r="G21">
        <f>-planned_cdr_ltleds!J20</f>
        <v>-149</v>
      </c>
      <c r="H21">
        <f>-planned_cdr_ltleds!K20</f>
        <v>-100</v>
      </c>
      <c r="I21">
        <f>VLOOKUP(Tabelle2[[#This Row],[iso]],current_cdr_nghgi!$B$2:$J$199,5,FALSE)</f>
        <v>-1.89074803968538</v>
      </c>
      <c r="J21">
        <f>VLOOKUP(Tabelle2[[#This Row],[iso]],current_cdr_nghgi!$B$2:$J$199,8,FALSE)</f>
        <v>-21.936716568903201</v>
      </c>
      <c r="K21">
        <f>SUM(Tabelle2[[#This Row],[lulucf_historical_forest]:[lulucf_historical_other]])</f>
        <v>-23.827464608588581</v>
      </c>
      <c r="L21">
        <f>Tabelle2[[#This Row],[lulucf_lts]]-Tabelle2[[#This Row],[lulucf_lts_other]]</f>
        <v>-78.063283431096806</v>
      </c>
      <c r="M21">
        <f>Tabelle2[[#This Row],[lulucf_historical_other]]</f>
        <v>-21.936716568903201</v>
      </c>
      <c r="N21">
        <f>Tabelle2[[#This Row],[lulucf_lts_forest]]-Tabelle2[[#This Row],[lulucf_historical_forest]]</f>
        <v>-76.172535391411429</v>
      </c>
      <c r="O21">
        <f t="shared" si="0"/>
        <v>0.311820390205582</v>
      </c>
      <c r="P21">
        <f>Tabelle2[[#This Row],[correction]]*Tabelle2[[#This Row],[lulucf_historical_forest]]</f>
        <v>-0.58957379151513445</v>
      </c>
      <c r="Q21">
        <f>Tabelle2[[#This Row],[lulucf_historical_forest_direct]]+Tabelle2[[#This Row],[lulucf_historical_other]]</f>
        <v>-22.526290360418336</v>
      </c>
      <c r="R21">
        <f>IF(Tabelle2[[#This Row],[lulucf_forest_difference]]&gt;0,(Tabelle2[[#This Row],[correction]]*Tabelle2[[#This Row],[lulucf_lts_forest]]),(Tabelle2[[#This Row],[correction]]*Tabelle2[[#This Row],[lulucf_historical_forest]])+Tabelle2[[#This Row],[lulucf_forest_difference]])</f>
        <v>-76.762109182926565</v>
      </c>
      <c r="S21" t="e">
        <f>IF(Tabelle2[[#This Row],[lulucf_forest_difference]]&lt;0,Tabelle2[[#This Row],[lulucf_lts]]-#REF!)</f>
        <v>#REF!</v>
      </c>
      <c r="T21" t="e">
        <f>Tabelle2[[#This Row],[lulucf_lts_total_direct]]-Tabelle2[[#This Row],[lulucf_historical_total_direct]]</f>
        <v>#REF!</v>
      </c>
    </row>
    <row r="22" spans="1:22" hidden="1" x14ac:dyDescent="0.25">
      <c r="A22" t="str">
        <f>planned_cdr_ltleds!A21</f>
        <v>Canada</v>
      </c>
      <c r="B22" t="str">
        <f>planned_cdr_ltleds!B21</f>
        <v>CAN</v>
      </c>
      <c r="C22" t="str">
        <f>planned_cdr_ltleds!C21</f>
        <v>No</v>
      </c>
      <c r="D22" t="str">
        <f>CONCATENATE(Tabelle2[[#This Row],[EU]],planned_cdr_ltleds!Q21)</f>
        <v>No</v>
      </c>
      <c r="E22" t="str">
        <f>CONCATENATE(Tabelle2[[#This Row],[EU]],planned_cdr_ltleds!R21)</f>
        <v>No</v>
      </c>
      <c r="F22" t="str">
        <f>planned_cdr_ltleds!S21</f>
        <v/>
      </c>
      <c r="G22">
        <f>-planned_cdr_ltleds!J21</f>
        <v>-39</v>
      </c>
      <c r="H22">
        <f>-planned_cdr_ltleds!K21</f>
        <v>-100</v>
      </c>
      <c r="I22">
        <f>VLOOKUP(Tabelle2[[#This Row],[iso]],current_cdr_nghgi!$B$2:$J$199,5,FALSE)</f>
        <v>-1.89074803968538</v>
      </c>
      <c r="J22">
        <f>VLOOKUP(Tabelle2[[#This Row],[iso]],current_cdr_nghgi!$B$2:$J$199,8,FALSE)</f>
        <v>-21.936716568903201</v>
      </c>
      <c r="K22">
        <f>SUM(Tabelle2[[#This Row],[lulucf_historical_forest]:[lulucf_historical_other]])</f>
        <v>-23.827464608588581</v>
      </c>
      <c r="L22">
        <f>Tabelle2[[#This Row],[lulucf_lts]]-Tabelle2[[#This Row],[lulucf_lts_other]]</f>
        <v>-78.063283431096806</v>
      </c>
      <c r="M22">
        <f>IF(Tabelle2[[#This Row],[lulucf_historical_other]]&gt;Tabelle2[[#This Row],[lulucf_lts]],Tabelle2[[#This Row],[lulucf_historical_other]],Tabelle2[[#This Row],[lulucf_lts]])</f>
        <v>-21.936716568903201</v>
      </c>
      <c r="N22">
        <f>Tabelle2[[#This Row],[lulucf_lts_forest]]-Tabelle2[[#This Row],[lulucf_historical_forest]]</f>
        <v>-76.172535391411429</v>
      </c>
      <c r="O22">
        <f t="shared" si="0"/>
        <v>0.311820390205582</v>
      </c>
      <c r="P22">
        <f>Tabelle2[[#This Row],[correction]]*Tabelle2[[#This Row],[lulucf_historical_forest]]</f>
        <v>-0.58957379151513445</v>
      </c>
      <c r="Q22">
        <f>Tabelle2[[#This Row],[lulucf_historical_forest_direct]]+Tabelle2[[#This Row],[lulucf_historical_other]]</f>
        <v>-22.526290360418336</v>
      </c>
      <c r="R22">
        <f>IF(Tabelle2[[#This Row],[lulucf_forest_difference]]&gt;0,(Tabelle2[[#This Row],[correction]]*Tabelle2[[#This Row],[lulucf_lts_forest]]),(Tabelle2[[#This Row],[correction]]*Tabelle2[[#This Row],[lulucf_historical_forest]])+Tabelle2[[#This Row],[lulucf_forest_difference]])</f>
        <v>-76.762109182926565</v>
      </c>
      <c r="S22">
        <f>Tabelle2[[#This Row],[lulucf_lts_forest_direct]]+Tabelle2[[#This Row],[lulucf_lts_other]]</f>
        <v>-98.698825751829759</v>
      </c>
      <c r="T22">
        <f>Tabelle2[[#This Row],[lulucf_lts_total_direct]]-Tabelle2[[#This Row],[lulucf_historical_total_direct]]</f>
        <v>-76.172535391411429</v>
      </c>
    </row>
    <row r="23" spans="1:22" hidden="1" x14ac:dyDescent="0.25">
      <c r="A23" t="str">
        <f>planned_cdr_ltleds!A22</f>
        <v>Canada</v>
      </c>
      <c r="B23" t="str">
        <f>planned_cdr_ltleds!B22</f>
        <v>CAN</v>
      </c>
      <c r="C23" t="str">
        <f>planned_cdr_ltleds!C22</f>
        <v>No</v>
      </c>
      <c r="D23" t="str">
        <f>CONCATENATE(Tabelle2[[#This Row],[EU]],planned_cdr_ltleds!Q22)</f>
        <v>No</v>
      </c>
      <c r="E23" t="str">
        <f>CONCATENATE(Tabelle2[[#This Row],[EU]],planned_cdr_ltleds!R22)</f>
        <v>No</v>
      </c>
      <c r="F23" t="str">
        <f>planned_cdr_ltleds!S22</f>
        <v/>
      </c>
      <c r="G23">
        <f>-planned_cdr_ltleds!J22</f>
        <v>-149</v>
      </c>
      <c r="H23">
        <f>-planned_cdr_ltleds!K22</f>
        <v>-100</v>
      </c>
      <c r="I23">
        <f>VLOOKUP(Tabelle2[[#This Row],[iso]],current_cdr_nghgi!$B$2:$J$199,5,FALSE)</f>
        <v>-1.89074803968538</v>
      </c>
      <c r="J23">
        <f>VLOOKUP(Tabelle2[[#This Row],[iso]],current_cdr_nghgi!$B$2:$J$199,8,FALSE)</f>
        <v>-21.936716568903201</v>
      </c>
      <c r="K23">
        <f>SUM(Tabelle2[[#This Row],[lulucf_historical_forest]:[lulucf_historical_other]])</f>
        <v>-23.827464608588581</v>
      </c>
      <c r="L23">
        <f>Tabelle2[[#This Row],[lulucf_lts]]-Tabelle2[[#This Row],[lulucf_lts_other]]</f>
        <v>-78.063283431096806</v>
      </c>
      <c r="M23">
        <f>Tabelle2[[#This Row],[lulucf_historical_other]]</f>
        <v>-21.936716568903201</v>
      </c>
      <c r="N23">
        <f>Tabelle2[[#This Row],[lulucf_lts_forest]]-Tabelle2[[#This Row],[lulucf_historical_forest]]</f>
        <v>-76.172535391411429</v>
      </c>
      <c r="O23">
        <f t="shared" si="0"/>
        <v>0.311820390205582</v>
      </c>
      <c r="P23">
        <f>Tabelle2[[#This Row],[correction]]*Tabelle2[[#This Row],[lulucf_historical_forest]]</f>
        <v>-0.58957379151513445</v>
      </c>
      <c r="Q23">
        <f>Tabelle2[[#This Row],[lulucf_historical_forest_direct]]+Tabelle2[[#This Row],[lulucf_historical_other]]</f>
        <v>-22.526290360418336</v>
      </c>
      <c r="R23">
        <f>IF(Tabelle2[[#This Row],[lulucf_forest_difference]]&gt;0,(Tabelle2[[#This Row],[correction]]*Tabelle2[[#This Row],[lulucf_lts_forest]]),(Tabelle2[[#This Row],[correction]]*Tabelle2[[#This Row],[lulucf_historical_forest]])+Tabelle2[[#This Row],[lulucf_forest_difference]])</f>
        <v>-76.762109182926565</v>
      </c>
      <c r="S23" t="e">
        <f>IF(Tabelle2[[#This Row],[lulucf_forest_difference]]&lt;0,Tabelle2[[#This Row],[lulucf_lts]]-#REF!)</f>
        <v>#REF!</v>
      </c>
      <c r="T23" t="e">
        <f>Tabelle2[[#This Row],[lulucf_lts_total_direct]]-Tabelle2[[#This Row],[lulucf_historical_total_direct]]</f>
        <v>#REF!</v>
      </c>
    </row>
    <row r="24" spans="1:22" hidden="1" x14ac:dyDescent="0.25">
      <c r="A24" t="str">
        <f>planned_cdr_ltleds!A23</f>
        <v>Canada</v>
      </c>
      <c r="B24" t="str">
        <f>planned_cdr_ltleds!B23</f>
        <v>CAN</v>
      </c>
      <c r="C24" t="str">
        <f>planned_cdr_ltleds!C23</f>
        <v>No</v>
      </c>
      <c r="D24" t="str">
        <f>CONCATENATE(Tabelle2[[#This Row],[EU]],planned_cdr_ltleds!Q23)</f>
        <v>No</v>
      </c>
      <c r="E24" t="str">
        <f>CONCATENATE(Tabelle2[[#This Row],[EU]],planned_cdr_ltleds!R23)</f>
        <v>No</v>
      </c>
      <c r="F24" t="str">
        <f>planned_cdr_ltleds!S23</f>
        <v/>
      </c>
      <c r="G24">
        <f>-planned_cdr_ltleds!J23</f>
        <v>-24</v>
      </c>
      <c r="H24">
        <f>-planned_cdr_ltleds!K23</f>
        <v>-100</v>
      </c>
      <c r="I24">
        <f>VLOOKUP(Tabelle2[[#This Row],[iso]],current_cdr_nghgi!$B$2:$J$199,5,FALSE)</f>
        <v>-1.89074803968538</v>
      </c>
      <c r="J24">
        <f>VLOOKUP(Tabelle2[[#This Row],[iso]],current_cdr_nghgi!$B$2:$J$199,8,FALSE)</f>
        <v>-21.936716568903201</v>
      </c>
      <c r="K24">
        <f>SUM(Tabelle2[[#This Row],[lulucf_historical_forest]:[lulucf_historical_other]])</f>
        <v>-23.827464608588581</v>
      </c>
      <c r="L24">
        <f>Tabelle2[[#This Row],[lulucf_lts]]-Tabelle2[[#This Row],[lulucf_lts_other]]</f>
        <v>-78.063283431096806</v>
      </c>
      <c r="M24">
        <f>Tabelle2[[#This Row],[lulucf_historical_other]]</f>
        <v>-21.936716568903201</v>
      </c>
      <c r="N24">
        <f>Tabelle2[[#This Row],[lulucf_lts_forest]]-Tabelle2[[#This Row],[lulucf_historical_forest]]</f>
        <v>-76.172535391411429</v>
      </c>
      <c r="O24">
        <f t="shared" si="0"/>
        <v>0.311820390205582</v>
      </c>
      <c r="P24">
        <f>Tabelle2[[#This Row],[correction]]*Tabelle2[[#This Row],[lulucf_historical_forest]]</f>
        <v>-0.58957379151513445</v>
      </c>
      <c r="Q24">
        <f>Tabelle2[[#This Row],[lulucf_historical_forest_direct]]+Tabelle2[[#This Row],[lulucf_historical_other]]</f>
        <v>-22.526290360418336</v>
      </c>
      <c r="R24">
        <f>IF(Tabelle2[[#This Row],[lulucf_forest_difference]]&gt;0,(Tabelle2[[#This Row],[correction]]*Tabelle2[[#This Row],[lulucf_lts_forest]]),(Tabelle2[[#This Row],[correction]]*Tabelle2[[#This Row],[lulucf_historical_forest]])+Tabelle2[[#This Row],[lulucf_forest_difference]])</f>
        <v>-76.762109182926565</v>
      </c>
      <c r="S24" t="e">
        <f>IF(Tabelle2[[#This Row],[lulucf_forest_difference]]&lt;0,Tabelle2[[#This Row],[lulucf_lts]]-#REF!)</f>
        <v>#REF!</v>
      </c>
      <c r="T24" t="e">
        <f>Tabelle2[[#This Row],[lulucf_lts_total_direct]]-Tabelle2[[#This Row],[lulucf_historical_total_direct]]</f>
        <v>#REF!</v>
      </c>
    </row>
    <row r="25" spans="1:22" hidden="1" x14ac:dyDescent="0.25">
      <c r="A25" t="str">
        <f>planned_cdr_ltleds!A24</f>
        <v>Canada</v>
      </c>
      <c r="B25" t="str">
        <f>planned_cdr_ltleds!B24</f>
        <v>CAN</v>
      </c>
      <c r="C25" t="str">
        <f>planned_cdr_ltleds!C24</f>
        <v>No</v>
      </c>
      <c r="D25" t="str">
        <f>CONCATENATE(Tabelle2[[#This Row],[EU]],planned_cdr_ltleds!Q24)</f>
        <v>No</v>
      </c>
      <c r="E25" t="str">
        <f>CONCATENATE(Tabelle2[[#This Row],[EU]],planned_cdr_ltleds!R24)</f>
        <v>No</v>
      </c>
      <c r="F25" t="str">
        <f>planned_cdr_ltleds!S24</f>
        <v/>
      </c>
      <c r="G25">
        <f>-planned_cdr_ltleds!J24</f>
        <v>-115</v>
      </c>
      <c r="H25">
        <f>-planned_cdr_ltleds!K24</f>
        <v>-100</v>
      </c>
      <c r="I25">
        <f>VLOOKUP(Tabelle2[[#This Row],[iso]],current_cdr_nghgi!$B$2:$J$199,5,FALSE)</f>
        <v>-1.89074803968538</v>
      </c>
      <c r="J25">
        <f>VLOOKUP(Tabelle2[[#This Row],[iso]],current_cdr_nghgi!$B$2:$J$199,8,FALSE)</f>
        <v>-21.936716568903201</v>
      </c>
      <c r="K25">
        <f>SUM(Tabelle2[[#This Row],[lulucf_historical_forest]:[lulucf_historical_other]])</f>
        <v>-23.827464608588581</v>
      </c>
      <c r="L25">
        <f>Tabelle2[[#This Row],[lulucf_lts]]-Tabelle2[[#This Row],[lulucf_lts_other]]</f>
        <v>-78.063283431096806</v>
      </c>
      <c r="M25">
        <f>Tabelle2[[#This Row],[lulucf_historical_other]]</f>
        <v>-21.936716568903201</v>
      </c>
      <c r="N25">
        <f>Tabelle2[[#This Row],[lulucf_lts_forest]]-Tabelle2[[#This Row],[lulucf_historical_forest]]</f>
        <v>-76.172535391411429</v>
      </c>
      <c r="O25">
        <f t="shared" si="0"/>
        <v>0.311820390205582</v>
      </c>
      <c r="P25">
        <f>Tabelle2[[#This Row],[correction]]*Tabelle2[[#This Row],[lulucf_historical_forest]]</f>
        <v>-0.58957379151513445</v>
      </c>
      <c r="Q25">
        <f>Tabelle2[[#This Row],[lulucf_historical_forest_direct]]+Tabelle2[[#This Row],[lulucf_historical_other]]</f>
        <v>-22.526290360418336</v>
      </c>
      <c r="R25">
        <f>IF(Tabelle2[[#This Row],[lulucf_forest_difference]]&gt;0,(Tabelle2[[#This Row],[correction]]*Tabelle2[[#This Row],[lulucf_lts_forest]]),(Tabelle2[[#This Row],[correction]]*Tabelle2[[#This Row],[lulucf_historical_forest]])+Tabelle2[[#This Row],[lulucf_forest_difference]])</f>
        <v>-76.762109182926565</v>
      </c>
      <c r="S25" t="e">
        <f>IF(Tabelle2[[#This Row],[lulucf_forest_difference]]&lt;0,Tabelle2[[#This Row],[lulucf_lts]]-#REF!)</f>
        <v>#REF!</v>
      </c>
      <c r="T25" t="e">
        <f>Tabelle2[[#This Row],[lulucf_lts_total_direct]]-Tabelle2[[#This Row],[lulucf_historical_total_direct]]</f>
        <v>#REF!</v>
      </c>
    </row>
    <row r="26" spans="1:22" x14ac:dyDescent="0.25">
      <c r="A26" t="str">
        <f>planned_cdr_ltleds!A25</f>
        <v>Canada</v>
      </c>
      <c r="B26" t="str">
        <f>planned_cdr_ltleds!B25</f>
        <v>CAN</v>
      </c>
      <c r="C26" t="str">
        <f>planned_cdr_ltleds!C25</f>
        <v>No</v>
      </c>
      <c r="D26" t="str">
        <f>CONCATENATE(Tabelle2[[#This Row],[EU]],planned_cdr_ltleds!Q25)</f>
        <v>No</v>
      </c>
      <c r="E26" t="str">
        <f>CONCATENATE(Tabelle2[[#This Row],[EU]],planned_cdr_ltleds!R25)</f>
        <v>NoMIN</v>
      </c>
      <c r="F26" t="str">
        <f>planned_cdr_ltleds!S25</f>
        <v>MIN</v>
      </c>
      <c r="G26" s="2">
        <f>-planned_cdr_ltleds!J25</f>
        <v>-24</v>
      </c>
      <c r="H26" s="2">
        <f>-planned_cdr_ltleds!K25</f>
        <v>-100</v>
      </c>
      <c r="I26" s="2">
        <f>VLOOKUP(Tabelle2[[#This Row],[iso]],current_cdr_nghgi!$B$2:$J$199,5,FALSE)</f>
        <v>-1.89074803968538</v>
      </c>
      <c r="J26" s="2">
        <f>VLOOKUP(Tabelle2[[#This Row],[iso]],current_cdr_nghgi!$B$2:$J$199,8,FALSE)</f>
        <v>-21.936716568903201</v>
      </c>
      <c r="K26" s="2">
        <f>SUM(Tabelle2[[#This Row],[lulucf_historical_forest]:[lulucf_historical_other]])</f>
        <v>-23.827464608588581</v>
      </c>
      <c r="L26" s="2">
        <f>Tabelle2[[#This Row],[lulucf_lts]]-Tabelle2[[#This Row],[lulucf_lts_other]]</f>
        <v>-78.063283431096806</v>
      </c>
      <c r="M26" s="2">
        <f>Tabelle2[[#This Row],[lulucf_historical_other]]</f>
        <v>-21.936716568903201</v>
      </c>
      <c r="N26" s="2">
        <f>Tabelle2[[#This Row],[lulucf_lts_forest]]-Tabelle2[[#This Row],[lulucf_historical_forest]]</f>
        <v>-76.172535391411429</v>
      </c>
      <c r="O26" s="2">
        <f t="shared" si="0"/>
        <v>0.311820390205582</v>
      </c>
      <c r="P26" s="2">
        <f>Tabelle2[[#This Row],[correction]]*Tabelle2[[#This Row],[lulucf_historical_forest]]</f>
        <v>-0.58957379151513445</v>
      </c>
      <c r="Q26" s="2">
        <f>Tabelle2[[#This Row],[lulucf_historical_forest_direct]]+Tabelle2[[#This Row],[lulucf_historical_other]]</f>
        <v>-22.526290360418336</v>
      </c>
      <c r="R26" s="2">
        <f>IF(Tabelle2[[#This Row],[lulucf_forest_difference]]&gt;0,(Tabelle2[[#This Row],[correction]]*Tabelle2[[#This Row],[lulucf_lts_forest]]),(Tabelle2[[#This Row],[correction]]*Tabelle2[[#This Row],[lulucf_historical_forest]])+Tabelle2[[#This Row],[lulucf_forest_difference]])</f>
        <v>-76.762109182926565</v>
      </c>
      <c r="S26" s="2">
        <f>Tabelle2[[#This Row],[lulucf_lts_forest_direct]]+Tabelle2[[#This Row],[lulucf_lts_other]]</f>
        <v>-98.698825751829759</v>
      </c>
      <c r="T26" s="2">
        <f>Tabelle2[[#This Row],[lulucf_lts_total_direct]]-Tabelle2[[#This Row],[lulucf_historical_total_direct]]</f>
        <v>-76.172535391411429</v>
      </c>
    </row>
    <row r="27" spans="1:22" x14ac:dyDescent="0.25">
      <c r="A27" t="str">
        <f>planned_cdr_ltleds!A26</f>
        <v>Canada</v>
      </c>
      <c r="B27" t="str">
        <f>planned_cdr_ltleds!B26</f>
        <v>CAN</v>
      </c>
      <c r="C27" t="str">
        <f>planned_cdr_ltleds!C26</f>
        <v>No</v>
      </c>
      <c r="D27" t="str">
        <f>CONCATENATE(Tabelle2[[#This Row],[EU]],planned_cdr_ltleds!Q26)</f>
        <v>NoMAX</v>
      </c>
      <c r="E27" t="str">
        <f>CONCATENATE(Tabelle2[[#This Row],[EU]],planned_cdr_ltleds!R26)</f>
        <v>No</v>
      </c>
      <c r="F27" t="str">
        <f>planned_cdr_ltleds!S26</f>
        <v>MAX</v>
      </c>
      <c r="G27" s="2">
        <f>-planned_cdr_ltleds!J26</f>
        <v>-226</v>
      </c>
      <c r="H27" s="2">
        <f>-planned_cdr_ltleds!K26</f>
        <v>-100</v>
      </c>
      <c r="I27" s="2">
        <f>VLOOKUP(Tabelle2[[#This Row],[iso]],current_cdr_nghgi!$B$2:$J$199,5,FALSE)</f>
        <v>-1.89074803968538</v>
      </c>
      <c r="J27" s="2">
        <f>VLOOKUP(Tabelle2[[#This Row],[iso]],current_cdr_nghgi!$B$2:$J$199,8,FALSE)</f>
        <v>-21.936716568903201</v>
      </c>
      <c r="K27" s="2">
        <f>SUM(Tabelle2[[#This Row],[lulucf_historical_forest]:[lulucf_historical_other]])</f>
        <v>-23.827464608588581</v>
      </c>
      <c r="L27" s="2">
        <f>Tabelle2[[#This Row],[lulucf_lts]]-Tabelle2[[#This Row],[lulucf_lts_other]]</f>
        <v>-78.063283431096806</v>
      </c>
      <c r="M27" s="2">
        <f>IF(Tabelle2[[#This Row],[lulucf_historical_other]]&gt;Tabelle2[[#This Row],[lulucf_lts]],Tabelle2[[#This Row],[lulucf_historical_other]],Tabelle2[[#This Row],[lulucf_lts]])</f>
        <v>-21.936716568903201</v>
      </c>
      <c r="N27" s="2">
        <f>Tabelle2[[#This Row],[lulucf_lts_forest]]-Tabelle2[[#This Row],[lulucf_historical_forest]]</f>
        <v>-76.172535391411429</v>
      </c>
      <c r="O27" s="2">
        <f t="shared" si="0"/>
        <v>0.311820390205582</v>
      </c>
      <c r="P27" s="2">
        <f>Tabelle2[[#This Row],[correction]]*Tabelle2[[#This Row],[lulucf_historical_forest]]</f>
        <v>-0.58957379151513445</v>
      </c>
      <c r="Q27" s="2">
        <f>Tabelle2[[#This Row],[lulucf_historical_forest_direct]]+Tabelle2[[#This Row],[lulucf_historical_other]]</f>
        <v>-22.526290360418336</v>
      </c>
      <c r="R27" s="2">
        <f>IF(Tabelle2[[#This Row],[lulucf_forest_difference]]&gt;0,(Tabelle2[[#This Row],[correction]]*Tabelle2[[#This Row],[lulucf_lts_forest]]),(Tabelle2[[#This Row],[correction]]*Tabelle2[[#This Row],[lulucf_historical_forest]])+Tabelle2[[#This Row],[lulucf_forest_difference]])</f>
        <v>-76.762109182926565</v>
      </c>
      <c r="S27" s="2">
        <f>Tabelle2[[#This Row],[lulucf_lts_forest_direct]]+Tabelle2[[#This Row],[lulucf_lts_other]]</f>
        <v>-98.698825751829759</v>
      </c>
      <c r="T27" s="2">
        <f>Tabelle2[[#This Row],[lulucf_lts_total_direct]]-Tabelle2[[#This Row],[lulucf_historical_total_direct]]</f>
        <v>-76.172535391411429</v>
      </c>
      <c r="V27">
        <f>Tabelle2[[#This Row],[novel_lts]]/1000</f>
        <v>-0.22600000000000001</v>
      </c>
    </row>
    <row r="28" spans="1:22" hidden="1" x14ac:dyDescent="0.25">
      <c r="A28" t="str">
        <f>planned_cdr_ltleds!A27</f>
        <v>Canada</v>
      </c>
      <c r="B28" t="str">
        <f>planned_cdr_ltleds!B27</f>
        <v>CAN</v>
      </c>
      <c r="C28" t="str">
        <f>planned_cdr_ltleds!C27</f>
        <v>No</v>
      </c>
      <c r="D28" t="str">
        <f>CONCATENATE(Tabelle2[[#This Row],[EU]],planned_cdr_ltleds!Q27)</f>
        <v>No</v>
      </c>
      <c r="E28" t="str">
        <f>CONCATENATE(Tabelle2[[#This Row],[EU]],planned_cdr_ltleds!R27)</f>
        <v>No</v>
      </c>
      <c r="F28" t="str">
        <f>planned_cdr_ltleds!S27</f>
        <v/>
      </c>
      <c r="G28">
        <f>-planned_cdr_ltleds!J27</f>
        <v>-77</v>
      </c>
      <c r="H28">
        <f>-planned_cdr_ltleds!K27</f>
        <v>-100</v>
      </c>
      <c r="I28">
        <f>VLOOKUP(Tabelle2[[#This Row],[iso]],current_cdr_nghgi!$B$2:$J$199,5,FALSE)</f>
        <v>-1.89074803968538</v>
      </c>
      <c r="J28">
        <f>VLOOKUP(Tabelle2[[#This Row],[iso]],current_cdr_nghgi!$B$2:$J$199,8,FALSE)</f>
        <v>-21.936716568903201</v>
      </c>
      <c r="K28">
        <f>SUM(Tabelle2[[#This Row],[lulucf_historical_forest]:[lulucf_historical_other]])</f>
        <v>-23.827464608588581</v>
      </c>
      <c r="L28">
        <f>Tabelle2[[#This Row],[lulucf_lts]]-Tabelle2[[#This Row],[lulucf_lts_other]]</f>
        <v>-78.063283431096806</v>
      </c>
      <c r="M28">
        <f>Tabelle2[[#This Row],[lulucf_historical_other]]</f>
        <v>-21.936716568903201</v>
      </c>
      <c r="N28">
        <f>Tabelle2[[#This Row],[lulucf_lts_forest]]-Tabelle2[[#This Row],[lulucf_historical_forest]]</f>
        <v>-76.172535391411429</v>
      </c>
      <c r="O28">
        <f t="shared" si="0"/>
        <v>0.311820390205582</v>
      </c>
      <c r="P28">
        <f>Tabelle2[[#This Row],[correction]]*Tabelle2[[#This Row],[lulucf_historical_forest]]</f>
        <v>-0.58957379151513445</v>
      </c>
      <c r="Q28">
        <f>Tabelle2[[#This Row],[lulucf_historical_forest_direct]]+Tabelle2[[#This Row],[lulucf_historical_other]]</f>
        <v>-22.526290360418336</v>
      </c>
      <c r="R28">
        <f>IF(Tabelle2[[#This Row],[lulucf_forest_difference]]&gt;0,(Tabelle2[[#This Row],[correction]]*Tabelle2[[#This Row],[lulucf_lts_forest]]),(Tabelle2[[#This Row],[correction]]*Tabelle2[[#This Row],[lulucf_historical_forest]])+Tabelle2[[#This Row],[lulucf_forest_difference]])</f>
        <v>-76.762109182926565</v>
      </c>
      <c r="S28" t="e">
        <f>IF(Tabelle2[[#This Row],[lulucf_forest_difference]]&lt;0,Tabelle2[[#This Row],[lulucf_lts]]-#REF!)</f>
        <v>#REF!</v>
      </c>
      <c r="T28" t="e">
        <f>Tabelle2[[#This Row],[lulucf_lts_total_direct]]-Tabelle2[[#This Row],[lulucf_historical_total_direct]]</f>
        <v>#REF!</v>
      </c>
    </row>
    <row r="29" spans="1:22" x14ac:dyDescent="0.25">
      <c r="A29" t="str">
        <f>planned_cdr_ltleds!A28</f>
        <v>Chile</v>
      </c>
      <c r="B29" t="str">
        <f>planned_cdr_ltleds!B28</f>
        <v>CHL</v>
      </c>
      <c r="C29" t="str">
        <f>planned_cdr_ltleds!C28</f>
        <v>No</v>
      </c>
      <c r="D29" t="str">
        <f>CONCATENATE(Tabelle2[[#This Row],[EU]],planned_cdr_ltleds!Q28)</f>
        <v>NoMAX</v>
      </c>
      <c r="E29" t="str">
        <f>CONCATENATE(Tabelle2[[#This Row],[EU]],planned_cdr_ltleds!R28)</f>
        <v>NoMIN</v>
      </c>
      <c r="F29" t="str">
        <f>planned_cdr_ltleds!S28</f>
        <v>MAXMIN</v>
      </c>
      <c r="G29" s="2">
        <f>-planned_cdr_ltleds!J28</f>
        <v>0</v>
      </c>
      <c r="H29" s="2">
        <f>-planned_cdr_ltleds!K28</f>
        <v>-65</v>
      </c>
      <c r="I29" s="2">
        <f>VLOOKUP(Tabelle2[[#This Row],[iso]],current_cdr_nghgi!$B$2:$J$199,5,FALSE)</f>
        <v>-66.099999999999994</v>
      </c>
      <c r="J29" s="2">
        <f>VLOOKUP(Tabelle2[[#This Row],[iso]],current_cdr_nghgi!$B$2:$J$199,8,FALSE)</f>
        <v>-0.193159999999998</v>
      </c>
      <c r="K29" s="2">
        <f>SUM(Tabelle2[[#This Row],[lulucf_historical_forest]:[lulucf_historical_other]])</f>
        <v>-66.293159999999986</v>
      </c>
      <c r="L29" s="2">
        <f>Tabelle2[[#This Row],[lulucf_lts]]-Tabelle2[[#This Row],[lulucf_lts_other]]</f>
        <v>-64.806840000000008</v>
      </c>
      <c r="M29" s="2">
        <f>IF(Tabelle2[[#This Row],[lulucf_historical_other]]&gt;Tabelle2[[#This Row],[lulucf_lts]],Tabelle2[[#This Row],[lulucf_historical_other]],Tabelle2[[#This Row],[lulucf_lts]])</f>
        <v>-0.193159999999998</v>
      </c>
      <c r="N29" s="2">
        <f>Tabelle2[[#This Row],[lulucf_lts_forest]]-Tabelle2[[#This Row],[lulucf_historical_forest]]</f>
        <v>1.2931599999999861</v>
      </c>
      <c r="O29" s="2">
        <f t="shared" si="0"/>
        <v>0.311820390205582</v>
      </c>
      <c r="P29" s="2">
        <f>Tabelle2[[#This Row],[correction]]*Tabelle2[[#This Row],[lulucf_historical_forest]]</f>
        <v>-20.61132779258897</v>
      </c>
      <c r="Q29" s="2">
        <f>Tabelle2[[#This Row],[lulucf_historical_forest_direct]]+Tabelle2[[#This Row],[lulucf_historical_other]]</f>
        <v>-20.804487792588969</v>
      </c>
      <c r="R29" s="2">
        <f>IF(Tabelle2[[#This Row],[lulucf_forest_difference]]&gt;0,(Tabelle2[[#This Row],[correction]]*Tabelle2[[#This Row],[lulucf_lts_forest]]),(Tabelle2[[#This Row],[correction]]*Tabelle2[[#This Row],[lulucf_historical_forest]])+Tabelle2[[#This Row],[lulucf_forest_difference]])</f>
        <v>-20.208094136790724</v>
      </c>
      <c r="S29" s="2">
        <f>Tabelle2[[#This Row],[lulucf_lts_forest_direct]]+Tabelle2[[#This Row],[lulucf_lts_other]]</f>
        <v>-20.401254136790723</v>
      </c>
      <c r="T29" s="2">
        <f>Tabelle2[[#This Row],[lulucf_lts_total_direct]]-Tabelle2[[#This Row],[lulucf_historical_total_direct]]</f>
        <v>0.4032336557982461</v>
      </c>
    </row>
    <row r="30" spans="1:22" hidden="1" x14ac:dyDescent="0.25">
      <c r="A30" t="str">
        <f>planned_cdr_ltleds!A29</f>
        <v>China</v>
      </c>
      <c r="B30" t="str">
        <f>planned_cdr_ltleds!B29</f>
        <v>CHN</v>
      </c>
      <c r="C30" t="str">
        <f>planned_cdr_ltleds!C29</f>
        <v>No</v>
      </c>
      <c r="D30" t="str">
        <f>CONCATENATE(Tabelle2[[#This Row],[EU]],planned_cdr_ltleds!Q29)</f>
        <v>No</v>
      </c>
      <c r="E30" t="str">
        <f>CONCATENATE(Tabelle2[[#This Row],[EU]],planned_cdr_ltleds!R29)</f>
        <v>No</v>
      </c>
      <c r="F30" t="str">
        <f>planned_cdr_ltleds!S29</f>
        <v/>
      </c>
      <c r="G30">
        <f>-planned_cdr_ltleds!J29</f>
        <v>0</v>
      </c>
      <c r="H30">
        <f>-planned_cdr_ltleds!K29</f>
        <v>0</v>
      </c>
      <c r="I30">
        <f>VLOOKUP(Tabelle2[[#This Row],[iso]],current_cdr_nghgi!$B$2:$J$199,5,FALSE)</f>
        <v>-851.58242886846097</v>
      </c>
      <c r="J30">
        <f>VLOOKUP(Tabelle2[[#This Row],[iso]],current_cdr_nghgi!$B$2:$J$199,8,FALSE)</f>
        <v>-178.286</v>
      </c>
      <c r="K30">
        <f>SUM(Tabelle2[[#This Row],[lulucf_historical_forest]:[lulucf_historical_other]])</f>
        <v>-1029.868428868461</v>
      </c>
      <c r="L30">
        <f>Tabelle2[[#This Row],[lulucf_lts]]-Tabelle2[[#This Row],[lulucf_lts_other]]</f>
        <v>178.286</v>
      </c>
      <c r="M30">
        <f>Tabelle2[[#This Row],[lulucf_historical_other]]</f>
        <v>-178.286</v>
      </c>
      <c r="N30">
        <f>Tabelle2[[#This Row],[lulucf_lts_forest]]-Tabelle2[[#This Row],[lulucf_historical_forest]]</f>
        <v>1029.868428868461</v>
      </c>
      <c r="O30">
        <f t="shared" si="0"/>
        <v>0.311820390205582</v>
      </c>
      <c r="P30">
        <f>Tabelle2[[#This Row],[correction]]*Tabelle2[[#This Row],[lulucf_historical_forest]]</f>
        <v>-265.54076526198077</v>
      </c>
      <c r="Q30">
        <f>Tabelle2[[#This Row],[lulucf_historical_forest_direct]]+Tabelle2[[#This Row],[lulucf_historical_other]]</f>
        <v>-443.82676526198077</v>
      </c>
      <c r="R30">
        <f>IF(Tabelle2[[#This Row],[lulucf_forest_difference]]&gt;0,(Tabelle2[[#This Row],[correction]]*Tabelle2[[#This Row],[lulucf_lts_forest]]),(Tabelle2[[#This Row],[correction]]*Tabelle2[[#This Row],[lulucf_historical_forest]])+Tabelle2[[#This Row],[lulucf_forest_difference]])</f>
        <v>55.593210088192393</v>
      </c>
      <c r="S30" t="b">
        <f>IF(Tabelle2[[#This Row],[lulucf_forest_difference]]&lt;0,Tabelle2[[#This Row],[lulucf_lts]]-#REF!)</f>
        <v>0</v>
      </c>
      <c r="T30">
        <f>Tabelle2[[#This Row],[lulucf_lts_total_direct]]-Tabelle2[[#This Row],[lulucf_historical_total_direct]]</f>
        <v>443.82676526198077</v>
      </c>
    </row>
    <row r="31" spans="1:22" hidden="1" x14ac:dyDescent="0.25">
      <c r="A31" t="str">
        <f>planned_cdr_ltleds!A30</f>
        <v>Colombia</v>
      </c>
      <c r="B31" t="str">
        <f>planned_cdr_ltleds!B30</f>
        <v>COL</v>
      </c>
      <c r="C31" t="str">
        <f>planned_cdr_ltleds!C30</f>
        <v>No</v>
      </c>
      <c r="D31" t="str">
        <f>CONCATENATE(Tabelle2[[#This Row],[EU]],planned_cdr_ltleds!Q30)</f>
        <v>No</v>
      </c>
      <c r="E31" t="str">
        <f>CONCATENATE(Tabelle2[[#This Row],[EU]],planned_cdr_ltleds!R30)</f>
        <v>No</v>
      </c>
      <c r="F31" t="str">
        <f>planned_cdr_ltleds!S30</f>
        <v/>
      </c>
      <c r="G31">
        <f>-planned_cdr_ltleds!J30</f>
        <v>0</v>
      </c>
      <c r="H31">
        <f>-planned_cdr_ltleds!K30</f>
        <v>0</v>
      </c>
      <c r="I31">
        <f>VLOOKUP(Tabelle2[[#This Row],[iso]],current_cdr_nghgi!$B$2:$J$199,5,FALSE)</f>
        <v>0</v>
      </c>
      <c r="J31">
        <f>VLOOKUP(Tabelle2[[#This Row],[iso]],current_cdr_nghgi!$B$2:$J$199,8,FALSE)</f>
        <v>-1.3848499999999999</v>
      </c>
      <c r="K31">
        <f>SUM(Tabelle2[[#This Row],[lulucf_historical_forest]:[lulucf_historical_other]])</f>
        <v>-1.3848499999999999</v>
      </c>
      <c r="L31">
        <f>Tabelle2[[#This Row],[lulucf_lts]]-Tabelle2[[#This Row],[lulucf_lts_other]]</f>
        <v>1.3848499999999999</v>
      </c>
      <c r="M31">
        <f>Tabelle2[[#This Row],[lulucf_historical_other]]</f>
        <v>-1.3848499999999999</v>
      </c>
      <c r="N31">
        <f>Tabelle2[[#This Row],[lulucf_lts_forest]]-Tabelle2[[#This Row],[lulucf_historical_forest]]</f>
        <v>1.3848499999999999</v>
      </c>
      <c r="O31">
        <f t="shared" si="0"/>
        <v>0.311820390205582</v>
      </c>
      <c r="P31">
        <f>Tabelle2[[#This Row],[correction]]*Tabelle2[[#This Row],[lulucf_historical_forest]]</f>
        <v>0</v>
      </c>
      <c r="Q31">
        <f>Tabelle2[[#This Row],[lulucf_historical_forest_direct]]+Tabelle2[[#This Row],[lulucf_historical_other]]</f>
        <v>-1.3848499999999999</v>
      </c>
      <c r="R31">
        <f>IF(Tabelle2[[#This Row],[lulucf_forest_difference]]&gt;0,(Tabelle2[[#This Row],[correction]]*Tabelle2[[#This Row],[lulucf_lts_forest]]),(Tabelle2[[#This Row],[correction]]*Tabelle2[[#This Row],[lulucf_historical_forest]])+Tabelle2[[#This Row],[lulucf_forest_difference]])</f>
        <v>0.43182446737620023</v>
      </c>
      <c r="S31" t="b">
        <f>IF(Tabelle2[[#This Row],[lulucf_forest_difference]]&lt;0,Tabelle2[[#This Row],[lulucf_lts]]-#REF!)</f>
        <v>0</v>
      </c>
      <c r="T31">
        <f>Tabelle2[[#This Row],[lulucf_lts_total_direct]]-Tabelle2[[#This Row],[lulucf_historical_total_direct]]</f>
        <v>1.3848499999999999</v>
      </c>
    </row>
    <row r="32" spans="1:22" hidden="1" x14ac:dyDescent="0.25">
      <c r="A32" t="str">
        <f>planned_cdr_ltleds!A31</f>
        <v>Colombia</v>
      </c>
      <c r="B32" t="str">
        <f>planned_cdr_ltleds!B31</f>
        <v>COL</v>
      </c>
      <c r="C32" t="str">
        <f>planned_cdr_ltleds!C31</f>
        <v>No</v>
      </c>
      <c r="D32" t="str">
        <f>CONCATENATE(Tabelle2[[#This Row],[EU]],planned_cdr_ltleds!Q31)</f>
        <v>No</v>
      </c>
      <c r="E32" t="str">
        <f>CONCATENATE(Tabelle2[[#This Row],[EU]],planned_cdr_ltleds!R31)</f>
        <v>No</v>
      </c>
      <c r="F32" t="str">
        <f>planned_cdr_ltleds!S31</f>
        <v/>
      </c>
      <c r="G32">
        <f>-planned_cdr_ltleds!J31</f>
        <v>0</v>
      </c>
      <c r="H32">
        <f>-planned_cdr_ltleds!K31</f>
        <v>0</v>
      </c>
      <c r="I32">
        <f>VLOOKUP(Tabelle2[[#This Row],[iso]],current_cdr_nghgi!$B$2:$J$199,5,FALSE)</f>
        <v>0</v>
      </c>
      <c r="J32">
        <f>VLOOKUP(Tabelle2[[#This Row],[iso]],current_cdr_nghgi!$B$2:$J$199,8,FALSE)</f>
        <v>-1.3848499999999999</v>
      </c>
      <c r="K32">
        <f>SUM(Tabelle2[[#This Row],[lulucf_historical_forest]:[lulucf_historical_other]])</f>
        <v>-1.3848499999999999</v>
      </c>
      <c r="L32">
        <f>Tabelle2[[#This Row],[lulucf_lts]]-Tabelle2[[#This Row],[lulucf_lts_other]]</f>
        <v>1.3848499999999999</v>
      </c>
      <c r="M32">
        <f>Tabelle2[[#This Row],[lulucf_historical_other]]</f>
        <v>-1.3848499999999999</v>
      </c>
      <c r="N32">
        <f>Tabelle2[[#This Row],[lulucf_lts_forest]]-Tabelle2[[#This Row],[lulucf_historical_forest]]</f>
        <v>1.3848499999999999</v>
      </c>
      <c r="O32">
        <f t="shared" si="0"/>
        <v>0.311820390205582</v>
      </c>
      <c r="P32">
        <f>Tabelle2[[#This Row],[correction]]*Tabelle2[[#This Row],[lulucf_historical_forest]]</f>
        <v>0</v>
      </c>
      <c r="Q32">
        <f>Tabelle2[[#This Row],[lulucf_historical_forest_direct]]+Tabelle2[[#This Row],[lulucf_historical_other]]</f>
        <v>-1.3848499999999999</v>
      </c>
      <c r="R32">
        <f>IF(Tabelle2[[#This Row],[lulucf_forest_difference]]&gt;0,(Tabelle2[[#This Row],[correction]]*Tabelle2[[#This Row],[lulucf_lts_forest]]),(Tabelle2[[#This Row],[correction]]*Tabelle2[[#This Row],[lulucf_historical_forest]])+Tabelle2[[#This Row],[lulucf_forest_difference]])</f>
        <v>0.43182446737620023</v>
      </c>
      <c r="S32" t="b">
        <f>IF(Tabelle2[[#This Row],[lulucf_forest_difference]]&lt;0,Tabelle2[[#This Row],[lulucf_lts]]-#REF!)</f>
        <v>0</v>
      </c>
      <c r="T32">
        <f>Tabelle2[[#This Row],[lulucf_lts_total_direct]]-Tabelle2[[#This Row],[lulucf_historical_total_direct]]</f>
        <v>1.3848499999999999</v>
      </c>
    </row>
    <row r="33" spans="1:20" hidden="1" x14ac:dyDescent="0.25">
      <c r="A33" t="str">
        <f>planned_cdr_ltleds!A32</f>
        <v>Colombia</v>
      </c>
      <c r="B33" t="str">
        <f>planned_cdr_ltleds!B32</f>
        <v>COL</v>
      </c>
      <c r="C33" t="str">
        <f>planned_cdr_ltleds!C32</f>
        <v>No</v>
      </c>
      <c r="D33" t="str">
        <f>CONCATENATE(Tabelle2[[#This Row],[EU]],planned_cdr_ltleds!Q32)</f>
        <v>No</v>
      </c>
      <c r="E33" t="str">
        <f>CONCATENATE(Tabelle2[[#This Row],[EU]],planned_cdr_ltleds!R32)</f>
        <v>No</v>
      </c>
      <c r="F33" t="str">
        <f>planned_cdr_ltleds!S32</f>
        <v/>
      </c>
      <c r="G33">
        <f>-planned_cdr_ltleds!J32</f>
        <v>0</v>
      </c>
      <c r="H33">
        <f>-planned_cdr_ltleds!K32</f>
        <v>0</v>
      </c>
      <c r="I33">
        <f>VLOOKUP(Tabelle2[[#This Row],[iso]],current_cdr_nghgi!$B$2:$J$199,5,FALSE)</f>
        <v>0</v>
      </c>
      <c r="J33">
        <f>VLOOKUP(Tabelle2[[#This Row],[iso]],current_cdr_nghgi!$B$2:$J$199,8,FALSE)</f>
        <v>-1.3848499999999999</v>
      </c>
      <c r="K33">
        <f>SUM(Tabelle2[[#This Row],[lulucf_historical_forest]:[lulucf_historical_other]])</f>
        <v>-1.3848499999999999</v>
      </c>
      <c r="L33">
        <f>Tabelle2[[#This Row],[lulucf_lts]]-Tabelle2[[#This Row],[lulucf_lts_other]]</f>
        <v>1.3848499999999999</v>
      </c>
      <c r="M33">
        <f>Tabelle2[[#This Row],[lulucf_historical_other]]</f>
        <v>-1.3848499999999999</v>
      </c>
      <c r="N33">
        <f>Tabelle2[[#This Row],[lulucf_lts_forest]]-Tabelle2[[#This Row],[lulucf_historical_forest]]</f>
        <v>1.3848499999999999</v>
      </c>
      <c r="O33">
        <f t="shared" si="0"/>
        <v>0.311820390205582</v>
      </c>
      <c r="P33">
        <f>Tabelle2[[#This Row],[correction]]*Tabelle2[[#This Row],[lulucf_historical_forest]]</f>
        <v>0</v>
      </c>
      <c r="Q33">
        <f>Tabelle2[[#This Row],[lulucf_historical_forest_direct]]+Tabelle2[[#This Row],[lulucf_historical_other]]</f>
        <v>-1.3848499999999999</v>
      </c>
      <c r="R33">
        <f>IF(Tabelle2[[#This Row],[lulucf_forest_difference]]&gt;0,(Tabelle2[[#This Row],[correction]]*Tabelle2[[#This Row],[lulucf_lts_forest]]),(Tabelle2[[#This Row],[correction]]*Tabelle2[[#This Row],[lulucf_historical_forest]])+Tabelle2[[#This Row],[lulucf_forest_difference]])</f>
        <v>0.43182446737620023</v>
      </c>
      <c r="S33" t="b">
        <f>IF(Tabelle2[[#This Row],[lulucf_forest_difference]]&lt;0,Tabelle2[[#This Row],[lulucf_lts]]-#REF!)</f>
        <v>0</v>
      </c>
      <c r="T33">
        <f>Tabelle2[[#This Row],[lulucf_lts_total_direct]]-Tabelle2[[#This Row],[lulucf_historical_total_direct]]</f>
        <v>1.3848499999999999</v>
      </c>
    </row>
    <row r="34" spans="1:20" x14ac:dyDescent="0.25">
      <c r="A34" t="str">
        <f>planned_cdr_ltleds!A33</f>
        <v>Costa Rica</v>
      </c>
      <c r="B34" t="str">
        <f>planned_cdr_ltleds!B33</f>
        <v>CRI</v>
      </c>
      <c r="C34" t="str">
        <f>planned_cdr_ltleds!C33</f>
        <v>No</v>
      </c>
      <c r="D34" t="str">
        <f>CONCATENATE(Tabelle2[[#This Row],[EU]],planned_cdr_ltleds!Q33)</f>
        <v>NoMAX</v>
      </c>
      <c r="E34" t="str">
        <f>CONCATENATE(Tabelle2[[#This Row],[EU]],planned_cdr_ltleds!R33)</f>
        <v>NoMIN</v>
      </c>
      <c r="F34" t="str">
        <f>planned_cdr_ltleds!S33</f>
        <v>MAXMIN</v>
      </c>
      <c r="G34" s="2">
        <f>-planned_cdr_ltleds!J33</f>
        <v>0</v>
      </c>
      <c r="H34" s="2">
        <f>-planned_cdr_ltleds!K33</f>
        <v>-5.5</v>
      </c>
      <c r="I34" s="2">
        <f>VLOOKUP(Tabelle2[[#This Row],[iso]],current_cdr_nghgi!$B$2:$J$199,5,FALSE)</f>
        <v>-4.5999999999999996</v>
      </c>
      <c r="J34" s="2">
        <f>VLOOKUP(Tabelle2[[#This Row],[iso]],current_cdr_nghgi!$B$2:$J$199,8,FALSE)</f>
        <v>-3.1025E-2</v>
      </c>
      <c r="K34" s="2">
        <f>SUM(Tabelle2[[#This Row],[lulucf_historical_forest]:[lulucf_historical_other]])</f>
        <v>-4.6310249999999993</v>
      </c>
      <c r="L34" s="2">
        <f>Tabelle2[[#This Row],[lulucf_lts]]-Tabelle2[[#This Row],[lulucf_lts_other]]</f>
        <v>-5.4689750000000004</v>
      </c>
      <c r="M34" s="2">
        <f>IF(Tabelle2[[#This Row],[lulucf_historical_other]]&gt;Tabelle2[[#This Row],[lulucf_lts]],Tabelle2[[#This Row],[lulucf_historical_other]],Tabelle2[[#This Row],[lulucf_lts]])</f>
        <v>-3.1025E-2</v>
      </c>
      <c r="N34" s="2">
        <f>Tabelle2[[#This Row],[lulucf_lts_forest]]-Tabelle2[[#This Row],[lulucf_historical_forest]]</f>
        <v>-0.86897500000000072</v>
      </c>
      <c r="O34" s="2">
        <f t="shared" si="0"/>
        <v>0.311820390205582</v>
      </c>
      <c r="P34" s="2">
        <f>Tabelle2[[#This Row],[correction]]*Tabelle2[[#This Row],[lulucf_historical_forest]]</f>
        <v>-1.4343737949456772</v>
      </c>
      <c r="Q34" s="2">
        <f>Tabelle2[[#This Row],[lulucf_historical_forest_direct]]+Tabelle2[[#This Row],[lulucf_historical_other]]</f>
        <v>-1.4653987949456773</v>
      </c>
      <c r="R34" s="2">
        <f>IF(Tabelle2[[#This Row],[lulucf_forest_difference]]&gt;0,(Tabelle2[[#This Row],[correction]]*Tabelle2[[#This Row],[lulucf_lts_forest]]),(Tabelle2[[#This Row],[correction]]*Tabelle2[[#This Row],[lulucf_historical_forest]])+Tabelle2[[#This Row],[lulucf_forest_difference]])</f>
        <v>-2.3033487949456779</v>
      </c>
      <c r="S34" s="2">
        <f>Tabelle2[[#This Row],[lulucf_lts_forest_direct]]+Tabelle2[[#This Row],[lulucf_lts_other]]</f>
        <v>-2.334373794945678</v>
      </c>
      <c r="T34" s="2">
        <f>Tabelle2[[#This Row],[lulucf_lts_total_direct]]-Tabelle2[[#This Row],[lulucf_historical_total_direct]]</f>
        <v>-0.86897500000000072</v>
      </c>
    </row>
    <row r="35" spans="1:20" hidden="1" x14ac:dyDescent="0.25">
      <c r="A35" t="str">
        <f>planned_cdr_ltleds!A34</f>
        <v>Cyprus</v>
      </c>
      <c r="B35" t="str">
        <f>planned_cdr_ltleds!B34</f>
        <v>CYP</v>
      </c>
      <c r="C35" t="str">
        <f>planned_cdr_ltleds!C34</f>
        <v>Yes</v>
      </c>
      <c r="D35" t="str">
        <f>CONCATENATE(Tabelle2[[#This Row],[EU]],planned_cdr_ltleds!Q34)</f>
        <v>YesMAX</v>
      </c>
      <c r="E35" t="str">
        <f>CONCATENATE(Tabelle2[[#This Row],[EU]],planned_cdr_ltleds!R34)</f>
        <v>YesMIN</v>
      </c>
      <c r="F35" t="str">
        <f>planned_cdr_ltleds!S34</f>
        <v>MAXMIN</v>
      </c>
      <c r="G35">
        <f>-planned_cdr_ltleds!J34</f>
        <v>-1.85</v>
      </c>
      <c r="H35">
        <f>-planned_cdr_ltleds!K34</f>
        <v>-1.1000000000000001</v>
      </c>
      <c r="I35">
        <f>VLOOKUP(Tabelle2[[#This Row],[iso]],current_cdr_nghgi!$B$2:$J$199,5,FALSE)</f>
        <v>-7.4332269827944303E-2</v>
      </c>
      <c r="J35">
        <f>VLOOKUP(Tabelle2[[#This Row],[iso]],current_cdr_nghgi!$B$2:$J$199,8,FALSE)</f>
        <v>-0.24101510737414999</v>
      </c>
      <c r="K35">
        <f>SUM(Tabelle2[[#This Row],[lulucf_historical_forest]:[lulucf_historical_other]])</f>
        <v>-0.31534737720209427</v>
      </c>
      <c r="L35">
        <f>Tabelle2[[#This Row],[lulucf_lts]]-Tabelle2[[#This Row],[lulucf_lts_other]]</f>
        <v>-0.85898489262585009</v>
      </c>
      <c r="M35">
        <f>Tabelle2[[#This Row],[lulucf_historical_other]]</f>
        <v>-0.24101510737414999</v>
      </c>
      <c r="N35">
        <f>Tabelle2[[#This Row],[lulucf_lts_forest]]-Tabelle2[[#This Row],[lulucf_historical_forest]]</f>
        <v>-0.78465262279790582</v>
      </c>
      <c r="O35">
        <f t="shared" ref="O35:O66" si="1">$Y$2</f>
        <v>0.311820390205582</v>
      </c>
      <c r="P35">
        <f>Tabelle2[[#This Row],[correction]]*Tabelle2[[#This Row],[lulucf_historical_forest]]</f>
        <v>-2.3178317382616203E-2</v>
      </c>
      <c r="Q35">
        <f>Tabelle2[[#This Row],[lulucf_historical_forest_direct]]+Tabelle2[[#This Row],[lulucf_historical_other]]</f>
        <v>-0.26419342475676622</v>
      </c>
      <c r="R35">
        <f>IF(Tabelle2[[#This Row],[lulucf_forest_difference]]&gt;0,(Tabelle2[[#This Row],[correction]]*Tabelle2[[#This Row],[lulucf_lts_forest]]),(Tabelle2[[#This Row],[correction]]*Tabelle2[[#This Row],[lulucf_historical_forest]])+Tabelle2[[#This Row],[lulucf_forest_difference]])</f>
        <v>-0.80783094018052204</v>
      </c>
      <c r="S35" t="e">
        <f>IF(Tabelle2[[#This Row],[lulucf_forest_difference]]&lt;0,Tabelle2[[#This Row],[lulucf_lts]]-#REF!)</f>
        <v>#REF!</v>
      </c>
      <c r="T35" t="e">
        <f>Tabelle2[[#This Row],[lulucf_lts_total_direct]]-Tabelle2[[#This Row],[lulucf_historical_total_direct]]</f>
        <v>#REF!</v>
      </c>
    </row>
    <row r="36" spans="1:20" hidden="1" x14ac:dyDescent="0.25">
      <c r="A36" t="str">
        <f>planned_cdr_ltleds!A35</f>
        <v>Czechia</v>
      </c>
      <c r="B36" t="str">
        <f>planned_cdr_ltleds!B35</f>
        <v>CZE</v>
      </c>
      <c r="C36" t="str">
        <f>planned_cdr_ltleds!C35</f>
        <v>Yes</v>
      </c>
      <c r="D36" t="str">
        <f>CONCATENATE(Tabelle2[[#This Row],[EU]],planned_cdr_ltleds!Q35)</f>
        <v>Yes</v>
      </c>
      <c r="E36" t="str">
        <f>CONCATENATE(Tabelle2[[#This Row],[EU]],planned_cdr_ltleds!R35)</f>
        <v>Yes</v>
      </c>
      <c r="F36" t="str">
        <f>planned_cdr_ltleds!S35</f>
        <v/>
      </c>
      <c r="G36">
        <f>-planned_cdr_ltleds!J35</f>
        <v>0</v>
      </c>
      <c r="H36">
        <f>-planned_cdr_ltleds!K35</f>
        <v>0</v>
      </c>
      <c r="I36">
        <f>VLOOKUP(Tabelle2[[#This Row],[iso]],current_cdr_nghgi!$B$2:$J$199,5,FALSE)</f>
        <v>-2.1466507365620702</v>
      </c>
      <c r="J36">
        <f>VLOOKUP(Tabelle2[[#This Row],[iso]],current_cdr_nghgi!$B$2:$J$199,8,FALSE)</f>
        <v>-0.358231313749238</v>
      </c>
      <c r="K36">
        <f>SUM(Tabelle2[[#This Row],[lulucf_historical_forest]:[lulucf_historical_other]])</f>
        <v>-2.5048820503113083</v>
      </c>
      <c r="L36">
        <f>Tabelle2[[#This Row],[lulucf_lts]]-Tabelle2[[#This Row],[lulucf_lts_other]]</f>
        <v>0.358231313749238</v>
      </c>
      <c r="M36">
        <f>Tabelle2[[#This Row],[lulucf_historical_other]]</f>
        <v>-0.358231313749238</v>
      </c>
      <c r="N36">
        <f>Tabelle2[[#This Row],[lulucf_lts_forest]]-Tabelle2[[#This Row],[lulucf_historical_forest]]</f>
        <v>2.5048820503113083</v>
      </c>
      <c r="O36">
        <f t="shared" si="1"/>
        <v>0.311820390205582</v>
      </c>
      <c r="P36">
        <f>Tabelle2[[#This Row],[correction]]*Tabelle2[[#This Row],[lulucf_historical_forest]]</f>
        <v>-0.6693694703098847</v>
      </c>
      <c r="Q36">
        <f>Tabelle2[[#This Row],[lulucf_historical_forest_direct]]+Tabelle2[[#This Row],[lulucf_historical_other]]</f>
        <v>-1.0276007840591226</v>
      </c>
      <c r="R36">
        <f>IF(Tabelle2[[#This Row],[lulucf_forest_difference]]&gt;0,(Tabelle2[[#This Row],[correction]]*Tabelle2[[#This Row],[lulucf_lts_forest]]),(Tabelle2[[#This Row],[correction]]*Tabelle2[[#This Row],[lulucf_historical_forest]])+Tabelle2[[#This Row],[lulucf_forest_difference]])</f>
        <v>0.11170382803714567</v>
      </c>
      <c r="S36" t="b">
        <f>IF(Tabelle2[[#This Row],[lulucf_forest_difference]]&lt;0,Tabelle2[[#This Row],[lulucf_lts]]-#REF!)</f>
        <v>0</v>
      </c>
      <c r="T36">
        <f>Tabelle2[[#This Row],[lulucf_lts_total_direct]]-Tabelle2[[#This Row],[lulucf_historical_total_direct]]</f>
        <v>1.0276007840591226</v>
      </c>
    </row>
    <row r="37" spans="1:20" hidden="1" x14ac:dyDescent="0.25">
      <c r="A37" t="str">
        <f>planned_cdr_ltleds!A36</f>
        <v>Denmark</v>
      </c>
      <c r="B37" t="str">
        <f>planned_cdr_ltleds!B36</f>
        <v>DNK</v>
      </c>
      <c r="C37" t="str">
        <f>planned_cdr_ltleds!C36</f>
        <v>Yes</v>
      </c>
      <c r="D37" t="str">
        <f>CONCATENATE(Tabelle2[[#This Row],[EU]],planned_cdr_ltleds!Q36)</f>
        <v>Yes</v>
      </c>
      <c r="E37" t="str">
        <f>CONCATENATE(Tabelle2[[#This Row],[EU]],planned_cdr_ltleds!R36)</f>
        <v>Yes</v>
      </c>
      <c r="F37" t="str">
        <f>planned_cdr_ltleds!S36</f>
        <v/>
      </c>
      <c r="G37">
        <f>-planned_cdr_ltleds!J36</f>
        <v>0</v>
      </c>
      <c r="H37">
        <f>-planned_cdr_ltleds!K36</f>
        <v>0</v>
      </c>
      <c r="I37">
        <f>VLOOKUP(Tabelle2[[#This Row],[iso]],current_cdr_nghgi!$B$2:$J$199,5,FALSE)</f>
        <v>-3.3803776746134102</v>
      </c>
      <c r="J37">
        <f>VLOOKUP(Tabelle2[[#This Row],[iso]],current_cdr_nghgi!$B$2:$J$199,8,FALSE)</f>
        <v>0</v>
      </c>
      <c r="K37">
        <f>SUM(Tabelle2[[#This Row],[lulucf_historical_forest]:[lulucf_historical_other]])</f>
        <v>-3.3803776746134102</v>
      </c>
      <c r="L37">
        <f>Tabelle2[[#This Row],[lulucf_lts]]-Tabelle2[[#This Row],[lulucf_lts_other]]</f>
        <v>0</v>
      </c>
      <c r="M37">
        <f>Tabelle2[[#This Row],[lulucf_historical_other]]</f>
        <v>0</v>
      </c>
      <c r="N37">
        <f>Tabelle2[[#This Row],[lulucf_lts_forest]]-Tabelle2[[#This Row],[lulucf_historical_forest]]</f>
        <v>3.3803776746134102</v>
      </c>
      <c r="O37">
        <f t="shared" si="1"/>
        <v>0.311820390205582</v>
      </c>
      <c r="P37">
        <f>Tabelle2[[#This Row],[correction]]*Tabelle2[[#This Row],[lulucf_historical_forest]]</f>
        <v>-1.0540706855401916</v>
      </c>
      <c r="Q37">
        <f>Tabelle2[[#This Row],[lulucf_historical_forest_direct]]+Tabelle2[[#This Row],[lulucf_historical_other]]</f>
        <v>-1.0540706855401916</v>
      </c>
      <c r="R37">
        <f>IF(Tabelle2[[#This Row],[lulucf_forest_difference]]&gt;0,(Tabelle2[[#This Row],[correction]]*Tabelle2[[#This Row],[lulucf_lts_forest]]),(Tabelle2[[#This Row],[correction]]*Tabelle2[[#This Row],[lulucf_historical_forest]])+Tabelle2[[#This Row],[lulucf_forest_difference]])</f>
        <v>0</v>
      </c>
      <c r="S37" t="b">
        <f>IF(Tabelle2[[#This Row],[lulucf_forest_difference]]&lt;0,Tabelle2[[#This Row],[lulucf_lts]]-#REF!)</f>
        <v>0</v>
      </c>
      <c r="T37">
        <f>Tabelle2[[#This Row],[lulucf_lts_total_direct]]-Tabelle2[[#This Row],[lulucf_historical_total_direct]]</f>
        <v>1.0540706855401916</v>
      </c>
    </row>
    <row r="38" spans="1:20" x14ac:dyDescent="0.25">
      <c r="A38" t="str">
        <f>planned_cdr_ltleds!A37</f>
        <v>Ethiopia</v>
      </c>
      <c r="B38" t="str">
        <f>planned_cdr_ltleds!B37</f>
        <v>ETH</v>
      </c>
      <c r="C38" t="str">
        <f>planned_cdr_ltleds!C37</f>
        <v>No</v>
      </c>
      <c r="D38" t="str">
        <f>CONCATENATE(Tabelle2[[#This Row],[EU]],planned_cdr_ltleds!Q37)</f>
        <v>NoMAX</v>
      </c>
      <c r="E38" t="str">
        <f>CONCATENATE(Tabelle2[[#This Row],[EU]],planned_cdr_ltleds!R37)</f>
        <v>NoMIN</v>
      </c>
      <c r="F38" t="str">
        <f>planned_cdr_ltleds!S37</f>
        <v>MAXMIN</v>
      </c>
      <c r="G38" s="2">
        <f>-planned_cdr_ltleds!J37</f>
        <v>0</v>
      </c>
      <c r="H38" s="2">
        <f>-planned_cdr_ltleds!K37</f>
        <v>-171.29999999999998</v>
      </c>
      <c r="I38" s="2">
        <f>VLOOKUP(Tabelle2[[#This Row],[iso]],current_cdr_nghgi!$B$2:$J$199,5,FALSE)</f>
        <v>-86.915713999999994</v>
      </c>
      <c r="J38" s="2">
        <f>VLOOKUP(Tabelle2[[#This Row],[iso]],current_cdr_nghgi!$B$2:$J$199,8,FALSE)</f>
        <v>-1.13686837721616E-14</v>
      </c>
      <c r="K38" s="2">
        <f>SUM(Tabelle2[[#This Row],[lulucf_historical_forest]:[lulucf_historical_other]])</f>
        <v>-86.915714000000008</v>
      </c>
      <c r="L38" s="2">
        <f>Tabelle2[[#This Row],[lulucf_lts]]-Tabelle2[[#This Row],[lulucf_lts_other]]</f>
        <v>-171.29999999999998</v>
      </c>
      <c r="M38" s="2">
        <f>IF(Tabelle2[[#This Row],[lulucf_historical_other]]&gt;Tabelle2[[#This Row],[lulucf_lts]],Tabelle2[[#This Row],[lulucf_historical_other]],Tabelle2[[#This Row],[lulucf_lts]])</f>
        <v>-1.13686837721616E-14</v>
      </c>
      <c r="N38" s="2">
        <f>Tabelle2[[#This Row],[lulucf_lts_forest]]-Tabelle2[[#This Row],[lulucf_historical_forest]]</f>
        <v>-84.384285999999989</v>
      </c>
      <c r="O38" s="2">
        <f t="shared" si="1"/>
        <v>0.311820390205582</v>
      </c>
      <c r="P38" s="2">
        <f>Tabelle2[[#This Row],[correction]]*Tabelle2[[#This Row],[lulucf_historical_forest]]</f>
        <v>-27.102091854476765</v>
      </c>
      <c r="Q38" s="2">
        <f>Tabelle2[[#This Row],[lulucf_historical_forest_direct]]+Tabelle2[[#This Row],[lulucf_historical_other]]</f>
        <v>-27.102091854476775</v>
      </c>
      <c r="R38" s="2">
        <f>IF(Tabelle2[[#This Row],[lulucf_forest_difference]]&gt;0,(Tabelle2[[#This Row],[correction]]*Tabelle2[[#This Row],[lulucf_lts_forest]]),(Tabelle2[[#This Row],[correction]]*Tabelle2[[#This Row],[lulucf_historical_forest]])+Tabelle2[[#This Row],[lulucf_forest_difference]])</f>
        <v>-111.48637785447676</v>
      </c>
      <c r="S38" s="2">
        <f>Tabelle2[[#This Row],[lulucf_lts_forest_direct]]+Tabelle2[[#This Row],[lulucf_lts_other]]</f>
        <v>-111.48637785447677</v>
      </c>
      <c r="T38" s="2">
        <f>Tabelle2[[#This Row],[lulucf_lts_total_direct]]-Tabelle2[[#This Row],[lulucf_historical_total_direct]]</f>
        <v>-84.384286000000003</v>
      </c>
    </row>
    <row r="39" spans="1:20" hidden="1" x14ac:dyDescent="0.25">
      <c r="A39" t="str">
        <f>planned_cdr_ltleds!A38</f>
        <v>Estonia</v>
      </c>
      <c r="B39" t="str">
        <f>planned_cdr_ltleds!B38</f>
        <v>EST</v>
      </c>
      <c r="C39" t="str">
        <f>planned_cdr_ltleds!C38</f>
        <v>Yes</v>
      </c>
      <c r="D39" t="str">
        <f>CONCATENATE(Tabelle2[[#This Row],[EU]],planned_cdr_ltleds!Q38)</f>
        <v>YesMAX</v>
      </c>
      <c r="E39" t="str">
        <f>CONCATENATE(Tabelle2[[#This Row],[EU]],planned_cdr_ltleds!R38)</f>
        <v>YesMIN</v>
      </c>
      <c r="F39" t="str">
        <f>planned_cdr_ltleds!S38</f>
        <v>MAXMIN</v>
      </c>
      <c r="G39">
        <f>-planned_cdr_ltleds!J38</f>
        <v>0</v>
      </c>
      <c r="H39">
        <f>-planned_cdr_ltleds!K38</f>
        <v>-2.57</v>
      </c>
      <c r="I39">
        <f>VLOOKUP(Tabelle2[[#This Row],[iso]],current_cdr_nghgi!$B$2:$J$199,5,FALSE)</f>
        <v>-4.4781491304996299</v>
      </c>
      <c r="J39">
        <f>VLOOKUP(Tabelle2[[#This Row],[iso]],current_cdr_nghgi!$B$2:$J$199,8,FALSE)</f>
        <v>0</v>
      </c>
      <c r="K39">
        <f>SUM(Tabelle2[[#This Row],[lulucf_historical_forest]:[lulucf_historical_other]])</f>
        <v>-4.4781491304996299</v>
      </c>
      <c r="L39">
        <f>Tabelle2[[#This Row],[lulucf_lts]]-Tabelle2[[#This Row],[lulucf_lts_other]]</f>
        <v>-2.57</v>
      </c>
      <c r="M39">
        <f>Tabelle2[[#This Row],[lulucf_historical_other]]</f>
        <v>0</v>
      </c>
      <c r="N39">
        <f>Tabelle2[[#This Row],[lulucf_lts_forest]]-Tabelle2[[#This Row],[lulucf_historical_forest]]</f>
        <v>1.9081491304996301</v>
      </c>
      <c r="O39">
        <f t="shared" si="1"/>
        <v>0.311820390205582</v>
      </c>
      <c r="P39">
        <f>Tabelle2[[#This Row],[correction]]*Tabelle2[[#This Row],[lulucf_historical_forest]]</f>
        <v>-1.3963782092711823</v>
      </c>
      <c r="Q39">
        <f>Tabelle2[[#This Row],[lulucf_historical_forest_direct]]+Tabelle2[[#This Row],[lulucf_historical_other]]</f>
        <v>-1.3963782092711823</v>
      </c>
      <c r="R39">
        <f>IF(Tabelle2[[#This Row],[lulucf_forest_difference]]&gt;0,(Tabelle2[[#This Row],[correction]]*Tabelle2[[#This Row],[lulucf_lts_forest]]),(Tabelle2[[#This Row],[correction]]*Tabelle2[[#This Row],[lulucf_historical_forest]])+Tabelle2[[#This Row],[lulucf_forest_difference]])</f>
        <v>-0.80137840282834572</v>
      </c>
      <c r="S39" t="b">
        <f>IF(Tabelle2[[#This Row],[lulucf_forest_difference]]&lt;0,Tabelle2[[#This Row],[lulucf_lts]]-#REF!)</f>
        <v>0</v>
      </c>
      <c r="T39">
        <f>Tabelle2[[#This Row],[lulucf_lts_total_direct]]-Tabelle2[[#This Row],[lulucf_historical_total_direct]]</f>
        <v>1.3963782092711823</v>
      </c>
    </row>
    <row r="40" spans="1:20" x14ac:dyDescent="0.25">
      <c r="A40" t="str">
        <f>planned_cdr_ltleds!A39</f>
        <v>Fiji</v>
      </c>
      <c r="B40" t="str">
        <f>planned_cdr_ltleds!B39</f>
        <v>FJI</v>
      </c>
      <c r="C40" t="str">
        <f>planned_cdr_ltleds!C39</f>
        <v>No</v>
      </c>
      <c r="D40" t="str">
        <f>CONCATENATE(Tabelle2[[#This Row],[EU]],planned_cdr_ltleds!Q39)</f>
        <v>NoMAX</v>
      </c>
      <c r="E40" t="str">
        <f>CONCATENATE(Tabelle2[[#This Row],[EU]],planned_cdr_ltleds!R39)</f>
        <v>NoMIN</v>
      </c>
      <c r="F40" t="str">
        <f>planned_cdr_ltleds!S39</f>
        <v>MAXMIN</v>
      </c>
      <c r="G40" s="2">
        <f>-planned_cdr_ltleds!J39</f>
        <v>0</v>
      </c>
      <c r="H40" s="2">
        <f>-planned_cdr_ltleds!K39</f>
        <v>-1.709738</v>
      </c>
      <c r="I40" s="2">
        <f>VLOOKUP(Tabelle2[[#This Row],[iso]],current_cdr_nghgi!$B$2:$J$199,5,FALSE)</f>
        <v>0</v>
      </c>
      <c r="J40" s="2">
        <f>VLOOKUP(Tabelle2[[#This Row],[iso]],current_cdr_nghgi!$B$2:$J$199,8,FALSE)</f>
        <v>0</v>
      </c>
      <c r="K40" s="2">
        <f>SUM(Tabelle2[[#This Row],[lulucf_historical_forest]:[lulucf_historical_other]])</f>
        <v>0</v>
      </c>
      <c r="L40" s="2">
        <f>Tabelle2[[#This Row],[lulucf_lts]]-Tabelle2[[#This Row],[lulucf_lts_other]]</f>
        <v>-1.709738</v>
      </c>
      <c r="M40" s="2">
        <f>IF(Tabelle2[[#This Row],[lulucf_historical_other]]&gt;Tabelle2[[#This Row],[lulucf_lts]],Tabelle2[[#This Row],[lulucf_historical_other]],Tabelle2[[#This Row],[lulucf_lts]])</f>
        <v>0</v>
      </c>
      <c r="N40" s="2">
        <f>Tabelle2[[#This Row],[lulucf_lts_forest]]-Tabelle2[[#This Row],[lulucf_historical_forest]]</f>
        <v>-1.709738</v>
      </c>
      <c r="O40" s="2">
        <f t="shared" si="1"/>
        <v>0.311820390205582</v>
      </c>
      <c r="P40" s="2">
        <f>Tabelle2[[#This Row],[correction]]*Tabelle2[[#This Row],[lulucf_historical_forest]]</f>
        <v>0</v>
      </c>
      <c r="Q40" s="2">
        <f>Tabelle2[[#This Row],[lulucf_historical_forest_direct]]+Tabelle2[[#This Row],[lulucf_historical_other]]</f>
        <v>0</v>
      </c>
      <c r="R40" s="2">
        <f>IF(Tabelle2[[#This Row],[lulucf_forest_difference]]&gt;0,(Tabelle2[[#This Row],[correction]]*Tabelle2[[#This Row],[lulucf_lts_forest]]),(Tabelle2[[#This Row],[correction]]*Tabelle2[[#This Row],[lulucf_historical_forest]])+Tabelle2[[#This Row],[lulucf_forest_difference]])</f>
        <v>-1.709738</v>
      </c>
      <c r="S40" s="2">
        <f>Tabelle2[[#This Row],[lulucf_lts_forest_direct]]+Tabelle2[[#This Row],[lulucf_lts_other]]</f>
        <v>-1.709738</v>
      </c>
      <c r="T40" s="2">
        <f>Tabelle2[[#This Row],[lulucf_lts_total_direct]]-Tabelle2[[#This Row],[lulucf_historical_total_direct]]</f>
        <v>-1.709738</v>
      </c>
    </row>
    <row r="41" spans="1:20" hidden="1" x14ac:dyDescent="0.25">
      <c r="A41" t="str">
        <f>planned_cdr_ltleds!A40</f>
        <v>Finland</v>
      </c>
      <c r="B41" t="str">
        <f>planned_cdr_ltleds!B40</f>
        <v>FIN</v>
      </c>
      <c r="C41" t="str">
        <f>planned_cdr_ltleds!C40</f>
        <v>Yes</v>
      </c>
      <c r="D41" t="str">
        <f>CONCATENATE(Tabelle2[[#This Row],[EU]],planned_cdr_ltleds!Q40)</f>
        <v>YesMAX</v>
      </c>
      <c r="E41" t="str">
        <f>CONCATENATE(Tabelle2[[#This Row],[EU]],planned_cdr_ltleds!R40)</f>
        <v>Yes</v>
      </c>
      <c r="F41" t="str">
        <f>planned_cdr_ltleds!S40</f>
        <v>MAX</v>
      </c>
      <c r="G41">
        <f>-planned_cdr_ltleds!J40</f>
        <v>-11.467000000000001</v>
      </c>
      <c r="H41">
        <f>-planned_cdr_ltleds!K40</f>
        <v>-16.39</v>
      </c>
      <c r="I41">
        <f>VLOOKUP(Tabelle2[[#This Row],[iso]],current_cdr_nghgi!$B$2:$J$199,5,FALSE)</f>
        <v>-37.461334166666703</v>
      </c>
      <c r="J41">
        <f>VLOOKUP(Tabelle2[[#This Row],[iso]],current_cdr_nghgi!$B$2:$J$199,8,FALSE)</f>
        <v>0</v>
      </c>
      <c r="K41">
        <f>SUM(Tabelle2[[#This Row],[lulucf_historical_forest]:[lulucf_historical_other]])</f>
        <v>-37.461334166666703</v>
      </c>
      <c r="L41">
        <f>Tabelle2[[#This Row],[lulucf_lts]]-Tabelle2[[#This Row],[lulucf_lts_other]]</f>
        <v>-16.39</v>
      </c>
      <c r="M41">
        <f>Tabelle2[[#This Row],[lulucf_historical_other]]</f>
        <v>0</v>
      </c>
      <c r="N41">
        <f>Tabelle2[[#This Row],[lulucf_lts_forest]]-Tabelle2[[#This Row],[lulucf_historical_forest]]</f>
        <v>21.071334166666702</v>
      </c>
      <c r="O41">
        <f t="shared" si="1"/>
        <v>0.311820390205582</v>
      </c>
      <c r="P41">
        <f>Tabelle2[[#This Row],[correction]]*Tabelle2[[#This Row],[lulucf_historical_forest]]</f>
        <v>-11.681207837471712</v>
      </c>
      <c r="Q41">
        <f>Tabelle2[[#This Row],[lulucf_historical_forest_direct]]+Tabelle2[[#This Row],[lulucf_historical_other]]</f>
        <v>-11.681207837471712</v>
      </c>
      <c r="R41">
        <f>IF(Tabelle2[[#This Row],[lulucf_forest_difference]]&gt;0,(Tabelle2[[#This Row],[correction]]*Tabelle2[[#This Row],[lulucf_lts_forest]]),(Tabelle2[[#This Row],[correction]]*Tabelle2[[#This Row],[lulucf_historical_forest]])+Tabelle2[[#This Row],[lulucf_forest_difference]])</f>
        <v>-5.1107361954694888</v>
      </c>
      <c r="S41" t="b">
        <f>IF(Tabelle2[[#This Row],[lulucf_forest_difference]]&lt;0,Tabelle2[[#This Row],[lulucf_lts]]-#REF!)</f>
        <v>0</v>
      </c>
      <c r="T41">
        <f>Tabelle2[[#This Row],[lulucf_lts_total_direct]]-Tabelle2[[#This Row],[lulucf_historical_total_direct]]</f>
        <v>11.681207837471712</v>
      </c>
    </row>
    <row r="42" spans="1:20" hidden="1" x14ac:dyDescent="0.25">
      <c r="A42" t="str">
        <f>planned_cdr_ltleds!A41</f>
        <v>Finland</v>
      </c>
      <c r="B42" t="str">
        <f>planned_cdr_ltleds!B41</f>
        <v>FIN</v>
      </c>
      <c r="C42" t="str">
        <f>planned_cdr_ltleds!C41</f>
        <v>Yes</v>
      </c>
      <c r="D42" t="str">
        <f>CONCATENATE(Tabelle2[[#This Row],[EU]],planned_cdr_ltleds!Q41)</f>
        <v>Yes</v>
      </c>
      <c r="E42" t="str">
        <f>CONCATENATE(Tabelle2[[#This Row],[EU]],planned_cdr_ltleds!R41)</f>
        <v>YesMIN</v>
      </c>
      <c r="F42" t="str">
        <f>planned_cdr_ltleds!S41</f>
        <v>MIN</v>
      </c>
      <c r="G42">
        <f>-planned_cdr_ltleds!J41</f>
        <v>0</v>
      </c>
      <c r="H42">
        <f>-planned_cdr_ltleds!K41</f>
        <v>-40.020000000000003</v>
      </c>
      <c r="I42">
        <f>VLOOKUP(Tabelle2[[#This Row],[iso]],current_cdr_nghgi!$B$2:$J$199,5,FALSE)</f>
        <v>-37.461334166666703</v>
      </c>
      <c r="J42">
        <f>VLOOKUP(Tabelle2[[#This Row],[iso]],current_cdr_nghgi!$B$2:$J$199,8,FALSE)</f>
        <v>0</v>
      </c>
      <c r="K42">
        <f>SUM(Tabelle2[[#This Row],[lulucf_historical_forest]:[lulucf_historical_other]])</f>
        <v>-37.461334166666703</v>
      </c>
      <c r="L42">
        <f>Tabelle2[[#This Row],[lulucf_lts]]-Tabelle2[[#This Row],[lulucf_lts_other]]</f>
        <v>-40.020000000000003</v>
      </c>
      <c r="M42">
        <f>Tabelle2[[#This Row],[lulucf_historical_other]]</f>
        <v>0</v>
      </c>
      <c r="N42">
        <f>Tabelle2[[#This Row],[lulucf_lts_forest]]-Tabelle2[[#This Row],[lulucf_historical_forest]]</f>
        <v>-2.5586658333333006</v>
      </c>
      <c r="O42">
        <f t="shared" si="1"/>
        <v>0.311820390205582</v>
      </c>
      <c r="P42">
        <f>Tabelle2[[#This Row],[correction]]*Tabelle2[[#This Row],[lulucf_historical_forest]]</f>
        <v>-11.681207837471712</v>
      </c>
      <c r="Q42">
        <f>Tabelle2[[#This Row],[lulucf_historical_forest_direct]]+Tabelle2[[#This Row],[lulucf_historical_other]]</f>
        <v>-11.681207837471712</v>
      </c>
      <c r="R42">
        <f>IF(Tabelle2[[#This Row],[lulucf_forest_difference]]&gt;0,(Tabelle2[[#This Row],[correction]]*Tabelle2[[#This Row],[lulucf_lts_forest]]),(Tabelle2[[#This Row],[correction]]*Tabelle2[[#This Row],[lulucf_historical_forest]])+Tabelle2[[#This Row],[lulucf_forest_difference]])</f>
        <v>-14.239873670805013</v>
      </c>
      <c r="S42" t="e">
        <f>IF(Tabelle2[[#This Row],[lulucf_forest_difference]]&lt;0,Tabelle2[[#This Row],[lulucf_lts]]-#REF!)</f>
        <v>#REF!</v>
      </c>
      <c r="T42" t="e">
        <f>Tabelle2[[#This Row],[lulucf_lts_total_direct]]-Tabelle2[[#This Row],[lulucf_historical_total_direct]]</f>
        <v>#REF!</v>
      </c>
    </row>
    <row r="43" spans="1:20" hidden="1" x14ac:dyDescent="0.25">
      <c r="A43" t="str">
        <f>planned_cdr_ltleds!A42</f>
        <v>France</v>
      </c>
      <c r="B43" t="str">
        <f>planned_cdr_ltleds!B42</f>
        <v>FRA</v>
      </c>
      <c r="C43" t="str">
        <f>planned_cdr_ltleds!C42</f>
        <v>Yes</v>
      </c>
      <c r="D43" t="str">
        <f>CONCATENATE(Tabelle2[[#This Row],[EU]],planned_cdr_ltleds!Q42)</f>
        <v>YesMAX</v>
      </c>
      <c r="E43" t="str">
        <f>CONCATENATE(Tabelle2[[#This Row],[EU]],planned_cdr_ltleds!R42)</f>
        <v>YesMIN</v>
      </c>
      <c r="F43" t="str">
        <f>planned_cdr_ltleds!S42</f>
        <v>MAXMIN</v>
      </c>
      <c r="G43">
        <f>-planned_cdr_ltleds!J42</f>
        <v>-10</v>
      </c>
      <c r="H43">
        <f>-planned_cdr_ltleds!K42</f>
        <v>-67</v>
      </c>
      <c r="I43">
        <f>VLOOKUP(Tabelle2[[#This Row],[iso]],current_cdr_nghgi!$B$2:$J$199,5,FALSE)</f>
        <v>-46.568795441138796</v>
      </c>
      <c r="J43">
        <f>VLOOKUP(Tabelle2[[#This Row],[iso]],current_cdr_nghgi!$B$2:$J$199,8,FALSE)</f>
        <v>0</v>
      </c>
      <c r="K43">
        <f>SUM(Tabelle2[[#This Row],[lulucf_historical_forest]:[lulucf_historical_other]])</f>
        <v>-46.568795441138796</v>
      </c>
      <c r="L43">
        <f>Tabelle2[[#This Row],[lulucf_lts]]-Tabelle2[[#This Row],[lulucf_lts_other]]</f>
        <v>-67</v>
      </c>
      <c r="M43">
        <f>Tabelle2[[#This Row],[lulucf_historical_other]]</f>
        <v>0</v>
      </c>
      <c r="N43">
        <f>Tabelle2[[#This Row],[lulucf_lts_forest]]-Tabelle2[[#This Row],[lulucf_historical_forest]]</f>
        <v>-20.431204558861204</v>
      </c>
      <c r="O43">
        <f t="shared" si="1"/>
        <v>0.311820390205582</v>
      </c>
      <c r="P43">
        <f>Tabelle2[[#This Row],[correction]]*Tabelle2[[#This Row],[lulucf_historical_forest]]</f>
        <v>-14.521099965859827</v>
      </c>
      <c r="Q43">
        <f>Tabelle2[[#This Row],[lulucf_historical_forest_direct]]+Tabelle2[[#This Row],[lulucf_historical_other]]</f>
        <v>-14.521099965859827</v>
      </c>
      <c r="R43">
        <f>IF(Tabelle2[[#This Row],[lulucf_forest_difference]]&gt;0,(Tabelle2[[#This Row],[correction]]*Tabelle2[[#This Row],[lulucf_lts_forest]]),(Tabelle2[[#This Row],[correction]]*Tabelle2[[#This Row],[lulucf_historical_forest]])+Tabelle2[[#This Row],[lulucf_forest_difference]])</f>
        <v>-34.952304524721029</v>
      </c>
      <c r="S43" t="e">
        <f>IF(Tabelle2[[#This Row],[lulucf_forest_difference]]&lt;0,Tabelle2[[#This Row],[lulucf_lts]]-#REF!)</f>
        <v>#REF!</v>
      </c>
      <c r="T43" t="e">
        <f>Tabelle2[[#This Row],[lulucf_lts_total_direct]]-Tabelle2[[#This Row],[lulucf_historical_total_direct]]</f>
        <v>#REF!</v>
      </c>
    </row>
    <row r="44" spans="1:20" hidden="1" x14ac:dyDescent="0.25">
      <c r="A44" t="str">
        <f>planned_cdr_ltleds!A43</f>
        <v>Gambia</v>
      </c>
      <c r="B44" t="str">
        <f>planned_cdr_ltleds!B43</f>
        <v>GMB</v>
      </c>
      <c r="C44" t="str">
        <f>planned_cdr_ltleds!C43</f>
        <v>No</v>
      </c>
      <c r="D44" t="str">
        <f>CONCATENATE(Tabelle2[[#This Row],[EU]],planned_cdr_ltleds!Q43)</f>
        <v>No</v>
      </c>
      <c r="E44" t="str">
        <f>CONCATENATE(Tabelle2[[#This Row],[EU]],planned_cdr_ltleds!R43)</f>
        <v>No</v>
      </c>
      <c r="F44" t="str">
        <f>planned_cdr_ltleds!S43</f>
        <v/>
      </c>
      <c r="G44">
        <f>-planned_cdr_ltleds!J43</f>
        <v>0</v>
      </c>
      <c r="H44">
        <f>-planned_cdr_ltleds!K43</f>
        <v>0</v>
      </c>
      <c r="I44">
        <f>VLOOKUP(Tabelle2[[#This Row],[iso]],current_cdr_nghgi!$B$2:$J$199,5,FALSE)</f>
        <v>-1.109</v>
      </c>
      <c r="J44">
        <f>VLOOKUP(Tabelle2[[#This Row],[iso]],current_cdr_nghgi!$B$2:$J$199,8,FALSE)</f>
        <v>0</v>
      </c>
      <c r="K44">
        <f>SUM(Tabelle2[[#This Row],[lulucf_historical_forest]:[lulucf_historical_other]])</f>
        <v>-1.109</v>
      </c>
      <c r="L44">
        <f>Tabelle2[[#This Row],[lulucf_lts]]-Tabelle2[[#This Row],[lulucf_lts_other]]</f>
        <v>0</v>
      </c>
      <c r="M44">
        <f>Tabelle2[[#This Row],[lulucf_historical_other]]</f>
        <v>0</v>
      </c>
      <c r="N44">
        <f>Tabelle2[[#This Row],[lulucf_lts_forest]]-Tabelle2[[#This Row],[lulucf_historical_forest]]</f>
        <v>1.109</v>
      </c>
      <c r="O44">
        <f t="shared" si="1"/>
        <v>0.311820390205582</v>
      </c>
      <c r="P44">
        <f>Tabelle2[[#This Row],[correction]]*Tabelle2[[#This Row],[lulucf_historical_forest]]</f>
        <v>-0.34580881273799041</v>
      </c>
      <c r="Q44">
        <f>Tabelle2[[#This Row],[lulucf_historical_forest_direct]]+Tabelle2[[#This Row],[lulucf_historical_other]]</f>
        <v>-0.34580881273799041</v>
      </c>
      <c r="R44">
        <f>IF(Tabelle2[[#This Row],[lulucf_forest_difference]]&gt;0,(Tabelle2[[#This Row],[correction]]*Tabelle2[[#This Row],[lulucf_lts_forest]]),(Tabelle2[[#This Row],[correction]]*Tabelle2[[#This Row],[lulucf_historical_forest]])+Tabelle2[[#This Row],[lulucf_forest_difference]])</f>
        <v>0</v>
      </c>
      <c r="S44" t="b">
        <f>IF(Tabelle2[[#This Row],[lulucf_forest_difference]]&lt;0,Tabelle2[[#This Row],[lulucf_lts]]-#REF!)</f>
        <v>0</v>
      </c>
      <c r="T44">
        <f>Tabelle2[[#This Row],[lulucf_lts_total_direct]]-Tabelle2[[#This Row],[lulucf_historical_total_direct]]</f>
        <v>0.34580881273799041</v>
      </c>
    </row>
    <row r="45" spans="1:20" x14ac:dyDescent="0.25">
      <c r="A45" t="str">
        <f>planned_cdr_ltleds!A44</f>
        <v>Georgia</v>
      </c>
      <c r="B45" t="str">
        <f>planned_cdr_ltleds!B44</f>
        <v>GEO</v>
      </c>
      <c r="C45" t="str">
        <f>planned_cdr_ltleds!C44</f>
        <v>No</v>
      </c>
      <c r="D45" t="str">
        <f>CONCATENATE(Tabelle2[[#This Row],[EU]],planned_cdr_ltleds!Q44)</f>
        <v>NoMAX</v>
      </c>
      <c r="E45" t="str">
        <f>CONCATENATE(Tabelle2[[#This Row],[EU]],planned_cdr_ltleds!R44)</f>
        <v>No</v>
      </c>
      <c r="F45" t="str">
        <f>planned_cdr_ltleds!S44</f>
        <v>MAX</v>
      </c>
      <c r="G45" s="2">
        <f>-planned_cdr_ltleds!J44</f>
        <v>0</v>
      </c>
      <c r="H45" s="2">
        <f>-planned_cdr_ltleds!K44</f>
        <v>-10.74</v>
      </c>
      <c r="I45" s="2">
        <f>VLOOKUP(Tabelle2[[#This Row],[iso]],current_cdr_nghgi!$B$2:$J$199,5,FALSE)</f>
        <v>-5.6060299999999996</v>
      </c>
      <c r="J45" s="2">
        <f>VLOOKUP(Tabelle2[[#This Row],[iso]],current_cdr_nghgi!$B$2:$J$199,8,FALSE)</f>
        <v>0</v>
      </c>
      <c r="K45" s="2">
        <f>SUM(Tabelle2[[#This Row],[lulucf_historical_forest]:[lulucf_historical_other]])</f>
        <v>-5.6060299999999996</v>
      </c>
      <c r="L45" s="2">
        <f>Tabelle2[[#This Row],[lulucf_lts]]-Tabelle2[[#This Row],[lulucf_lts_other]]</f>
        <v>-10.74</v>
      </c>
      <c r="M45" s="2">
        <f>IF(Tabelle2[[#This Row],[lulucf_historical_other]]&gt;Tabelle2[[#This Row],[lulucf_lts]],Tabelle2[[#This Row],[lulucf_historical_other]],Tabelle2[[#This Row],[lulucf_lts]])</f>
        <v>0</v>
      </c>
      <c r="N45" s="2">
        <f>Tabelle2[[#This Row],[lulucf_lts_forest]]-Tabelle2[[#This Row],[lulucf_historical_forest]]</f>
        <v>-5.1339700000000006</v>
      </c>
      <c r="O45" s="2">
        <f t="shared" si="1"/>
        <v>0.311820390205582</v>
      </c>
      <c r="P45" s="2">
        <f>Tabelle2[[#This Row],[correction]]*Tabelle2[[#This Row],[lulucf_historical_forest]]</f>
        <v>-1.7480744621041988</v>
      </c>
      <c r="Q45" s="2">
        <f>Tabelle2[[#This Row],[lulucf_historical_forest_direct]]+Tabelle2[[#This Row],[lulucf_historical_other]]</f>
        <v>-1.7480744621041988</v>
      </c>
      <c r="R45" s="2">
        <f>IF(Tabelle2[[#This Row],[lulucf_forest_difference]]&gt;0,(Tabelle2[[#This Row],[correction]]*Tabelle2[[#This Row],[lulucf_lts_forest]]),(Tabelle2[[#This Row],[correction]]*Tabelle2[[#This Row],[lulucf_historical_forest]])+Tabelle2[[#This Row],[lulucf_forest_difference]])</f>
        <v>-6.882044462104199</v>
      </c>
      <c r="S45" s="2">
        <f>Tabelle2[[#This Row],[lulucf_lts_forest_direct]]+Tabelle2[[#This Row],[lulucf_lts_other]]</f>
        <v>-6.882044462104199</v>
      </c>
      <c r="T45" s="2">
        <f>Tabelle2[[#This Row],[lulucf_lts_total_direct]]-Tabelle2[[#This Row],[lulucf_historical_total_direct]]</f>
        <v>-5.1339699999999997</v>
      </c>
    </row>
    <row r="46" spans="1:20" x14ac:dyDescent="0.25">
      <c r="A46" t="str">
        <f>planned_cdr_ltleds!A45</f>
        <v>Georgia</v>
      </c>
      <c r="B46" t="str">
        <f>planned_cdr_ltleds!B45</f>
        <v>GEO</v>
      </c>
      <c r="C46" t="str">
        <f>planned_cdr_ltleds!C45</f>
        <v>No</v>
      </c>
      <c r="D46" t="str">
        <f>CONCATENATE(Tabelle2[[#This Row],[EU]],planned_cdr_ltleds!Q45)</f>
        <v>No</v>
      </c>
      <c r="E46" t="str">
        <f>CONCATENATE(Tabelle2[[#This Row],[EU]],planned_cdr_ltleds!R45)</f>
        <v>NoMIN</v>
      </c>
      <c r="F46" t="str">
        <f>planned_cdr_ltleds!S45</f>
        <v>MIN</v>
      </c>
      <c r="G46" s="2">
        <f>-planned_cdr_ltleds!J45</f>
        <v>0</v>
      </c>
      <c r="H46" s="2">
        <f>-planned_cdr_ltleds!K45</f>
        <v>-10.74</v>
      </c>
      <c r="I46" s="2">
        <f>VLOOKUP(Tabelle2[[#This Row],[iso]],current_cdr_nghgi!$B$2:$J$199,5,FALSE)</f>
        <v>-5.6060299999999996</v>
      </c>
      <c r="J46" s="2">
        <f>VLOOKUP(Tabelle2[[#This Row],[iso]],current_cdr_nghgi!$B$2:$J$199,8,FALSE)</f>
        <v>0</v>
      </c>
      <c r="K46" s="2">
        <f>SUM(Tabelle2[[#This Row],[lulucf_historical_forest]:[lulucf_historical_other]])</f>
        <v>-5.6060299999999996</v>
      </c>
      <c r="L46" s="2">
        <f>Tabelle2[[#This Row],[lulucf_lts]]-Tabelle2[[#This Row],[lulucf_lts_other]]</f>
        <v>-10.74</v>
      </c>
      <c r="M46" s="2">
        <f>IF(Tabelle2[[#This Row],[lulucf_historical_other]]&gt;Tabelle2[[#This Row],[lulucf_lts]],Tabelle2[[#This Row],[lulucf_historical_other]],Tabelle2[[#This Row],[lulucf_lts]])</f>
        <v>0</v>
      </c>
      <c r="N46" s="2">
        <f>Tabelle2[[#This Row],[lulucf_lts_forest]]-Tabelle2[[#This Row],[lulucf_historical_forest]]</f>
        <v>-5.1339700000000006</v>
      </c>
      <c r="O46" s="2">
        <f t="shared" si="1"/>
        <v>0.311820390205582</v>
      </c>
      <c r="P46" s="2">
        <f>Tabelle2[[#This Row],[correction]]*Tabelle2[[#This Row],[lulucf_historical_forest]]</f>
        <v>-1.7480744621041988</v>
      </c>
      <c r="Q46" s="2">
        <f>Tabelle2[[#This Row],[lulucf_historical_forest_direct]]+Tabelle2[[#This Row],[lulucf_historical_other]]</f>
        <v>-1.7480744621041988</v>
      </c>
      <c r="R46" s="2">
        <f>IF(Tabelle2[[#This Row],[lulucf_forest_difference]]&gt;0,(Tabelle2[[#This Row],[correction]]*Tabelle2[[#This Row],[lulucf_lts_forest]]),(Tabelle2[[#This Row],[correction]]*Tabelle2[[#This Row],[lulucf_historical_forest]])+Tabelle2[[#This Row],[lulucf_forest_difference]])</f>
        <v>-6.882044462104199</v>
      </c>
      <c r="S46" s="2">
        <f>Tabelle2[[#This Row],[lulucf_lts_forest_direct]]+Tabelle2[[#This Row],[lulucf_lts_other]]</f>
        <v>-6.882044462104199</v>
      </c>
      <c r="T46" s="2">
        <f>Tabelle2[[#This Row],[lulucf_lts_total_direct]]-Tabelle2[[#This Row],[lulucf_historical_total_direct]]</f>
        <v>-5.1339699999999997</v>
      </c>
    </row>
    <row r="47" spans="1:20" hidden="1" x14ac:dyDescent="0.25">
      <c r="A47" t="str">
        <f>planned_cdr_ltleds!A46</f>
        <v>Germany</v>
      </c>
      <c r="B47" t="str">
        <f>planned_cdr_ltleds!B46</f>
        <v>DEU</v>
      </c>
      <c r="C47" t="str">
        <f>planned_cdr_ltleds!C46</f>
        <v>Yes</v>
      </c>
      <c r="D47" t="str">
        <f>CONCATENATE(Tabelle2[[#This Row],[EU]],planned_cdr_ltleds!Q46)</f>
        <v>Yes</v>
      </c>
      <c r="E47" t="str">
        <f>CONCATENATE(Tabelle2[[#This Row],[EU]],planned_cdr_ltleds!R46)</f>
        <v>Yes</v>
      </c>
      <c r="F47" t="str">
        <f>planned_cdr_ltleds!S46</f>
        <v/>
      </c>
      <c r="G47">
        <f>-planned_cdr_ltleds!J46</f>
        <v>0</v>
      </c>
      <c r="H47">
        <f>-planned_cdr_ltleds!K46</f>
        <v>0</v>
      </c>
      <c r="I47">
        <f>VLOOKUP(Tabelle2[[#This Row],[iso]],current_cdr_nghgi!$B$2:$J$199,5,FALSE)</f>
        <v>-65.311299323058591</v>
      </c>
      <c r="J47">
        <f>VLOOKUP(Tabelle2[[#This Row],[iso]],current_cdr_nghgi!$B$2:$J$199,8,FALSE)</f>
        <v>0</v>
      </c>
      <c r="K47">
        <f>SUM(Tabelle2[[#This Row],[lulucf_historical_forest]:[lulucf_historical_other]])</f>
        <v>-65.311299323058591</v>
      </c>
      <c r="L47">
        <f>Tabelle2[[#This Row],[lulucf_lts]]-Tabelle2[[#This Row],[lulucf_lts_other]]</f>
        <v>0</v>
      </c>
      <c r="M47">
        <f>Tabelle2[[#This Row],[lulucf_historical_other]]</f>
        <v>0</v>
      </c>
      <c r="N47">
        <f>Tabelle2[[#This Row],[lulucf_lts_forest]]-Tabelle2[[#This Row],[lulucf_historical_forest]]</f>
        <v>65.311299323058591</v>
      </c>
      <c r="O47">
        <f t="shared" si="1"/>
        <v>0.311820390205582</v>
      </c>
      <c r="P47">
        <f>Tabelle2[[#This Row],[correction]]*Tabelle2[[#This Row],[lulucf_historical_forest]]</f>
        <v>-20.365394839749694</v>
      </c>
      <c r="Q47">
        <f>Tabelle2[[#This Row],[lulucf_historical_forest_direct]]+Tabelle2[[#This Row],[lulucf_historical_other]]</f>
        <v>-20.365394839749694</v>
      </c>
      <c r="R47">
        <f>IF(Tabelle2[[#This Row],[lulucf_forest_difference]]&gt;0,(Tabelle2[[#This Row],[correction]]*Tabelle2[[#This Row],[lulucf_lts_forest]]),(Tabelle2[[#This Row],[correction]]*Tabelle2[[#This Row],[lulucf_historical_forest]])+Tabelle2[[#This Row],[lulucf_forest_difference]])</f>
        <v>0</v>
      </c>
      <c r="S47" t="b">
        <f>IF(Tabelle2[[#This Row],[lulucf_forest_difference]]&lt;0,Tabelle2[[#This Row],[lulucf_lts]]-#REF!)</f>
        <v>0</v>
      </c>
      <c r="T47">
        <f>Tabelle2[[#This Row],[lulucf_lts_total_direct]]-Tabelle2[[#This Row],[lulucf_historical_total_direct]]</f>
        <v>20.365394839749694</v>
      </c>
    </row>
    <row r="48" spans="1:20" hidden="1" x14ac:dyDescent="0.25">
      <c r="A48" t="str">
        <f>planned_cdr_ltleds!A47</f>
        <v>Guatemala</v>
      </c>
      <c r="B48" t="str">
        <f>planned_cdr_ltleds!B47</f>
        <v>GTM</v>
      </c>
      <c r="C48" t="str">
        <f>planned_cdr_ltleds!C47</f>
        <v>No</v>
      </c>
      <c r="D48" t="str">
        <f>CONCATENATE(Tabelle2[[#This Row],[EU]],planned_cdr_ltleds!Q47)</f>
        <v>No</v>
      </c>
      <c r="E48" t="str">
        <f>CONCATENATE(Tabelle2[[#This Row],[EU]],planned_cdr_ltleds!R47)</f>
        <v>No</v>
      </c>
      <c r="F48" t="str">
        <f>planned_cdr_ltleds!S47</f>
        <v/>
      </c>
      <c r="G48">
        <f>-planned_cdr_ltleds!J47</f>
        <v>0</v>
      </c>
      <c r="H48">
        <f>-planned_cdr_ltleds!K47</f>
        <v>0</v>
      </c>
      <c r="I48">
        <f>VLOOKUP(Tabelle2[[#This Row],[iso]],current_cdr_nghgi!$B$2:$J$199,5,FALSE)</f>
        <v>-9.6962100000000007</v>
      </c>
      <c r="J48">
        <f>VLOOKUP(Tabelle2[[#This Row],[iso]],current_cdr_nghgi!$B$2:$J$199,8,FALSE)</f>
        <v>0</v>
      </c>
      <c r="K48">
        <f>SUM(Tabelle2[[#This Row],[lulucf_historical_forest]:[lulucf_historical_other]])</f>
        <v>-9.6962100000000007</v>
      </c>
      <c r="L48">
        <f>Tabelle2[[#This Row],[lulucf_lts]]-Tabelle2[[#This Row],[lulucf_lts_other]]</f>
        <v>0</v>
      </c>
      <c r="M48">
        <f>Tabelle2[[#This Row],[lulucf_historical_other]]</f>
        <v>0</v>
      </c>
      <c r="N48">
        <f>Tabelle2[[#This Row],[lulucf_lts_forest]]-Tabelle2[[#This Row],[lulucf_historical_forest]]</f>
        <v>9.6962100000000007</v>
      </c>
      <c r="O48">
        <f t="shared" si="1"/>
        <v>0.311820390205582</v>
      </c>
      <c r="P48">
        <f>Tabelle2[[#This Row],[correction]]*Tabelle2[[#This Row],[lulucf_historical_forest]]</f>
        <v>-3.0234759857152667</v>
      </c>
      <c r="Q48">
        <f>Tabelle2[[#This Row],[lulucf_historical_forest_direct]]+Tabelle2[[#This Row],[lulucf_historical_other]]</f>
        <v>-3.0234759857152667</v>
      </c>
      <c r="R48">
        <f>IF(Tabelle2[[#This Row],[lulucf_forest_difference]]&gt;0,(Tabelle2[[#This Row],[correction]]*Tabelle2[[#This Row],[lulucf_lts_forest]]),(Tabelle2[[#This Row],[correction]]*Tabelle2[[#This Row],[lulucf_historical_forest]])+Tabelle2[[#This Row],[lulucf_forest_difference]])</f>
        <v>0</v>
      </c>
      <c r="S48" t="b">
        <f>IF(Tabelle2[[#This Row],[lulucf_forest_difference]]&lt;0,Tabelle2[[#This Row],[lulucf_lts]]-#REF!)</f>
        <v>0</v>
      </c>
      <c r="T48">
        <f>Tabelle2[[#This Row],[lulucf_lts_total_direct]]-Tabelle2[[#This Row],[lulucf_historical_total_direct]]</f>
        <v>3.0234759857152667</v>
      </c>
    </row>
    <row r="49" spans="1:20" hidden="1" x14ac:dyDescent="0.25">
      <c r="A49" t="str">
        <f>planned_cdr_ltleds!A48</f>
        <v>Hungary</v>
      </c>
      <c r="B49" t="str">
        <f>planned_cdr_ltleds!B48</f>
        <v>HUN</v>
      </c>
      <c r="C49" t="str">
        <f>planned_cdr_ltleds!C48</f>
        <v>Yes</v>
      </c>
      <c r="D49" t="str">
        <f>CONCATENATE(Tabelle2[[#This Row],[EU]],planned_cdr_ltleds!Q48)</f>
        <v>YesMAX</v>
      </c>
      <c r="E49" t="str">
        <f>CONCATENATE(Tabelle2[[#This Row],[EU]],planned_cdr_ltleds!R48)</f>
        <v>YesMIN</v>
      </c>
      <c r="F49" t="str">
        <f>planned_cdr_ltleds!S48</f>
        <v>MAXMIN</v>
      </c>
      <c r="G49">
        <f>-planned_cdr_ltleds!J48</f>
        <v>-10</v>
      </c>
      <c r="H49">
        <f>-planned_cdr_ltleds!K48</f>
        <v>-4.5</v>
      </c>
      <c r="I49">
        <f>VLOOKUP(Tabelle2[[#This Row],[iso]],current_cdr_nghgi!$B$2:$J$199,5,FALSE)</f>
        <v>-4.7557381609976703</v>
      </c>
      <c r="J49">
        <f>VLOOKUP(Tabelle2[[#This Row],[iso]],current_cdr_nghgi!$B$2:$J$199,8,FALSE)</f>
        <v>-0.99173184959622596</v>
      </c>
      <c r="K49">
        <f>SUM(Tabelle2[[#This Row],[lulucf_historical_forest]:[lulucf_historical_other]])</f>
        <v>-5.7474700105938963</v>
      </c>
      <c r="L49">
        <f>Tabelle2[[#This Row],[lulucf_lts]]-Tabelle2[[#This Row],[lulucf_lts_other]]</f>
        <v>-3.508268150403774</v>
      </c>
      <c r="M49">
        <f>Tabelle2[[#This Row],[lulucf_historical_other]]</f>
        <v>-0.99173184959622596</v>
      </c>
      <c r="N49">
        <f>Tabelle2[[#This Row],[lulucf_lts_forest]]-Tabelle2[[#This Row],[lulucf_historical_forest]]</f>
        <v>1.2474700105938963</v>
      </c>
      <c r="O49">
        <f t="shared" si="1"/>
        <v>0.311820390205582</v>
      </c>
      <c r="P49">
        <f>Tabelle2[[#This Row],[correction]]*Tabelle2[[#This Row],[lulucf_historical_forest]]</f>
        <v>-1.4829361290778704</v>
      </c>
      <c r="Q49">
        <f>Tabelle2[[#This Row],[lulucf_historical_forest_direct]]+Tabelle2[[#This Row],[lulucf_historical_other]]</f>
        <v>-2.4746679786740966</v>
      </c>
      <c r="R49">
        <f>IF(Tabelle2[[#This Row],[lulucf_forest_difference]]&gt;0,(Tabelle2[[#This Row],[correction]]*Tabelle2[[#This Row],[lulucf_lts_forest]]),(Tabelle2[[#This Row],[correction]]*Tabelle2[[#This Row],[lulucf_historical_forest]])+Tabelle2[[#This Row],[lulucf_forest_difference]])</f>
        <v>-1.0939495436047202</v>
      </c>
      <c r="S49" t="b">
        <f>IF(Tabelle2[[#This Row],[lulucf_forest_difference]]&lt;0,Tabelle2[[#This Row],[lulucf_lts]]-#REF!)</f>
        <v>0</v>
      </c>
      <c r="T49">
        <f>Tabelle2[[#This Row],[lulucf_lts_total_direct]]-Tabelle2[[#This Row],[lulucf_historical_total_direct]]</f>
        <v>2.4746679786740966</v>
      </c>
    </row>
    <row r="50" spans="1:20" hidden="1" x14ac:dyDescent="0.25">
      <c r="A50" t="str">
        <f>planned_cdr_ltleds!A49</f>
        <v>Iceland</v>
      </c>
      <c r="B50" t="str">
        <f>planned_cdr_ltleds!B49</f>
        <v>ISL</v>
      </c>
      <c r="C50" t="str">
        <f>planned_cdr_ltleds!C49</f>
        <v>No</v>
      </c>
      <c r="D50" t="str">
        <f>CONCATENATE(Tabelle2[[#This Row],[EU]],planned_cdr_ltleds!Q49)</f>
        <v>No</v>
      </c>
      <c r="E50" t="str">
        <f>CONCATENATE(Tabelle2[[#This Row],[EU]],planned_cdr_ltleds!R49)</f>
        <v>No</v>
      </c>
      <c r="F50" t="str">
        <f>planned_cdr_ltleds!S49</f>
        <v/>
      </c>
      <c r="G50">
        <f>-planned_cdr_ltleds!J49</f>
        <v>0</v>
      </c>
      <c r="H50">
        <f>-planned_cdr_ltleds!K49</f>
        <v>-1</v>
      </c>
      <c r="I50">
        <f>VLOOKUP(Tabelle2[[#This Row],[iso]],current_cdr_nghgi!$B$2:$J$199,5,FALSE)</f>
        <v>-0.42285694443779198</v>
      </c>
      <c r="J50">
        <f>VLOOKUP(Tabelle2[[#This Row],[iso]],current_cdr_nghgi!$B$2:$J$199,8,FALSE)</f>
        <v>-1.27133653075304</v>
      </c>
      <c r="K50">
        <f>SUM(Tabelle2[[#This Row],[lulucf_historical_forest]:[lulucf_historical_other]])</f>
        <v>-1.6941934751908319</v>
      </c>
      <c r="L50">
        <f>Tabelle2[[#This Row],[lulucf_lts]]-Tabelle2[[#This Row],[lulucf_lts_other]]</f>
        <v>0.27133653075303998</v>
      </c>
      <c r="M50">
        <f>Tabelle2[[#This Row],[lulucf_historical_other]]</f>
        <v>-1.27133653075304</v>
      </c>
      <c r="N50">
        <f>Tabelle2[[#This Row],[lulucf_lts_forest]]-Tabelle2[[#This Row],[lulucf_historical_forest]]</f>
        <v>0.69419347519083197</v>
      </c>
      <c r="O50">
        <f t="shared" si="1"/>
        <v>0.311820390205582</v>
      </c>
      <c r="P50">
        <f>Tabelle2[[#This Row],[correction]]*Tabelle2[[#This Row],[lulucf_historical_forest]]</f>
        <v>-0.1318554174157324</v>
      </c>
      <c r="Q50">
        <f>Tabelle2[[#This Row],[lulucf_historical_forest_direct]]+Tabelle2[[#This Row],[lulucf_historical_other]]</f>
        <v>-1.4031919481687725</v>
      </c>
      <c r="R50">
        <f>IF(Tabelle2[[#This Row],[lulucf_forest_difference]]&gt;0,(Tabelle2[[#This Row],[correction]]*Tabelle2[[#This Row],[lulucf_lts_forest]]),(Tabelle2[[#This Row],[correction]]*Tabelle2[[#This Row],[lulucf_historical_forest]])+Tabelle2[[#This Row],[lulucf_forest_difference]])</f>
        <v>8.4608262896441827E-2</v>
      </c>
      <c r="S50" t="b">
        <f>IF(Tabelle2[[#This Row],[lulucf_forest_difference]]&lt;0,Tabelle2[[#This Row],[lulucf_lts]]-#REF!)</f>
        <v>0</v>
      </c>
      <c r="T50">
        <f>Tabelle2[[#This Row],[lulucf_lts_total_direct]]-Tabelle2[[#This Row],[lulucf_historical_total_direct]]</f>
        <v>1.4031919481687725</v>
      </c>
    </row>
    <row r="51" spans="1:20" hidden="1" x14ac:dyDescent="0.25">
      <c r="A51" t="str">
        <f>planned_cdr_ltleds!A50</f>
        <v>Iceland</v>
      </c>
      <c r="B51" t="str">
        <f>planned_cdr_ltleds!B50</f>
        <v>ISL</v>
      </c>
      <c r="C51" t="str">
        <f>planned_cdr_ltleds!C50</f>
        <v>No</v>
      </c>
      <c r="D51" t="str">
        <f>CONCATENATE(Tabelle2[[#This Row],[EU]],planned_cdr_ltleds!Q50)</f>
        <v>No</v>
      </c>
      <c r="E51" t="str">
        <f>CONCATENATE(Tabelle2[[#This Row],[EU]],planned_cdr_ltleds!R50)</f>
        <v>No</v>
      </c>
      <c r="F51" t="str">
        <f>planned_cdr_ltleds!S50</f>
        <v/>
      </c>
      <c r="G51">
        <f>-planned_cdr_ltleds!J50</f>
        <v>0</v>
      </c>
      <c r="H51">
        <f>-planned_cdr_ltleds!K50</f>
        <v>-0.9</v>
      </c>
      <c r="I51">
        <f>VLOOKUP(Tabelle2[[#This Row],[iso]],current_cdr_nghgi!$B$2:$J$199,5,FALSE)</f>
        <v>-0.42285694443779198</v>
      </c>
      <c r="J51">
        <f>VLOOKUP(Tabelle2[[#This Row],[iso]],current_cdr_nghgi!$B$2:$J$199,8,FALSE)</f>
        <v>-1.27133653075304</v>
      </c>
      <c r="K51">
        <f>SUM(Tabelle2[[#This Row],[lulucf_historical_forest]:[lulucf_historical_other]])</f>
        <v>-1.6941934751908319</v>
      </c>
      <c r="L51">
        <f>Tabelle2[[#This Row],[lulucf_lts]]-Tabelle2[[#This Row],[lulucf_lts_other]]</f>
        <v>0.37133653075303996</v>
      </c>
      <c r="M51">
        <f>Tabelle2[[#This Row],[lulucf_historical_other]]</f>
        <v>-1.27133653075304</v>
      </c>
      <c r="N51">
        <f>Tabelle2[[#This Row],[lulucf_lts_forest]]-Tabelle2[[#This Row],[lulucf_historical_forest]]</f>
        <v>0.79419347519083194</v>
      </c>
      <c r="O51">
        <f t="shared" si="1"/>
        <v>0.311820390205582</v>
      </c>
      <c r="P51">
        <f>Tabelle2[[#This Row],[correction]]*Tabelle2[[#This Row],[lulucf_historical_forest]]</f>
        <v>-0.1318554174157324</v>
      </c>
      <c r="Q51">
        <f>Tabelle2[[#This Row],[lulucf_historical_forest_direct]]+Tabelle2[[#This Row],[lulucf_historical_other]]</f>
        <v>-1.4031919481687725</v>
      </c>
      <c r="R51">
        <f>IF(Tabelle2[[#This Row],[lulucf_forest_difference]]&gt;0,(Tabelle2[[#This Row],[correction]]*Tabelle2[[#This Row],[lulucf_lts_forest]]),(Tabelle2[[#This Row],[correction]]*Tabelle2[[#This Row],[lulucf_historical_forest]])+Tabelle2[[#This Row],[lulucf_forest_difference]])</f>
        <v>0.11579030191700002</v>
      </c>
      <c r="S51" t="b">
        <f>IF(Tabelle2[[#This Row],[lulucf_forest_difference]]&lt;0,Tabelle2[[#This Row],[lulucf_lts]]-#REF!)</f>
        <v>0</v>
      </c>
      <c r="T51">
        <f>Tabelle2[[#This Row],[lulucf_lts_total_direct]]-Tabelle2[[#This Row],[lulucf_historical_total_direct]]</f>
        <v>1.4031919481687725</v>
      </c>
    </row>
    <row r="52" spans="1:20" x14ac:dyDescent="0.25">
      <c r="A52" t="str">
        <f>planned_cdr_ltleds!A51</f>
        <v>Iceland</v>
      </c>
      <c r="B52" t="str">
        <f>planned_cdr_ltleds!B51</f>
        <v>ISL</v>
      </c>
      <c r="C52" t="str">
        <f>planned_cdr_ltleds!C51</f>
        <v>No</v>
      </c>
      <c r="D52" t="str">
        <f>CONCATENATE(Tabelle2[[#This Row],[EU]],planned_cdr_ltleds!Q51)</f>
        <v>NoMAX</v>
      </c>
      <c r="E52" t="str">
        <f>CONCATENATE(Tabelle2[[#This Row],[EU]],planned_cdr_ltleds!R51)</f>
        <v>No</v>
      </c>
      <c r="F52" t="str">
        <f>planned_cdr_ltleds!S51</f>
        <v>MAX</v>
      </c>
      <c r="G52" s="2">
        <f>-planned_cdr_ltleds!J51</f>
        <v>0</v>
      </c>
      <c r="H52" s="2">
        <f>-planned_cdr_ltleds!K51</f>
        <v>-1.3</v>
      </c>
      <c r="I52" s="2">
        <f>VLOOKUP(Tabelle2[[#This Row],[iso]],current_cdr_nghgi!$B$2:$J$199,5,FALSE)</f>
        <v>-0.42285694443779198</v>
      </c>
      <c r="J52" s="2">
        <f>VLOOKUP(Tabelle2[[#This Row],[iso]],current_cdr_nghgi!$B$2:$J$199,8,FALSE)</f>
        <v>-1.27133653075304</v>
      </c>
      <c r="K52" s="2">
        <f>SUM(Tabelle2[[#This Row],[lulucf_historical_forest]:[lulucf_historical_other]])</f>
        <v>-1.6941934751908319</v>
      </c>
      <c r="L52" s="2">
        <f>Tabelle2[[#This Row],[lulucf_lts]]-Tabelle2[[#This Row],[lulucf_lts_other]]</f>
        <v>-2.866346924696006E-2</v>
      </c>
      <c r="M52" s="2">
        <f>IF(Tabelle2[[#This Row],[lulucf_historical_other]]&gt;Tabelle2[[#This Row],[lulucf_lts]],Tabelle2[[#This Row],[lulucf_historical_other]],Tabelle2[[#This Row],[lulucf_lts]])</f>
        <v>-1.27133653075304</v>
      </c>
      <c r="N52" s="2">
        <f>Tabelle2[[#This Row],[lulucf_lts_forest]]-Tabelle2[[#This Row],[lulucf_historical_forest]]</f>
        <v>0.39419347519083192</v>
      </c>
      <c r="O52" s="2">
        <f t="shared" si="1"/>
        <v>0.311820390205582</v>
      </c>
      <c r="P52" s="2">
        <f>Tabelle2[[#This Row],[correction]]*Tabelle2[[#This Row],[lulucf_historical_forest]]</f>
        <v>-0.1318554174157324</v>
      </c>
      <c r="Q52" s="2">
        <f>Tabelle2[[#This Row],[lulucf_historical_forest_direct]]+Tabelle2[[#This Row],[lulucf_historical_other]]</f>
        <v>-1.4031919481687725</v>
      </c>
      <c r="R52" s="2">
        <f>IF(Tabelle2[[#This Row],[lulucf_forest_difference]]&gt;0,(Tabelle2[[#This Row],[correction]]*Tabelle2[[#This Row],[lulucf_lts_forest]]),(Tabelle2[[#This Row],[correction]]*Tabelle2[[#This Row],[lulucf_historical_forest]])+Tabelle2[[#This Row],[lulucf_forest_difference]])</f>
        <v>-8.9378541652327861E-3</v>
      </c>
      <c r="S52" s="2">
        <f>Tabelle2[[#This Row],[lulucf_lts_forest_direct]]+Tabelle2[[#This Row],[lulucf_lts_other]]</f>
        <v>-1.2802743849182727</v>
      </c>
      <c r="T52" s="2">
        <f>Tabelle2[[#This Row],[lulucf_lts_total_direct]]-Tabelle2[[#This Row],[lulucf_historical_total_direct]]</f>
        <v>0.12291756325049974</v>
      </c>
    </row>
    <row r="53" spans="1:20" x14ac:dyDescent="0.25">
      <c r="A53" t="str">
        <f>planned_cdr_ltleds!A52</f>
        <v>Iceland</v>
      </c>
      <c r="B53" t="str">
        <f>planned_cdr_ltleds!B52</f>
        <v>ISL</v>
      </c>
      <c r="C53" t="str">
        <f>planned_cdr_ltleds!C52</f>
        <v>No</v>
      </c>
      <c r="D53" t="str">
        <f>CONCATENATE(Tabelle2[[#This Row],[EU]],planned_cdr_ltleds!Q52)</f>
        <v>No</v>
      </c>
      <c r="E53" t="str">
        <f>CONCATENATE(Tabelle2[[#This Row],[EU]],planned_cdr_ltleds!R52)</f>
        <v>NoMIN</v>
      </c>
      <c r="F53" t="str">
        <f>planned_cdr_ltleds!S52</f>
        <v>MIN</v>
      </c>
      <c r="G53" s="2">
        <f>-planned_cdr_ltleds!J52</f>
        <v>0</v>
      </c>
      <c r="H53" s="2">
        <f>-planned_cdr_ltleds!K52</f>
        <v>-0.8</v>
      </c>
      <c r="I53" s="2">
        <f>VLOOKUP(Tabelle2[[#This Row],[iso]],current_cdr_nghgi!$B$2:$J$199,5,FALSE)</f>
        <v>-0.42285694443779198</v>
      </c>
      <c r="J53" s="2">
        <f>VLOOKUP(Tabelle2[[#This Row],[iso]],current_cdr_nghgi!$B$2:$J$199,8,FALSE)</f>
        <v>-1.27133653075304</v>
      </c>
      <c r="K53" s="2">
        <f>SUM(Tabelle2[[#This Row],[lulucf_historical_forest]:[lulucf_historical_other]])</f>
        <v>-1.6941934751908319</v>
      </c>
      <c r="L53" s="2">
        <f>Tabelle2[[#This Row],[lulucf_lts]]-Tabelle2[[#This Row],[lulucf_lts_other]]</f>
        <v>0</v>
      </c>
      <c r="M53" s="2">
        <f>IF(Tabelle2[[#This Row],[lulucf_historical_other]]&gt;Tabelle2[[#This Row],[lulucf_lts]],Tabelle2[[#This Row],[lulucf_historical_other]],Tabelle2[[#This Row],[lulucf_lts]])</f>
        <v>-0.8</v>
      </c>
      <c r="N53" s="2">
        <f>Tabelle2[[#This Row],[lulucf_lts_forest]]-Tabelle2[[#This Row],[lulucf_historical_forest]]</f>
        <v>0.42285694443779198</v>
      </c>
      <c r="O53" s="2">
        <f t="shared" si="1"/>
        <v>0.311820390205582</v>
      </c>
      <c r="P53" s="2">
        <f>Tabelle2[[#This Row],[correction]]*Tabelle2[[#This Row],[lulucf_historical_forest]]</f>
        <v>-0.1318554174157324</v>
      </c>
      <c r="Q53" s="2">
        <f>Tabelle2[[#This Row],[lulucf_historical_forest_direct]]+Tabelle2[[#This Row],[lulucf_historical_other]]</f>
        <v>-1.4031919481687725</v>
      </c>
      <c r="R53" s="2">
        <f>IF(Tabelle2[[#This Row],[lulucf_forest_difference]]&gt;0,(Tabelle2[[#This Row],[correction]]*Tabelle2[[#This Row],[lulucf_lts_forest]]),(Tabelle2[[#This Row],[correction]]*Tabelle2[[#This Row],[lulucf_historical_forest]])+Tabelle2[[#This Row],[lulucf_forest_difference]])</f>
        <v>0</v>
      </c>
      <c r="S53" s="2">
        <f>Tabelle2[[#This Row],[lulucf_lts_forest_direct]]+Tabelle2[[#This Row],[lulucf_lts_other]]</f>
        <v>-0.8</v>
      </c>
      <c r="T53" s="2">
        <f>Tabelle2[[#This Row],[lulucf_lts_total_direct]]-Tabelle2[[#This Row],[lulucf_historical_total_direct]]</f>
        <v>0.60319194816877242</v>
      </c>
    </row>
    <row r="54" spans="1:20" hidden="1" x14ac:dyDescent="0.25">
      <c r="A54" t="str">
        <f>planned_cdr_ltleds!A53</f>
        <v>India</v>
      </c>
      <c r="B54" t="str">
        <f>planned_cdr_ltleds!B53</f>
        <v>IND</v>
      </c>
      <c r="C54" t="str">
        <f>planned_cdr_ltleds!C53</f>
        <v>No</v>
      </c>
      <c r="D54" t="str">
        <f>CONCATENATE(Tabelle2[[#This Row],[EU]],planned_cdr_ltleds!Q53)</f>
        <v>No</v>
      </c>
      <c r="E54" t="str">
        <f>CONCATENATE(Tabelle2[[#This Row],[EU]],planned_cdr_ltleds!R53)</f>
        <v>No</v>
      </c>
      <c r="F54" t="str">
        <f>planned_cdr_ltleds!S53</f>
        <v/>
      </c>
      <c r="G54">
        <f>-planned_cdr_ltleds!J53</f>
        <v>0</v>
      </c>
      <c r="H54">
        <f>-planned_cdr_ltleds!K53</f>
        <v>0</v>
      </c>
      <c r="I54">
        <f>VLOOKUP(Tabelle2[[#This Row],[iso]],current_cdr_nghgi!$B$2:$J$199,5,FALSE)</f>
        <v>-72.706100000000006</v>
      </c>
      <c r="J54">
        <f>VLOOKUP(Tabelle2[[#This Row],[iso]],current_cdr_nghgi!$B$2:$J$199,8,FALSE)</f>
        <v>-234.9023</v>
      </c>
      <c r="K54">
        <f>SUM(Tabelle2[[#This Row],[lulucf_historical_forest]:[lulucf_historical_other]])</f>
        <v>-307.60840000000002</v>
      </c>
      <c r="L54">
        <f>Tabelle2[[#This Row],[lulucf_lts]]-Tabelle2[[#This Row],[lulucf_lts_other]]</f>
        <v>234.9023</v>
      </c>
      <c r="M54">
        <f>Tabelle2[[#This Row],[lulucf_historical_other]]</f>
        <v>-234.9023</v>
      </c>
      <c r="N54">
        <f>Tabelle2[[#This Row],[lulucf_lts_forest]]-Tabelle2[[#This Row],[lulucf_historical_forest]]</f>
        <v>307.60840000000002</v>
      </c>
      <c r="O54">
        <f t="shared" si="1"/>
        <v>0.311820390205582</v>
      </c>
      <c r="P54">
        <f>Tabelle2[[#This Row],[correction]]*Tabelle2[[#This Row],[lulucf_historical_forest]]</f>
        <v>-22.671244472326066</v>
      </c>
      <c r="Q54">
        <f>Tabelle2[[#This Row],[lulucf_historical_forest_direct]]+Tabelle2[[#This Row],[lulucf_historical_other]]</f>
        <v>-257.57354447232603</v>
      </c>
      <c r="R54">
        <f>IF(Tabelle2[[#This Row],[lulucf_forest_difference]]&gt;0,(Tabelle2[[#This Row],[correction]]*Tabelle2[[#This Row],[lulucf_lts_forest]]),(Tabelle2[[#This Row],[correction]]*Tabelle2[[#This Row],[lulucf_historical_forest]])+Tabelle2[[#This Row],[lulucf_forest_difference]])</f>
        <v>73.247326846188685</v>
      </c>
      <c r="S54" t="b">
        <f>IF(Tabelle2[[#This Row],[lulucf_forest_difference]]&lt;0,Tabelle2[[#This Row],[lulucf_lts]]-#REF!)</f>
        <v>0</v>
      </c>
      <c r="T54">
        <f>Tabelle2[[#This Row],[lulucf_lts_total_direct]]-Tabelle2[[#This Row],[lulucf_historical_total_direct]]</f>
        <v>257.57354447232603</v>
      </c>
    </row>
    <row r="55" spans="1:20" x14ac:dyDescent="0.25">
      <c r="A55" t="str">
        <f>planned_cdr_ltleds!A54</f>
        <v>Indonesia</v>
      </c>
      <c r="B55" t="str">
        <f>planned_cdr_ltleds!B54</f>
        <v>IDN</v>
      </c>
      <c r="C55" t="str">
        <f>planned_cdr_ltleds!C54</f>
        <v>No</v>
      </c>
      <c r="D55" t="str">
        <f>CONCATENATE(Tabelle2[[#This Row],[EU]],planned_cdr_ltleds!Q54)</f>
        <v>NoMAX</v>
      </c>
      <c r="E55" t="str">
        <f>CONCATENATE(Tabelle2[[#This Row],[EU]],planned_cdr_ltleds!R54)</f>
        <v>NoMIN</v>
      </c>
      <c r="F55" t="str">
        <f>planned_cdr_ltleds!S54</f>
        <v>MAXMIN</v>
      </c>
      <c r="G55" s="2">
        <f>-planned_cdr_ltleds!J54</f>
        <v>0</v>
      </c>
      <c r="H55" s="2">
        <f>-planned_cdr_ltleds!K54</f>
        <v>-300</v>
      </c>
      <c r="I55" s="2">
        <f>VLOOKUP(Tabelle2[[#This Row],[iso]],current_cdr_nghgi!$B$2:$J$199,5,FALSE)</f>
        <v>-344.48630000000003</v>
      </c>
      <c r="J55" s="2">
        <f>VLOOKUP(Tabelle2[[#This Row],[iso]],current_cdr_nghgi!$B$2:$J$199,8,FALSE)</f>
        <v>-24.520399999999999</v>
      </c>
      <c r="K55" s="2">
        <f>SUM(Tabelle2[[#This Row],[lulucf_historical_forest]:[lulucf_historical_other]])</f>
        <v>-369.00670000000002</v>
      </c>
      <c r="L55" s="2">
        <f>Tabelle2[[#This Row],[lulucf_lts]]-Tabelle2[[#This Row],[lulucf_lts_other]]</f>
        <v>-275.4796</v>
      </c>
      <c r="M55" s="2">
        <f>IF(Tabelle2[[#This Row],[lulucf_historical_other]]&gt;Tabelle2[[#This Row],[lulucf_lts]],Tabelle2[[#This Row],[lulucf_historical_other]],Tabelle2[[#This Row],[lulucf_lts]])</f>
        <v>-24.520399999999999</v>
      </c>
      <c r="N55" s="2">
        <f>Tabelle2[[#This Row],[lulucf_lts_forest]]-Tabelle2[[#This Row],[lulucf_historical_forest]]</f>
        <v>69.006700000000023</v>
      </c>
      <c r="O55" s="2">
        <f t="shared" si="1"/>
        <v>0.311820390205582</v>
      </c>
      <c r="P55" s="2">
        <f>Tabelle2[[#This Row],[correction]]*Tabelle2[[#This Row],[lulucf_historical_forest]]</f>
        <v>-107.41785248647719</v>
      </c>
      <c r="Q55" s="2">
        <f>Tabelle2[[#This Row],[lulucf_historical_forest_direct]]+Tabelle2[[#This Row],[lulucf_historical_other]]</f>
        <v>-131.93825248647718</v>
      </c>
      <c r="R55" s="2">
        <f>IF(Tabelle2[[#This Row],[lulucf_forest_difference]]&gt;0,(Tabelle2[[#This Row],[correction]]*Tabelle2[[#This Row],[lulucf_lts_forest]]),(Tabelle2[[#This Row],[correction]]*Tabelle2[[#This Row],[lulucf_historical_forest]])+Tabelle2[[#This Row],[lulucf_forest_difference]])</f>
        <v>-85.900156365677645</v>
      </c>
      <c r="S55" s="2">
        <f>Tabelle2[[#This Row],[lulucf_lts_forest_direct]]+Tabelle2[[#This Row],[lulucf_lts_other]]</f>
        <v>-110.42055636567764</v>
      </c>
      <c r="T55" s="2">
        <f>Tabelle2[[#This Row],[lulucf_lts_total_direct]]-Tabelle2[[#This Row],[lulucf_historical_total_direct]]</f>
        <v>21.517696120799542</v>
      </c>
    </row>
    <row r="56" spans="1:20" hidden="1" x14ac:dyDescent="0.25">
      <c r="A56" t="str">
        <f>planned_cdr_ltleds!A55</f>
        <v>Ireland</v>
      </c>
      <c r="B56" t="str">
        <f>planned_cdr_ltleds!B55</f>
        <v>IRL</v>
      </c>
      <c r="C56" t="str">
        <f>planned_cdr_ltleds!C55</f>
        <v>Yes</v>
      </c>
      <c r="D56" t="str">
        <f>CONCATENATE(Tabelle2[[#This Row],[EU]],planned_cdr_ltleds!Q55)</f>
        <v>Yes</v>
      </c>
      <c r="E56" t="str">
        <f>CONCATENATE(Tabelle2[[#This Row],[EU]],planned_cdr_ltleds!R55)</f>
        <v>Yes</v>
      </c>
      <c r="F56" t="str">
        <f>planned_cdr_ltleds!S55</f>
        <v/>
      </c>
      <c r="G56">
        <f>-planned_cdr_ltleds!J55</f>
        <v>0</v>
      </c>
      <c r="H56">
        <f>-planned_cdr_ltleds!K55</f>
        <v>0</v>
      </c>
      <c r="I56">
        <f>VLOOKUP(Tabelle2[[#This Row],[iso]],current_cdr_nghgi!$B$2:$J$199,5,FALSE)</f>
        <v>-6.18453322426301</v>
      </c>
      <c r="J56">
        <f>VLOOKUP(Tabelle2[[#This Row],[iso]],current_cdr_nghgi!$B$2:$J$199,8,FALSE)</f>
        <v>0</v>
      </c>
      <c r="K56">
        <f>SUM(Tabelle2[[#This Row],[lulucf_historical_forest]:[lulucf_historical_other]])</f>
        <v>-6.18453322426301</v>
      </c>
      <c r="L56">
        <f>Tabelle2[[#This Row],[lulucf_lts]]-Tabelle2[[#This Row],[lulucf_lts_other]]</f>
        <v>0</v>
      </c>
      <c r="M56">
        <f>Tabelle2[[#This Row],[lulucf_historical_other]]</f>
        <v>0</v>
      </c>
      <c r="N56">
        <f>Tabelle2[[#This Row],[lulucf_lts_forest]]-Tabelle2[[#This Row],[lulucf_historical_forest]]</f>
        <v>6.18453322426301</v>
      </c>
      <c r="O56">
        <f t="shared" si="1"/>
        <v>0.311820390205582</v>
      </c>
      <c r="P56">
        <f>Tabelle2[[#This Row],[correction]]*Tabelle2[[#This Row],[lulucf_historical_forest]]</f>
        <v>-1.9284635632290779</v>
      </c>
      <c r="Q56">
        <f>Tabelle2[[#This Row],[lulucf_historical_forest_direct]]+Tabelle2[[#This Row],[lulucf_historical_other]]</f>
        <v>-1.9284635632290779</v>
      </c>
      <c r="R56">
        <f>IF(Tabelle2[[#This Row],[lulucf_forest_difference]]&gt;0,(Tabelle2[[#This Row],[correction]]*Tabelle2[[#This Row],[lulucf_lts_forest]]),(Tabelle2[[#This Row],[correction]]*Tabelle2[[#This Row],[lulucf_historical_forest]])+Tabelle2[[#This Row],[lulucf_forest_difference]])</f>
        <v>0</v>
      </c>
      <c r="S56" t="b">
        <f>IF(Tabelle2[[#This Row],[lulucf_forest_difference]]&lt;0,Tabelle2[[#This Row],[lulucf_lts]]-#REF!)</f>
        <v>0</v>
      </c>
      <c r="T56">
        <f>Tabelle2[[#This Row],[lulucf_lts_total_direct]]-Tabelle2[[#This Row],[lulucf_historical_total_direct]]</f>
        <v>1.9284635632290779</v>
      </c>
    </row>
    <row r="57" spans="1:20" hidden="1" x14ac:dyDescent="0.25">
      <c r="A57" t="str">
        <f>planned_cdr_ltleds!A56</f>
        <v>Italy</v>
      </c>
      <c r="B57" t="str">
        <f>planned_cdr_ltleds!B56</f>
        <v>ITA</v>
      </c>
      <c r="C57" t="str">
        <f>planned_cdr_ltleds!C56</f>
        <v>Yes</v>
      </c>
      <c r="D57" t="str">
        <f>CONCATENATE(Tabelle2[[#This Row],[EU]],planned_cdr_ltleds!Q56)</f>
        <v>YesMAX</v>
      </c>
      <c r="E57" t="str">
        <f>CONCATENATE(Tabelle2[[#This Row],[EU]],planned_cdr_ltleds!R56)</f>
        <v>YesMIN</v>
      </c>
      <c r="F57" t="str">
        <f>planned_cdr_ltleds!S56</f>
        <v>MAXMIN</v>
      </c>
      <c r="G57">
        <f>-planned_cdr_ltleds!J56</f>
        <v>0</v>
      </c>
      <c r="H57">
        <f>-planned_cdr_ltleds!K56</f>
        <v>-45</v>
      </c>
      <c r="I57">
        <f>VLOOKUP(Tabelle2[[#This Row],[iso]],current_cdr_nghgi!$B$2:$J$199,5,FALSE)</f>
        <v>-33.215866182013201</v>
      </c>
      <c r="J57">
        <f>VLOOKUP(Tabelle2[[#This Row],[iso]],current_cdr_nghgi!$B$2:$J$199,8,FALSE)</f>
        <v>-5.4497388638783502</v>
      </c>
      <c r="K57">
        <f>SUM(Tabelle2[[#This Row],[lulucf_historical_forest]:[lulucf_historical_other]])</f>
        <v>-38.665605045891553</v>
      </c>
      <c r="L57">
        <f>Tabelle2[[#This Row],[lulucf_lts]]-Tabelle2[[#This Row],[lulucf_lts_other]]</f>
        <v>-39.550261136121648</v>
      </c>
      <c r="M57">
        <f>Tabelle2[[#This Row],[lulucf_historical_other]]</f>
        <v>-5.4497388638783502</v>
      </c>
      <c r="N57">
        <f>Tabelle2[[#This Row],[lulucf_lts_forest]]-Tabelle2[[#This Row],[lulucf_historical_forest]]</f>
        <v>-6.334394954108447</v>
      </c>
      <c r="O57">
        <f t="shared" si="1"/>
        <v>0.311820390205582</v>
      </c>
      <c r="P57">
        <f>Tabelle2[[#This Row],[correction]]*Tabelle2[[#This Row],[lulucf_historical_forest]]</f>
        <v>-10.357384353891751</v>
      </c>
      <c r="Q57">
        <f>Tabelle2[[#This Row],[lulucf_historical_forest_direct]]+Tabelle2[[#This Row],[lulucf_historical_other]]</f>
        <v>-15.807123217770101</v>
      </c>
      <c r="R57">
        <f>IF(Tabelle2[[#This Row],[lulucf_forest_difference]]&gt;0,(Tabelle2[[#This Row],[correction]]*Tabelle2[[#This Row],[lulucf_lts_forest]]),(Tabelle2[[#This Row],[correction]]*Tabelle2[[#This Row],[lulucf_historical_forest]])+Tabelle2[[#This Row],[lulucf_forest_difference]])</f>
        <v>-16.6917793080002</v>
      </c>
      <c r="S57" t="e">
        <f>IF(Tabelle2[[#This Row],[lulucf_forest_difference]]&lt;0,Tabelle2[[#This Row],[lulucf_lts]]-#REF!)</f>
        <v>#REF!</v>
      </c>
      <c r="T57" t="e">
        <f>Tabelle2[[#This Row],[lulucf_lts_total_direct]]-Tabelle2[[#This Row],[lulucf_historical_total_direct]]</f>
        <v>#REF!</v>
      </c>
    </row>
    <row r="58" spans="1:20" hidden="1" x14ac:dyDescent="0.25">
      <c r="A58" t="str">
        <f>planned_cdr_ltleds!A57</f>
        <v>Japan</v>
      </c>
      <c r="B58" t="str">
        <f>planned_cdr_ltleds!B57</f>
        <v>JPN</v>
      </c>
      <c r="C58" t="str">
        <f>planned_cdr_ltleds!C57</f>
        <v>No</v>
      </c>
      <c r="D58" t="str">
        <f>CONCATENATE(Tabelle2[[#This Row],[EU]],planned_cdr_ltleds!Q57)</f>
        <v>No</v>
      </c>
      <c r="E58" t="str">
        <f>CONCATENATE(Tabelle2[[#This Row],[EU]],planned_cdr_ltleds!R57)</f>
        <v>No</v>
      </c>
      <c r="F58" t="str">
        <f>planned_cdr_ltleds!S57</f>
        <v/>
      </c>
      <c r="G58">
        <f>-planned_cdr_ltleds!J57</f>
        <v>0</v>
      </c>
      <c r="H58">
        <f>-planned_cdr_ltleds!K57</f>
        <v>0</v>
      </c>
      <c r="I58">
        <f>VLOOKUP(Tabelle2[[#This Row],[iso]],current_cdr_nghgi!$B$2:$J$199,5,FALSE)</f>
        <v>-65.425279891887698</v>
      </c>
      <c r="J58">
        <f>VLOOKUP(Tabelle2[[#This Row],[iso]],current_cdr_nghgi!$B$2:$J$199,8,FALSE)</f>
        <v>0</v>
      </c>
      <c r="K58">
        <f>SUM(Tabelle2[[#This Row],[lulucf_historical_forest]:[lulucf_historical_other]])</f>
        <v>-65.425279891887698</v>
      </c>
      <c r="L58">
        <f>Tabelle2[[#This Row],[lulucf_lts]]-Tabelle2[[#This Row],[lulucf_lts_other]]</f>
        <v>0</v>
      </c>
      <c r="M58">
        <f>Tabelle2[[#This Row],[lulucf_historical_other]]</f>
        <v>0</v>
      </c>
      <c r="N58">
        <f>Tabelle2[[#This Row],[lulucf_lts_forest]]-Tabelle2[[#This Row],[lulucf_historical_forest]]</f>
        <v>65.425279891887698</v>
      </c>
      <c r="O58">
        <f t="shared" si="1"/>
        <v>0.311820390205582</v>
      </c>
      <c r="P58">
        <f>Tabelle2[[#This Row],[correction]]*Tabelle2[[#This Row],[lulucf_historical_forest]]</f>
        <v>-20.400936305197838</v>
      </c>
      <c r="Q58">
        <f>Tabelle2[[#This Row],[lulucf_historical_forest_direct]]+Tabelle2[[#This Row],[lulucf_historical_other]]</f>
        <v>-20.400936305197838</v>
      </c>
      <c r="R58">
        <f>IF(Tabelle2[[#This Row],[lulucf_forest_difference]]&gt;0,(Tabelle2[[#This Row],[correction]]*Tabelle2[[#This Row],[lulucf_lts_forest]]),(Tabelle2[[#This Row],[correction]]*Tabelle2[[#This Row],[lulucf_historical_forest]])+Tabelle2[[#This Row],[lulucf_forest_difference]])</f>
        <v>0</v>
      </c>
      <c r="S58" t="b">
        <f>IF(Tabelle2[[#This Row],[lulucf_forest_difference]]&lt;0,Tabelle2[[#This Row],[lulucf_lts]]-#REF!)</f>
        <v>0</v>
      </c>
      <c r="T58">
        <f>Tabelle2[[#This Row],[lulucf_lts_total_direct]]-Tabelle2[[#This Row],[lulucf_historical_total_direct]]</f>
        <v>20.400936305197838</v>
      </c>
    </row>
    <row r="59" spans="1:20" hidden="1" x14ac:dyDescent="0.25">
      <c r="A59" t="str">
        <f>planned_cdr_ltleds!A58</f>
        <v>Latvia</v>
      </c>
      <c r="B59" t="str">
        <f>planned_cdr_ltleds!B58</f>
        <v>LVA</v>
      </c>
      <c r="C59" t="str">
        <f>planned_cdr_ltleds!C58</f>
        <v>Yes</v>
      </c>
      <c r="D59" t="str">
        <f>CONCATENATE(Tabelle2[[#This Row],[EU]],planned_cdr_ltleds!Q58)</f>
        <v>Yes</v>
      </c>
      <c r="E59" t="str">
        <f>CONCATENATE(Tabelle2[[#This Row],[EU]],planned_cdr_ltleds!R58)</f>
        <v>Yes</v>
      </c>
      <c r="F59" t="str">
        <f>planned_cdr_ltleds!S58</f>
        <v/>
      </c>
      <c r="G59">
        <f>-planned_cdr_ltleds!J58</f>
        <v>0</v>
      </c>
      <c r="H59">
        <f>-planned_cdr_ltleds!K58</f>
        <v>0</v>
      </c>
      <c r="I59">
        <f>VLOOKUP(Tabelle2[[#This Row],[iso]],current_cdr_nghgi!$B$2:$J$199,5,FALSE)</f>
        <v>-7.3174037071526703</v>
      </c>
      <c r="J59">
        <f>VLOOKUP(Tabelle2[[#This Row],[iso]],current_cdr_nghgi!$B$2:$J$199,8,FALSE)</f>
        <v>0</v>
      </c>
      <c r="K59">
        <f>SUM(Tabelle2[[#This Row],[lulucf_historical_forest]:[lulucf_historical_other]])</f>
        <v>-7.3174037071526703</v>
      </c>
      <c r="L59">
        <f>Tabelle2[[#This Row],[lulucf_lts]]-Tabelle2[[#This Row],[lulucf_lts_other]]</f>
        <v>0</v>
      </c>
      <c r="M59">
        <f>Tabelle2[[#This Row],[lulucf_historical_other]]</f>
        <v>0</v>
      </c>
      <c r="N59">
        <f>Tabelle2[[#This Row],[lulucf_lts_forest]]-Tabelle2[[#This Row],[lulucf_historical_forest]]</f>
        <v>7.3174037071526703</v>
      </c>
      <c r="O59">
        <f t="shared" si="1"/>
        <v>0.311820390205582</v>
      </c>
      <c r="P59">
        <f>Tabelle2[[#This Row],[correction]]*Tabelle2[[#This Row],[lulucf_historical_forest]]</f>
        <v>-2.2817156792561177</v>
      </c>
      <c r="Q59">
        <f>Tabelle2[[#This Row],[lulucf_historical_forest_direct]]+Tabelle2[[#This Row],[lulucf_historical_other]]</f>
        <v>-2.2817156792561177</v>
      </c>
      <c r="R59">
        <f>IF(Tabelle2[[#This Row],[lulucf_forest_difference]]&gt;0,(Tabelle2[[#This Row],[correction]]*Tabelle2[[#This Row],[lulucf_lts_forest]]),(Tabelle2[[#This Row],[correction]]*Tabelle2[[#This Row],[lulucf_historical_forest]])+Tabelle2[[#This Row],[lulucf_forest_difference]])</f>
        <v>0</v>
      </c>
      <c r="S59" t="b">
        <f>IF(Tabelle2[[#This Row],[lulucf_forest_difference]]&lt;0,Tabelle2[[#This Row],[lulucf_lts]]-#REF!)</f>
        <v>0</v>
      </c>
      <c r="T59">
        <f>Tabelle2[[#This Row],[lulucf_lts_total_direct]]-Tabelle2[[#This Row],[lulucf_historical_total_direct]]</f>
        <v>2.2817156792561177</v>
      </c>
    </row>
    <row r="60" spans="1:20" hidden="1" x14ac:dyDescent="0.25">
      <c r="A60" t="str">
        <f>planned_cdr_ltleds!A59</f>
        <v>Lithuania</v>
      </c>
      <c r="B60" t="str">
        <f>planned_cdr_ltleds!B59</f>
        <v>LTU</v>
      </c>
      <c r="C60" t="str">
        <f>planned_cdr_ltleds!C59</f>
        <v>Yes</v>
      </c>
      <c r="D60" t="str">
        <f>CONCATENATE(Tabelle2[[#This Row],[EU]],planned_cdr_ltleds!Q59)</f>
        <v>Yes</v>
      </c>
      <c r="E60" t="str">
        <f>CONCATENATE(Tabelle2[[#This Row],[EU]],planned_cdr_ltleds!R59)</f>
        <v>Yes</v>
      </c>
      <c r="F60" t="str">
        <f>planned_cdr_ltleds!S59</f>
        <v/>
      </c>
      <c r="G60">
        <f>-planned_cdr_ltleds!J59</f>
        <v>0</v>
      </c>
      <c r="H60">
        <f>-planned_cdr_ltleds!K59</f>
        <v>0</v>
      </c>
      <c r="I60">
        <f>VLOOKUP(Tabelle2[[#This Row],[iso]],current_cdr_nghgi!$B$2:$J$199,5,FALSE)</f>
        <v>-9.6536362710211492</v>
      </c>
      <c r="J60">
        <f>VLOOKUP(Tabelle2[[#This Row],[iso]],current_cdr_nghgi!$B$2:$J$199,8,FALSE)</f>
        <v>0</v>
      </c>
      <c r="K60">
        <f>SUM(Tabelle2[[#This Row],[lulucf_historical_forest]:[lulucf_historical_other]])</f>
        <v>-9.6536362710211492</v>
      </c>
      <c r="L60">
        <f>Tabelle2[[#This Row],[lulucf_lts]]-Tabelle2[[#This Row],[lulucf_lts_other]]</f>
        <v>0</v>
      </c>
      <c r="M60">
        <f>Tabelle2[[#This Row],[lulucf_historical_other]]</f>
        <v>0</v>
      </c>
      <c r="N60">
        <f>Tabelle2[[#This Row],[lulucf_lts_forest]]-Tabelle2[[#This Row],[lulucf_historical_forest]]</f>
        <v>9.6536362710211492</v>
      </c>
      <c r="O60">
        <f t="shared" si="1"/>
        <v>0.311820390205582</v>
      </c>
      <c r="P60">
        <f>Tabelle2[[#This Row],[correction]]*Tabelle2[[#This Row],[lulucf_historical_forest]]</f>
        <v>-3.0102006289325742</v>
      </c>
      <c r="Q60">
        <f>Tabelle2[[#This Row],[lulucf_historical_forest_direct]]+Tabelle2[[#This Row],[lulucf_historical_other]]</f>
        <v>-3.0102006289325742</v>
      </c>
      <c r="R60">
        <f>IF(Tabelle2[[#This Row],[lulucf_forest_difference]]&gt;0,(Tabelle2[[#This Row],[correction]]*Tabelle2[[#This Row],[lulucf_lts_forest]]),(Tabelle2[[#This Row],[correction]]*Tabelle2[[#This Row],[lulucf_historical_forest]])+Tabelle2[[#This Row],[lulucf_forest_difference]])</f>
        <v>0</v>
      </c>
      <c r="S60" t="b">
        <f>IF(Tabelle2[[#This Row],[lulucf_forest_difference]]&lt;0,Tabelle2[[#This Row],[lulucf_lts]]-#REF!)</f>
        <v>0</v>
      </c>
      <c r="T60">
        <f>Tabelle2[[#This Row],[lulucf_lts_total_direct]]-Tabelle2[[#This Row],[lulucf_historical_total_direct]]</f>
        <v>3.0102006289325742</v>
      </c>
    </row>
    <row r="61" spans="1:20" hidden="1" x14ac:dyDescent="0.25">
      <c r="A61" t="str">
        <f>planned_cdr_ltleds!A60</f>
        <v>Luxembourg</v>
      </c>
      <c r="B61" t="str">
        <f>planned_cdr_ltleds!B60</f>
        <v>LUX</v>
      </c>
      <c r="C61" t="str">
        <f>planned_cdr_ltleds!C60</f>
        <v>Yes</v>
      </c>
      <c r="D61" t="str">
        <f>CONCATENATE(Tabelle2[[#This Row],[EU]],planned_cdr_ltleds!Q60)</f>
        <v>Yes</v>
      </c>
      <c r="E61" t="str">
        <f>CONCATENATE(Tabelle2[[#This Row],[EU]],planned_cdr_ltleds!R60)</f>
        <v>Yes</v>
      </c>
      <c r="F61" t="str">
        <f>planned_cdr_ltleds!S60</f>
        <v/>
      </c>
      <c r="G61">
        <f>-planned_cdr_ltleds!J60</f>
        <v>0</v>
      </c>
      <c r="H61">
        <f>-planned_cdr_ltleds!K60</f>
        <v>0</v>
      </c>
      <c r="I61">
        <f>VLOOKUP(Tabelle2[[#This Row],[iso]],current_cdr_nghgi!$B$2:$J$199,5,FALSE)</f>
        <v>-0.38618607625155804</v>
      </c>
      <c r="J61">
        <f>VLOOKUP(Tabelle2[[#This Row],[iso]],current_cdr_nghgi!$B$2:$J$199,8,FALSE)</f>
        <v>0</v>
      </c>
      <c r="K61">
        <f>SUM(Tabelle2[[#This Row],[lulucf_historical_forest]:[lulucf_historical_other]])</f>
        <v>-0.38618607625155804</v>
      </c>
      <c r="L61">
        <f>Tabelle2[[#This Row],[lulucf_lts]]-Tabelle2[[#This Row],[lulucf_lts_other]]</f>
        <v>0</v>
      </c>
      <c r="M61">
        <f>Tabelle2[[#This Row],[lulucf_historical_other]]</f>
        <v>0</v>
      </c>
      <c r="N61">
        <f>Tabelle2[[#This Row],[lulucf_lts_forest]]-Tabelle2[[#This Row],[lulucf_historical_forest]]</f>
        <v>0.38618607625155804</v>
      </c>
      <c r="O61">
        <f t="shared" si="1"/>
        <v>0.311820390205582</v>
      </c>
      <c r="P61">
        <f>Tabelle2[[#This Row],[correction]]*Tabelle2[[#This Row],[lulucf_historical_forest]]</f>
        <v>-0.12042069298872347</v>
      </c>
      <c r="Q61">
        <f>Tabelle2[[#This Row],[lulucf_historical_forest_direct]]+Tabelle2[[#This Row],[lulucf_historical_other]]</f>
        <v>-0.12042069298872347</v>
      </c>
      <c r="R61">
        <f>IF(Tabelle2[[#This Row],[lulucf_forest_difference]]&gt;0,(Tabelle2[[#This Row],[correction]]*Tabelle2[[#This Row],[lulucf_lts_forest]]),(Tabelle2[[#This Row],[correction]]*Tabelle2[[#This Row],[lulucf_historical_forest]])+Tabelle2[[#This Row],[lulucf_forest_difference]])</f>
        <v>0</v>
      </c>
      <c r="S61" t="b">
        <f>IF(Tabelle2[[#This Row],[lulucf_forest_difference]]&lt;0,Tabelle2[[#This Row],[lulucf_lts]]-#REF!)</f>
        <v>0</v>
      </c>
      <c r="T61">
        <f>Tabelle2[[#This Row],[lulucf_lts_total_direct]]-Tabelle2[[#This Row],[lulucf_historical_total_direct]]</f>
        <v>0.12042069298872347</v>
      </c>
    </row>
    <row r="62" spans="1:20" hidden="1" x14ac:dyDescent="0.25">
      <c r="A62" t="str">
        <f>planned_cdr_ltleds!A61</f>
        <v>Malta</v>
      </c>
      <c r="B62" t="str">
        <f>planned_cdr_ltleds!B61</f>
        <v>MLT</v>
      </c>
      <c r="C62" t="str">
        <f>planned_cdr_ltleds!C61</f>
        <v>Yes</v>
      </c>
      <c r="D62" t="str">
        <f>CONCATENATE(Tabelle2[[#This Row],[EU]],planned_cdr_ltleds!Q61)</f>
        <v>Yes</v>
      </c>
      <c r="E62" t="str">
        <f>CONCATENATE(Tabelle2[[#This Row],[EU]],planned_cdr_ltleds!R61)</f>
        <v>Yes</v>
      </c>
      <c r="F62" t="str">
        <f>planned_cdr_ltleds!S61</f>
        <v/>
      </c>
      <c r="G62">
        <f>-planned_cdr_ltleds!J61</f>
        <v>0</v>
      </c>
      <c r="H62">
        <f>-planned_cdr_ltleds!K61</f>
        <v>0</v>
      </c>
      <c r="I62">
        <f>VLOOKUP(Tabelle2[[#This Row],[iso]],current_cdr_nghgi!$B$2:$J$199,5,FALSE)</f>
        <v>-5.9526700199999999E-6</v>
      </c>
      <c r="J62">
        <f>VLOOKUP(Tabelle2[[#This Row],[iso]],current_cdr_nghgi!$B$2:$J$199,8,FALSE)</f>
        <v>-7.1561737098720397E-3</v>
      </c>
      <c r="K62">
        <f>SUM(Tabelle2[[#This Row],[lulucf_historical_forest]:[lulucf_historical_other]])</f>
        <v>-7.1621263798920393E-3</v>
      </c>
      <c r="L62">
        <f>Tabelle2[[#This Row],[lulucf_lts]]-Tabelle2[[#This Row],[lulucf_lts_other]]</f>
        <v>7.1561737098720397E-3</v>
      </c>
      <c r="M62">
        <f>Tabelle2[[#This Row],[lulucf_historical_other]]</f>
        <v>-7.1561737098720397E-3</v>
      </c>
      <c r="N62">
        <f>Tabelle2[[#This Row],[lulucf_lts_forest]]-Tabelle2[[#This Row],[lulucf_historical_forest]]</f>
        <v>7.1621263798920393E-3</v>
      </c>
      <c r="O62">
        <f t="shared" si="1"/>
        <v>0.311820390205582</v>
      </c>
      <c r="P62">
        <f>Tabelle2[[#This Row],[correction]]*Tabelle2[[#This Row],[lulucf_historical_forest]]</f>
        <v>-1.8561638884014695E-6</v>
      </c>
      <c r="Q62">
        <f>Tabelle2[[#This Row],[lulucf_historical_forest_direct]]+Tabelle2[[#This Row],[lulucf_historical_other]]</f>
        <v>-7.1580298737604414E-3</v>
      </c>
      <c r="R62">
        <f>IF(Tabelle2[[#This Row],[lulucf_forest_difference]]&gt;0,(Tabelle2[[#This Row],[correction]]*Tabelle2[[#This Row],[lulucf_lts_forest]]),(Tabelle2[[#This Row],[correction]]*Tabelle2[[#This Row],[lulucf_historical_forest]])+Tabelle2[[#This Row],[lulucf_forest_difference]])</f>
        <v>2.2314408785912266E-3</v>
      </c>
      <c r="S62" t="b">
        <f>IF(Tabelle2[[#This Row],[lulucf_forest_difference]]&lt;0,Tabelle2[[#This Row],[lulucf_lts]]-#REF!)</f>
        <v>0</v>
      </c>
      <c r="T62">
        <f>Tabelle2[[#This Row],[lulucf_lts_total_direct]]-Tabelle2[[#This Row],[lulucf_historical_total_direct]]</f>
        <v>7.1580298737604414E-3</v>
      </c>
    </row>
    <row r="63" spans="1:20" hidden="1" x14ac:dyDescent="0.25">
      <c r="A63" t="str">
        <f>planned_cdr_ltleds!A62</f>
        <v>Marshall Islands</v>
      </c>
      <c r="B63" t="str">
        <f>planned_cdr_ltleds!B62</f>
        <v>MHL</v>
      </c>
      <c r="C63" t="str">
        <f>planned_cdr_ltleds!C62</f>
        <v>No</v>
      </c>
      <c r="D63" t="str">
        <f>CONCATENATE(Tabelle2[[#This Row],[EU]],planned_cdr_ltleds!Q62)</f>
        <v>No</v>
      </c>
      <c r="E63" t="str">
        <f>CONCATENATE(Tabelle2[[#This Row],[EU]],planned_cdr_ltleds!R62)</f>
        <v>No</v>
      </c>
      <c r="F63" t="str">
        <f>planned_cdr_ltleds!S62</f>
        <v/>
      </c>
      <c r="G63">
        <f>-planned_cdr_ltleds!J62</f>
        <v>0</v>
      </c>
      <c r="H63">
        <f>-planned_cdr_ltleds!K62</f>
        <v>0</v>
      </c>
      <c r="I63">
        <f>VLOOKUP(Tabelle2[[#This Row],[iso]],current_cdr_nghgi!$B$2:$J$199,5,FALSE)</f>
        <v>0</v>
      </c>
      <c r="J63">
        <f>VLOOKUP(Tabelle2[[#This Row],[iso]],current_cdr_nghgi!$B$2:$J$199,8,FALSE)</f>
        <v>0</v>
      </c>
      <c r="K63">
        <f>SUM(Tabelle2[[#This Row],[lulucf_historical_forest]:[lulucf_historical_other]])</f>
        <v>0</v>
      </c>
      <c r="L63">
        <f>Tabelle2[[#This Row],[lulucf_lts]]-Tabelle2[[#This Row],[lulucf_lts_other]]</f>
        <v>0</v>
      </c>
      <c r="M63">
        <f>Tabelle2[[#This Row],[lulucf_historical_other]]</f>
        <v>0</v>
      </c>
      <c r="N63">
        <f>Tabelle2[[#This Row],[lulucf_lts_forest]]-Tabelle2[[#This Row],[lulucf_historical_forest]]</f>
        <v>0</v>
      </c>
      <c r="O63">
        <f t="shared" si="1"/>
        <v>0.311820390205582</v>
      </c>
      <c r="P63">
        <f>Tabelle2[[#This Row],[correction]]*Tabelle2[[#This Row],[lulucf_historical_forest]]</f>
        <v>0</v>
      </c>
      <c r="Q63">
        <f>Tabelle2[[#This Row],[lulucf_historical_forest_direct]]+Tabelle2[[#This Row],[lulucf_historical_other]]</f>
        <v>0</v>
      </c>
      <c r="R63">
        <f>IF(Tabelle2[[#This Row],[lulucf_forest_difference]]&gt;0,(Tabelle2[[#This Row],[correction]]*Tabelle2[[#This Row],[lulucf_lts_forest]]),(Tabelle2[[#This Row],[correction]]*Tabelle2[[#This Row],[lulucf_historical_forest]])+Tabelle2[[#This Row],[lulucf_forest_difference]])</f>
        <v>0</v>
      </c>
      <c r="S63" t="b">
        <f>IF(Tabelle2[[#This Row],[lulucf_forest_difference]]&lt;0,Tabelle2[[#This Row],[lulucf_lts]]-#REF!)</f>
        <v>0</v>
      </c>
      <c r="T63">
        <f>Tabelle2[[#This Row],[lulucf_lts_total_direct]]-Tabelle2[[#This Row],[lulucf_historical_total_direct]]</f>
        <v>0</v>
      </c>
    </row>
    <row r="64" spans="1:20" hidden="1" x14ac:dyDescent="0.25">
      <c r="A64" t="str">
        <f>planned_cdr_ltleds!A63</f>
        <v>Mexico</v>
      </c>
      <c r="B64" t="str">
        <f>planned_cdr_ltleds!B63</f>
        <v>MEX</v>
      </c>
      <c r="C64" t="str">
        <f>planned_cdr_ltleds!C63</f>
        <v>No</v>
      </c>
      <c r="D64" t="str">
        <f>CONCATENATE(Tabelle2[[#This Row],[EU]],planned_cdr_ltleds!Q63)</f>
        <v>No</v>
      </c>
      <c r="E64" t="str">
        <f>CONCATENATE(Tabelle2[[#This Row],[EU]],planned_cdr_ltleds!R63)</f>
        <v>No</v>
      </c>
      <c r="F64" t="str">
        <f>planned_cdr_ltleds!S63</f>
        <v/>
      </c>
      <c r="G64">
        <f>-planned_cdr_ltleds!J63</f>
        <v>0</v>
      </c>
      <c r="H64">
        <f>-planned_cdr_ltleds!K63</f>
        <v>0</v>
      </c>
      <c r="I64">
        <f>VLOOKUP(Tabelle2[[#This Row],[iso]],current_cdr_nghgi!$B$2:$J$199,5,FALSE)</f>
        <v>-193.85856000000001</v>
      </c>
      <c r="J64">
        <f>VLOOKUP(Tabelle2[[#This Row],[iso]],current_cdr_nghgi!$B$2:$J$199,8,FALSE)</f>
        <v>0</v>
      </c>
      <c r="K64">
        <f>SUM(Tabelle2[[#This Row],[lulucf_historical_forest]:[lulucf_historical_other]])</f>
        <v>-193.85856000000001</v>
      </c>
      <c r="L64">
        <f>Tabelle2[[#This Row],[lulucf_lts]]-Tabelle2[[#This Row],[lulucf_lts_other]]</f>
        <v>0</v>
      </c>
      <c r="M64">
        <f>Tabelle2[[#This Row],[lulucf_historical_other]]</f>
        <v>0</v>
      </c>
      <c r="N64">
        <f>Tabelle2[[#This Row],[lulucf_lts_forest]]-Tabelle2[[#This Row],[lulucf_historical_forest]]</f>
        <v>193.85856000000001</v>
      </c>
      <c r="O64">
        <f t="shared" si="1"/>
        <v>0.311820390205582</v>
      </c>
      <c r="P64">
        <f>Tabelle2[[#This Row],[correction]]*Tabelle2[[#This Row],[lulucf_historical_forest]]</f>
        <v>-60.449051823892233</v>
      </c>
      <c r="Q64">
        <f>Tabelle2[[#This Row],[lulucf_historical_forest_direct]]+Tabelle2[[#This Row],[lulucf_historical_other]]</f>
        <v>-60.449051823892233</v>
      </c>
      <c r="R64">
        <f>IF(Tabelle2[[#This Row],[lulucf_forest_difference]]&gt;0,(Tabelle2[[#This Row],[correction]]*Tabelle2[[#This Row],[lulucf_lts_forest]]),(Tabelle2[[#This Row],[correction]]*Tabelle2[[#This Row],[lulucf_historical_forest]])+Tabelle2[[#This Row],[lulucf_forest_difference]])</f>
        <v>0</v>
      </c>
      <c r="S64" t="b">
        <f>IF(Tabelle2[[#This Row],[lulucf_forest_difference]]&lt;0,Tabelle2[[#This Row],[lulucf_lts]]-#REF!)</f>
        <v>0</v>
      </c>
      <c r="T64">
        <f>Tabelle2[[#This Row],[lulucf_lts_total_direct]]-Tabelle2[[#This Row],[lulucf_historical_total_direct]]</f>
        <v>60.449051823892233</v>
      </c>
    </row>
    <row r="65" spans="1:20" hidden="1" x14ac:dyDescent="0.25">
      <c r="A65" t="str">
        <f>planned_cdr_ltleds!A64</f>
        <v>Morocco</v>
      </c>
      <c r="B65" t="str">
        <f>planned_cdr_ltleds!B64</f>
        <v>MAR</v>
      </c>
      <c r="C65" t="str">
        <f>planned_cdr_ltleds!C64</f>
        <v>No</v>
      </c>
      <c r="D65" t="str">
        <f>CONCATENATE(Tabelle2[[#This Row],[EU]],planned_cdr_ltleds!Q64)</f>
        <v>No</v>
      </c>
      <c r="E65" t="str">
        <f>CONCATENATE(Tabelle2[[#This Row],[EU]],planned_cdr_ltleds!R64)</f>
        <v>No</v>
      </c>
      <c r="F65" t="str">
        <f>planned_cdr_ltleds!S64</f>
        <v/>
      </c>
      <c r="G65">
        <f>-planned_cdr_ltleds!J64</f>
        <v>0</v>
      </c>
      <c r="H65">
        <f>-planned_cdr_ltleds!K64</f>
        <v>0</v>
      </c>
      <c r="I65">
        <f>VLOOKUP(Tabelle2[[#This Row],[iso]],current_cdr_nghgi!$B$2:$J$199,5,FALSE)</f>
        <v>-1.845</v>
      </c>
      <c r="J65">
        <f>VLOOKUP(Tabelle2[[#This Row],[iso]],current_cdr_nghgi!$B$2:$J$199,8,FALSE)</f>
        <v>0</v>
      </c>
      <c r="K65">
        <f>SUM(Tabelle2[[#This Row],[lulucf_historical_forest]:[lulucf_historical_other]])</f>
        <v>-1.845</v>
      </c>
      <c r="L65">
        <f>Tabelle2[[#This Row],[lulucf_lts]]-Tabelle2[[#This Row],[lulucf_lts_other]]</f>
        <v>0</v>
      </c>
      <c r="M65">
        <f>Tabelle2[[#This Row],[lulucf_historical_other]]</f>
        <v>0</v>
      </c>
      <c r="N65">
        <f>Tabelle2[[#This Row],[lulucf_lts_forest]]-Tabelle2[[#This Row],[lulucf_historical_forest]]</f>
        <v>1.845</v>
      </c>
      <c r="O65">
        <f t="shared" si="1"/>
        <v>0.311820390205582</v>
      </c>
      <c r="P65">
        <f>Tabelle2[[#This Row],[correction]]*Tabelle2[[#This Row],[lulucf_historical_forest]]</f>
        <v>-0.57530861992929883</v>
      </c>
      <c r="Q65">
        <f>Tabelle2[[#This Row],[lulucf_historical_forest_direct]]+Tabelle2[[#This Row],[lulucf_historical_other]]</f>
        <v>-0.57530861992929883</v>
      </c>
      <c r="R65">
        <f>IF(Tabelle2[[#This Row],[lulucf_forest_difference]]&gt;0,(Tabelle2[[#This Row],[correction]]*Tabelle2[[#This Row],[lulucf_lts_forest]]),(Tabelle2[[#This Row],[correction]]*Tabelle2[[#This Row],[lulucf_historical_forest]])+Tabelle2[[#This Row],[lulucf_forest_difference]])</f>
        <v>0</v>
      </c>
      <c r="S65" t="b">
        <f>IF(Tabelle2[[#This Row],[lulucf_forest_difference]]&lt;0,Tabelle2[[#This Row],[lulucf_lts]]-#REF!)</f>
        <v>0</v>
      </c>
      <c r="T65">
        <f>Tabelle2[[#This Row],[lulucf_lts_total_direct]]-Tabelle2[[#This Row],[lulucf_historical_total_direct]]</f>
        <v>0.57530861992929883</v>
      </c>
    </row>
    <row r="66" spans="1:20" x14ac:dyDescent="0.25">
      <c r="A66" t="str">
        <f>planned_cdr_ltleds!A65</f>
        <v>Nepal</v>
      </c>
      <c r="B66" t="str">
        <f>planned_cdr_ltleds!B65</f>
        <v>NPL</v>
      </c>
      <c r="C66" t="str">
        <f>planned_cdr_ltleds!C65</f>
        <v>No</v>
      </c>
      <c r="D66" t="str">
        <f>CONCATENATE(Tabelle2[[#This Row],[EU]],planned_cdr_ltleds!Q65)</f>
        <v>NoMAX</v>
      </c>
      <c r="E66" t="str">
        <f>CONCATENATE(Tabelle2[[#This Row],[EU]],planned_cdr_ltleds!R65)</f>
        <v>NoMIN</v>
      </c>
      <c r="F66" t="str">
        <f>planned_cdr_ltleds!S65</f>
        <v>MAXMIN</v>
      </c>
      <c r="G66" s="2">
        <f>-planned_cdr_ltleds!J65</f>
        <v>0</v>
      </c>
      <c r="H66" s="2">
        <f>-planned_cdr_ltleds!K65</f>
        <v>-9.1999999999999993</v>
      </c>
      <c r="I66" s="2">
        <f>VLOOKUP(Tabelle2[[#This Row],[iso]],current_cdr_nghgi!$B$2:$J$199,5,FALSE)</f>
        <v>-16.231999999999999</v>
      </c>
      <c r="J66" s="2">
        <f>VLOOKUP(Tabelle2[[#This Row],[iso]],current_cdr_nghgi!$B$2:$J$199,8,FALSE)</f>
        <v>0</v>
      </c>
      <c r="K66" s="2">
        <f>SUM(Tabelle2[[#This Row],[lulucf_historical_forest]:[lulucf_historical_other]])</f>
        <v>-16.231999999999999</v>
      </c>
      <c r="L66" s="2">
        <f>Tabelle2[[#This Row],[lulucf_lts]]-Tabelle2[[#This Row],[lulucf_lts_other]]</f>
        <v>-9.1999999999999993</v>
      </c>
      <c r="M66" s="2">
        <f>IF(Tabelle2[[#This Row],[lulucf_historical_other]]&gt;Tabelle2[[#This Row],[lulucf_lts]],Tabelle2[[#This Row],[lulucf_historical_other]],Tabelle2[[#This Row],[lulucf_lts]])</f>
        <v>0</v>
      </c>
      <c r="N66" s="2">
        <f>Tabelle2[[#This Row],[lulucf_lts_forest]]-Tabelle2[[#This Row],[lulucf_historical_forest]]</f>
        <v>7.032</v>
      </c>
      <c r="O66" s="2">
        <f t="shared" si="1"/>
        <v>0.311820390205582</v>
      </c>
      <c r="P66" s="2">
        <f>Tabelle2[[#This Row],[correction]]*Tabelle2[[#This Row],[lulucf_historical_forest]]</f>
        <v>-5.0614685738170069</v>
      </c>
      <c r="Q66" s="2">
        <f>Tabelle2[[#This Row],[lulucf_historical_forest_direct]]+Tabelle2[[#This Row],[lulucf_historical_other]]</f>
        <v>-5.0614685738170069</v>
      </c>
      <c r="R66" s="2">
        <f>IF(Tabelle2[[#This Row],[lulucf_forest_difference]]&gt;0,(Tabelle2[[#This Row],[correction]]*Tabelle2[[#This Row],[lulucf_lts_forest]]),(Tabelle2[[#This Row],[correction]]*Tabelle2[[#This Row],[lulucf_historical_forest]])+Tabelle2[[#This Row],[lulucf_forest_difference]])</f>
        <v>-2.8687475898913544</v>
      </c>
      <c r="S66" s="2">
        <f>Tabelle2[[#This Row],[lulucf_lts_forest_direct]]+Tabelle2[[#This Row],[lulucf_lts_other]]</f>
        <v>-2.8687475898913544</v>
      </c>
      <c r="T66" s="2">
        <f>Tabelle2[[#This Row],[lulucf_lts_total_direct]]-Tabelle2[[#This Row],[lulucf_historical_total_direct]]</f>
        <v>2.1927209839256525</v>
      </c>
    </row>
    <row r="67" spans="1:20" hidden="1" x14ac:dyDescent="0.25">
      <c r="A67" t="str">
        <f>planned_cdr_ltleds!A66</f>
        <v>Netherlands</v>
      </c>
      <c r="B67" t="str">
        <f>planned_cdr_ltleds!B66</f>
        <v>NLD</v>
      </c>
      <c r="C67" t="str">
        <f>planned_cdr_ltleds!C66</f>
        <v>Yes</v>
      </c>
      <c r="D67" t="str">
        <f>CONCATENATE(Tabelle2[[#This Row],[EU]],planned_cdr_ltleds!Q66)</f>
        <v>Yes</v>
      </c>
      <c r="E67" t="str">
        <f>CONCATENATE(Tabelle2[[#This Row],[EU]],planned_cdr_ltleds!R66)</f>
        <v>Yes</v>
      </c>
      <c r="F67" t="str">
        <f>planned_cdr_ltleds!S66</f>
        <v/>
      </c>
      <c r="G67">
        <f>-planned_cdr_ltleds!J66</f>
        <v>0</v>
      </c>
      <c r="H67">
        <f>-planned_cdr_ltleds!K66</f>
        <v>0</v>
      </c>
      <c r="I67">
        <f>VLOOKUP(Tabelle2[[#This Row],[iso]],current_cdr_nghgi!$B$2:$J$199,5,FALSE)</f>
        <v>-2.2792946767034401</v>
      </c>
      <c r="J67">
        <f>VLOOKUP(Tabelle2[[#This Row],[iso]],current_cdr_nghgi!$B$2:$J$199,8,FALSE)</f>
        <v>0</v>
      </c>
      <c r="K67">
        <f>SUM(Tabelle2[[#This Row],[lulucf_historical_forest]:[lulucf_historical_other]])</f>
        <v>-2.2792946767034401</v>
      </c>
      <c r="L67">
        <f>Tabelle2[[#This Row],[lulucf_lts]]-Tabelle2[[#This Row],[lulucf_lts_other]]</f>
        <v>0</v>
      </c>
      <c r="M67">
        <f>Tabelle2[[#This Row],[lulucf_historical_other]]</f>
        <v>0</v>
      </c>
      <c r="N67">
        <f>Tabelle2[[#This Row],[lulucf_lts_forest]]-Tabelle2[[#This Row],[lulucf_historical_forest]]</f>
        <v>2.2792946767034401</v>
      </c>
      <c r="O67">
        <f t="shared" ref="O67:O98" si="2">$Y$2</f>
        <v>0.311820390205582</v>
      </c>
      <c r="P67">
        <f>Tabelle2[[#This Row],[correction]]*Tabelle2[[#This Row],[lulucf_historical_forest]]</f>
        <v>-0.71073055548317254</v>
      </c>
      <c r="Q67">
        <f>Tabelle2[[#This Row],[lulucf_historical_forest_direct]]+Tabelle2[[#This Row],[lulucf_historical_other]]</f>
        <v>-0.71073055548317254</v>
      </c>
      <c r="R67">
        <f>IF(Tabelle2[[#This Row],[lulucf_forest_difference]]&gt;0,(Tabelle2[[#This Row],[correction]]*Tabelle2[[#This Row],[lulucf_lts_forest]]),(Tabelle2[[#This Row],[correction]]*Tabelle2[[#This Row],[lulucf_historical_forest]])+Tabelle2[[#This Row],[lulucf_forest_difference]])</f>
        <v>0</v>
      </c>
      <c r="S67" t="b">
        <f>IF(Tabelle2[[#This Row],[lulucf_forest_difference]]&lt;0,Tabelle2[[#This Row],[lulucf_lts]]-#REF!)</f>
        <v>0</v>
      </c>
      <c r="T67">
        <f>Tabelle2[[#This Row],[lulucf_lts_total_direct]]-Tabelle2[[#This Row],[lulucf_historical_total_direct]]</f>
        <v>0.71073055548317254</v>
      </c>
    </row>
    <row r="68" spans="1:20" hidden="1" x14ac:dyDescent="0.25">
      <c r="A68" t="str">
        <f>planned_cdr_ltleds!A67</f>
        <v>New Zealand</v>
      </c>
      <c r="B68" t="str">
        <f>planned_cdr_ltleds!B67</f>
        <v>NZL</v>
      </c>
      <c r="C68" t="str">
        <f>planned_cdr_ltleds!C67</f>
        <v>No</v>
      </c>
      <c r="D68" t="str">
        <f>CONCATENATE(Tabelle2[[#This Row],[EU]],planned_cdr_ltleds!Q67)</f>
        <v>No</v>
      </c>
      <c r="E68" t="str">
        <f>CONCATENATE(Tabelle2[[#This Row],[EU]],planned_cdr_ltleds!R67)</f>
        <v>No</v>
      </c>
      <c r="F68" t="str">
        <f>planned_cdr_ltleds!S67</f>
        <v/>
      </c>
      <c r="G68">
        <f>-planned_cdr_ltleds!J67</f>
        <v>0</v>
      </c>
      <c r="H68">
        <f>-planned_cdr_ltleds!K67</f>
        <v>0</v>
      </c>
      <c r="I68">
        <f>VLOOKUP(Tabelle2[[#This Row],[iso]],current_cdr_nghgi!$B$2:$J$199,5,FALSE)</f>
        <v>-32.885657006983102</v>
      </c>
      <c r="J68">
        <f>VLOOKUP(Tabelle2[[#This Row],[iso]],current_cdr_nghgi!$B$2:$J$199,8,FALSE)</f>
        <v>-0.11129166597099101</v>
      </c>
      <c r="K68">
        <f>SUM(Tabelle2[[#This Row],[lulucf_historical_forest]:[lulucf_historical_other]])</f>
        <v>-32.99694867295409</v>
      </c>
      <c r="L68">
        <f>Tabelle2[[#This Row],[lulucf_lts]]-Tabelle2[[#This Row],[lulucf_lts_other]]</f>
        <v>0.11129166597099101</v>
      </c>
      <c r="M68">
        <f>Tabelle2[[#This Row],[lulucf_historical_other]]</f>
        <v>-0.11129166597099101</v>
      </c>
      <c r="N68">
        <f>Tabelle2[[#This Row],[lulucf_lts_forest]]-Tabelle2[[#This Row],[lulucf_historical_forest]]</f>
        <v>32.99694867295409</v>
      </c>
      <c r="O68">
        <f t="shared" si="2"/>
        <v>0.311820390205582</v>
      </c>
      <c r="P68">
        <f>Tabelle2[[#This Row],[correction]]*Tabelle2[[#This Row],[lulucf_historical_forest]]</f>
        <v>-10.254418400084402</v>
      </c>
      <c r="Q68">
        <f>Tabelle2[[#This Row],[lulucf_historical_forest_direct]]+Tabelle2[[#This Row],[lulucf_historical_other]]</f>
        <v>-10.365710066055394</v>
      </c>
      <c r="R68">
        <f>IF(Tabelle2[[#This Row],[lulucf_forest_difference]]&gt;0,(Tabelle2[[#This Row],[correction]]*Tabelle2[[#This Row],[lulucf_lts_forest]]),(Tabelle2[[#This Row],[correction]]*Tabelle2[[#This Row],[lulucf_historical_forest]])+Tabelle2[[#This Row],[lulucf_forest_difference]])</f>
        <v>3.4703010709703705E-2</v>
      </c>
      <c r="S68" t="b">
        <f>IF(Tabelle2[[#This Row],[lulucf_forest_difference]]&lt;0,Tabelle2[[#This Row],[lulucf_lts]]-#REF!)</f>
        <v>0</v>
      </c>
      <c r="T68">
        <f>Tabelle2[[#This Row],[lulucf_lts_total_direct]]-Tabelle2[[#This Row],[lulucf_historical_total_direct]]</f>
        <v>10.365710066055394</v>
      </c>
    </row>
    <row r="69" spans="1:20" hidden="1" x14ac:dyDescent="0.25">
      <c r="A69" t="str">
        <f>planned_cdr_ltleds!A68</f>
        <v>Nigeria</v>
      </c>
      <c r="B69" t="str">
        <f>planned_cdr_ltleds!B68</f>
        <v>NGA</v>
      </c>
      <c r="C69" t="str">
        <f>planned_cdr_ltleds!C68</f>
        <v>No</v>
      </c>
      <c r="D69" t="str">
        <f>CONCATENATE(Tabelle2[[#This Row],[EU]],planned_cdr_ltleds!Q68)</f>
        <v>No</v>
      </c>
      <c r="E69" t="str">
        <f>CONCATENATE(Tabelle2[[#This Row],[EU]],planned_cdr_ltleds!R68)</f>
        <v>No</v>
      </c>
      <c r="F69" t="str">
        <f>planned_cdr_ltleds!S68</f>
        <v/>
      </c>
      <c r="G69">
        <f>-planned_cdr_ltleds!J68</f>
        <v>0</v>
      </c>
      <c r="H69">
        <f>-planned_cdr_ltleds!K68</f>
        <v>0</v>
      </c>
      <c r="I69">
        <f>VLOOKUP(Tabelle2[[#This Row],[iso]],current_cdr_nghgi!$B$2:$J$199,5,FALSE)</f>
        <v>-4.7771999999999997</v>
      </c>
      <c r="J69">
        <f>VLOOKUP(Tabelle2[[#This Row],[iso]],current_cdr_nghgi!$B$2:$J$199,8,FALSE)</f>
        <v>0</v>
      </c>
      <c r="K69">
        <f>SUM(Tabelle2[[#This Row],[lulucf_historical_forest]:[lulucf_historical_other]])</f>
        <v>-4.7771999999999997</v>
      </c>
      <c r="L69">
        <f>Tabelle2[[#This Row],[lulucf_lts]]-Tabelle2[[#This Row],[lulucf_lts_other]]</f>
        <v>0</v>
      </c>
      <c r="M69">
        <f>Tabelle2[[#This Row],[lulucf_historical_other]]</f>
        <v>0</v>
      </c>
      <c r="N69">
        <f>Tabelle2[[#This Row],[lulucf_lts_forest]]-Tabelle2[[#This Row],[lulucf_historical_forest]]</f>
        <v>4.7771999999999997</v>
      </c>
      <c r="O69">
        <f t="shared" si="2"/>
        <v>0.311820390205582</v>
      </c>
      <c r="P69">
        <f>Tabelle2[[#This Row],[correction]]*Tabelle2[[#This Row],[lulucf_historical_forest]]</f>
        <v>-1.4896283680901061</v>
      </c>
      <c r="Q69">
        <f>Tabelle2[[#This Row],[lulucf_historical_forest_direct]]+Tabelle2[[#This Row],[lulucf_historical_other]]</f>
        <v>-1.4896283680901061</v>
      </c>
      <c r="R69">
        <f>IF(Tabelle2[[#This Row],[lulucf_forest_difference]]&gt;0,(Tabelle2[[#This Row],[correction]]*Tabelle2[[#This Row],[lulucf_lts_forest]]),(Tabelle2[[#This Row],[correction]]*Tabelle2[[#This Row],[lulucf_historical_forest]])+Tabelle2[[#This Row],[lulucf_forest_difference]])</f>
        <v>0</v>
      </c>
      <c r="S69" t="b">
        <f>IF(Tabelle2[[#This Row],[lulucf_forest_difference]]&lt;0,Tabelle2[[#This Row],[lulucf_lts]]-#REF!)</f>
        <v>0</v>
      </c>
      <c r="T69">
        <f>Tabelle2[[#This Row],[lulucf_lts_total_direct]]-Tabelle2[[#This Row],[lulucf_historical_total_direct]]</f>
        <v>1.4896283680901061</v>
      </c>
    </row>
    <row r="70" spans="1:20" x14ac:dyDescent="0.25">
      <c r="A70" t="str">
        <f>planned_cdr_ltleds!A69</f>
        <v>North Macedonia</v>
      </c>
      <c r="B70" t="str">
        <f>planned_cdr_ltleds!B69</f>
        <v>MKD</v>
      </c>
      <c r="C70" t="str">
        <f>planned_cdr_ltleds!C69</f>
        <v>No</v>
      </c>
      <c r="D70" t="str">
        <f>CONCATENATE(Tabelle2[[#This Row],[EU]],planned_cdr_ltleds!Q69)</f>
        <v>NoMAX</v>
      </c>
      <c r="E70" t="str">
        <f>CONCATENATE(Tabelle2[[#This Row],[EU]],planned_cdr_ltleds!R69)</f>
        <v>NoMIN</v>
      </c>
      <c r="F70" t="str">
        <f>planned_cdr_ltleds!S69</f>
        <v>MAXMIN</v>
      </c>
      <c r="G70" s="2">
        <f>-planned_cdr_ltleds!J69</f>
        <v>0</v>
      </c>
      <c r="H70" s="2">
        <f>-planned_cdr_ltleds!K69</f>
        <v>-3.794</v>
      </c>
      <c r="I70" s="2">
        <f>VLOOKUP(Tabelle2[[#This Row],[iso]],current_cdr_nghgi!$B$2:$J$199,5,FALSE)</f>
        <v>-1.96</v>
      </c>
      <c r="J70" s="2">
        <f>VLOOKUP(Tabelle2[[#This Row],[iso]],current_cdr_nghgi!$B$2:$J$199,8,FALSE)</f>
        <v>0</v>
      </c>
      <c r="K70" s="2">
        <f>SUM(Tabelle2[[#This Row],[lulucf_historical_forest]:[lulucf_historical_other]])</f>
        <v>-1.96</v>
      </c>
      <c r="L70" s="2">
        <f>Tabelle2[[#This Row],[lulucf_lts]]-Tabelle2[[#This Row],[lulucf_lts_other]]</f>
        <v>-3.794</v>
      </c>
      <c r="M70" s="2">
        <f>IF(Tabelle2[[#This Row],[lulucf_historical_other]]&gt;Tabelle2[[#This Row],[lulucf_lts]],Tabelle2[[#This Row],[lulucf_historical_other]],Tabelle2[[#This Row],[lulucf_lts]])</f>
        <v>0</v>
      </c>
      <c r="N70" s="2">
        <f>Tabelle2[[#This Row],[lulucf_lts_forest]]-Tabelle2[[#This Row],[lulucf_historical_forest]]</f>
        <v>-1.8340000000000001</v>
      </c>
      <c r="O70" s="2">
        <f t="shared" si="2"/>
        <v>0.311820390205582</v>
      </c>
      <c r="P70" s="2">
        <f>Tabelle2[[#This Row],[correction]]*Tabelle2[[#This Row],[lulucf_historical_forest]]</f>
        <v>-0.61116796480294067</v>
      </c>
      <c r="Q70" s="2">
        <f>Tabelle2[[#This Row],[lulucf_historical_forest_direct]]+Tabelle2[[#This Row],[lulucf_historical_other]]</f>
        <v>-0.61116796480294067</v>
      </c>
      <c r="R70" s="2">
        <f>IF(Tabelle2[[#This Row],[lulucf_forest_difference]]&gt;0,(Tabelle2[[#This Row],[correction]]*Tabelle2[[#This Row],[lulucf_lts_forest]]),(Tabelle2[[#This Row],[correction]]*Tabelle2[[#This Row],[lulucf_historical_forest]])+Tabelle2[[#This Row],[lulucf_forest_difference]])</f>
        <v>-2.4451679648029407</v>
      </c>
      <c r="S70" s="2">
        <f>Tabelle2[[#This Row],[lulucf_lts_forest_direct]]+Tabelle2[[#This Row],[lulucf_lts_other]]</f>
        <v>-2.4451679648029407</v>
      </c>
      <c r="T70" s="2">
        <f>Tabelle2[[#This Row],[lulucf_lts_total_direct]]-Tabelle2[[#This Row],[lulucf_historical_total_direct]]</f>
        <v>-1.8340000000000001</v>
      </c>
    </row>
    <row r="71" spans="1:20" hidden="1" x14ac:dyDescent="0.25">
      <c r="A71" t="str">
        <f>planned_cdr_ltleds!A70</f>
        <v>Norway</v>
      </c>
      <c r="B71" t="str">
        <f>planned_cdr_ltleds!B70</f>
        <v>NOR</v>
      </c>
      <c r="C71" t="str">
        <f>planned_cdr_ltleds!C70</f>
        <v>No</v>
      </c>
      <c r="D71" t="str">
        <f>CONCATENATE(Tabelle2[[#This Row],[EU]],planned_cdr_ltleds!Q70)</f>
        <v>No</v>
      </c>
      <c r="E71" t="str">
        <f>CONCATENATE(Tabelle2[[#This Row],[EU]],planned_cdr_ltleds!R70)</f>
        <v>No</v>
      </c>
      <c r="F71" t="str">
        <f>planned_cdr_ltleds!S70</f>
        <v/>
      </c>
      <c r="G71">
        <f>-planned_cdr_ltleds!J70</f>
        <v>0</v>
      </c>
      <c r="H71">
        <f>-planned_cdr_ltleds!K70</f>
        <v>0</v>
      </c>
      <c r="I71">
        <f>VLOOKUP(Tabelle2[[#This Row],[iso]],current_cdr_nghgi!$B$2:$J$199,5,FALSE)</f>
        <v>-24.185443743225399</v>
      </c>
      <c r="J71">
        <f>VLOOKUP(Tabelle2[[#This Row],[iso]],current_cdr_nghgi!$B$2:$J$199,8,FALSE)</f>
        <v>-2.38775722145976</v>
      </c>
      <c r="K71">
        <f>SUM(Tabelle2[[#This Row],[lulucf_historical_forest]:[lulucf_historical_other]])</f>
        <v>-26.57320096468516</v>
      </c>
      <c r="L71">
        <f>Tabelle2[[#This Row],[lulucf_lts]]-Tabelle2[[#This Row],[lulucf_lts_other]]</f>
        <v>2.38775722145976</v>
      </c>
      <c r="M71">
        <f>Tabelle2[[#This Row],[lulucf_historical_other]]</f>
        <v>-2.38775722145976</v>
      </c>
      <c r="N71">
        <f>Tabelle2[[#This Row],[lulucf_lts_forest]]-Tabelle2[[#This Row],[lulucf_historical_forest]]</f>
        <v>26.57320096468516</v>
      </c>
      <c r="O71">
        <f t="shared" si="2"/>
        <v>0.311820390205582</v>
      </c>
      <c r="P71">
        <f>Tabelle2[[#This Row],[correction]]*Tabelle2[[#This Row],[lulucf_historical_forest]]</f>
        <v>-7.5415145053076955</v>
      </c>
      <c r="Q71">
        <f>Tabelle2[[#This Row],[lulucf_historical_forest_direct]]+Tabelle2[[#This Row],[lulucf_historical_other]]</f>
        <v>-9.9292717267674551</v>
      </c>
      <c r="R71">
        <f>IF(Tabelle2[[#This Row],[lulucf_forest_difference]]&gt;0,(Tabelle2[[#This Row],[correction]]*Tabelle2[[#This Row],[lulucf_lts_forest]]),(Tabelle2[[#This Row],[correction]]*Tabelle2[[#This Row],[lulucf_historical_forest]])+Tabelle2[[#This Row],[lulucf_forest_difference]])</f>
        <v>0.7445513885117786</v>
      </c>
      <c r="S71" t="b">
        <f>IF(Tabelle2[[#This Row],[lulucf_forest_difference]]&lt;0,Tabelle2[[#This Row],[lulucf_lts]]-#REF!)</f>
        <v>0</v>
      </c>
      <c r="T71">
        <f>Tabelle2[[#This Row],[lulucf_lts_total_direct]]-Tabelle2[[#This Row],[lulucf_historical_total_direct]]</f>
        <v>9.9292717267674551</v>
      </c>
    </row>
    <row r="72" spans="1:20" x14ac:dyDescent="0.25">
      <c r="A72" t="str">
        <f>planned_cdr_ltleds!A71</f>
        <v>Oman</v>
      </c>
      <c r="B72" t="str">
        <f>planned_cdr_ltleds!B71</f>
        <v>OMN</v>
      </c>
      <c r="C72" t="str">
        <f>planned_cdr_ltleds!C71</f>
        <v>No</v>
      </c>
      <c r="D72" t="str">
        <f>CONCATENATE(Tabelle2[[#This Row],[EU]],planned_cdr_ltleds!Q71)</f>
        <v>NoMAX</v>
      </c>
      <c r="E72" t="str">
        <f>CONCATENATE(Tabelle2[[#This Row],[EU]],planned_cdr_ltleds!R71)</f>
        <v>NoMIN</v>
      </c>
      <c r="F72" t="str">
        <f>planned_cdr_ltleds!S71</f>
        <v>MAXMIN</v>
      </c>
      <c r="G72" s="2">
        <f>-planned_cdr_ltleds!J71</f>
        <v>-7</v>
      </c>
      <c r="H72" s="2">
        <f>-planned_cdr_ltleds!K71</f>
        <v>0</v>
      </c>
      <c r="I72" s="2">
        <f>VLOOKUP(Tabelle2[[#This Row],[iso]],current_cdr_nghgi!$B$2:$J$199,5,FALSE)</f>
        <v>0</v>
      </c>
      <c r="J72" s="2">
        <f>VLOOKUP(Tabelle2[[#This Row],[iso]],current_cdr_nghgi!$B$2:$J$199,8,FALSE)</f>
        <v>0</v>
      </c>
      <c r="K72" s="2">
        <f>SUM(Tabelle2[[#This Row],[lulucf_historical_forest]:[lulucf_historical_other]])</f>
        <v>0</v>
      </c>
      <c r="L72" s="2">
        <f>Tabelle2[[#This Row],[lulucf_lts]]-Tabelle2[[#This Row],[lulucf_lts_other]]</f>
        <v>0</v>
      </c>
      <c r="M72" s="2">
        <f>IF(Tabelle2[[#This Row],[lulucf_historical_other]]&gt;Tabelle2[[#This Row],[lulucf_lts]],Tabelle2[[#This Row],[lulucf_historical_other]],Tabelle2[[#This Row],[lulucf_lts]])</f>
        <v>0</v>
      </c>
      <c r="N72" s="2">
        <f>Tabelle2[[#This Row],[lulucf_lts_forest]]-Tabelle2[[#This Row],[lulucf_historical_forest]]</f>
        <v>0</v>
      </c>
      <c r="O72" s="2">
        <f t="shared" si="2"/>
        <v>0.311820390205582</v>
      </c>
      <c r="P72" s="2">
        <f>Tabelle2[[#This Row],[correction]]*Tabelle2[[#This Row],[lulucf_historical_forest]]</f>
        <v>0</v>
      </c>
      <c r="Q72" s="2">
        <f>Tabelle2[[#This Row],[lulucf_historical_forest_direct]]+Tabelle2[[#This Row],[lulucf_historical_other]]</f>
        <v>0</v>
      </c>
      <c r="R72" s="2">
        <f>IF(Tabelle2[[#This Row],[lulucf_forest_difference]]&gt;0,(Tabelle2[[#This Row],[correction]]*Tabelle2[[#This Row],[lulucf_lts_forest]]),(Tabelle2[[#This Row],[correction]]*Tabelle2[[#This Row],[lulucf_historical_forest]])+Tabelle2[[#This Row],[lulucf_forest_difference]])</f>
        <v>0</v>
      </c>
      <c r="S72" s="2">
        <f>Tabelle2[[#This Row],[lulucf_lts_forest_direct]]+Tabelle2[[#This Row],[lulucf_lts_other]]</f>
        <v>0</v>
      </c>
      <c r="T72" s="2">
        <f>Tabelle2[[#This Row],[lulucf_lts_total_direct]]-Tabelle2[[#This Row],[lulucf_historical_total_direct]]</f>
        <v>0</v>
      </c>
    </row>
    <row r="73" spans="1:20" hidden="1" x14ac:dyDescent="0.25">
      <c r="A73" t="str">
        <f>planned_cdr_ltleds!A72</f>
        <v>Portugal</v>
      </c>
      <c r="B73" t="str">
        <f>planned_cdr_ltleds!B72</f>
        <v>PRT</v>
      </c>
      <c r="C73" t="str">
        <f>planned_cdr_ltleds!C72</f>
        <v>Yes</v>
      </c>
      <c r="D73" t="str">
        <f>CONCATENATE(Tabelle2[[#This Row],[EU]],planned_cdr_ltleds!Q72)</f>
        <v>Yes</v>
      </c>
      <c r="E73" t="str">
        <f>CONCATENATE(Tabelle2[[#This Row],[EU]],planned_cdr_ltleds!R72)</f>
        <v>YesMIN</v>
      </c>
      <c r="F73" t="str">
        <f>planned_cdr_ltleds!S72</f>
        <v>MIN</v>
      </c>
      <c r="G73">
        <f>-planned_cdr_ltleds!J72</f>
        <v>0</v>
      </c>
      <c r="H73">
        <f>-planned_cdr_ltleds!K72</f>
        <v>-14.18</v>
      </c>
      <c r="I73">
        <f>VLOOKUP(Tabelle2[[#This Row],[iso]],current_cdr_nghgi!$B$2:$J$199,5,FALSE)</f>
        <v>-9.0440550396003889</v>
      </c>
      <c r="J73">
        <f>VLOOKUP(Tabelle2[[#This Row],[iso]],current_cdr_nghgi!$B$2:$J$199,8,FALSE)</f>
        <v>0</v>
      </c>
      <c r="K73">
        <f>SUM(Tabelle2[[#This Row],[lulucf_historical_forest]:[lulucf_historical_other]])</f>
        <v>-9.0440550396003889</v>
      </c>
      <c r="L73">
        <f>Tabelle2[[#This Row],[lulucf_lts]]-Tabelle2[[#This Row],[lulucf_lts_other]]</f>
        <v>-14.18</v>
      </c>
      <c r="M73">
        <f>Tabelle2[[#This Row],[lulucf_historical_other]]</f>
        <v>0</v>
      </c>
      <c r="N73">
        <f>Tabelle2[[#This Row],[lulucf_lts_forest]]-Tabelle2[[#This Row],[lulucf_historical_forest]]</f>
        <v>-5.1359449603996108</v>
      </c>
      <c r="O73">
        <f t="shared" si="2"/>
        <v>0.311820390205582</v>
      </c>
      <c r="P73">
        <f>Tabelle2[[#This Row],[correction]]*Tabelle2[[#This Row],[lulucf_historical_forest]]</f>
        <v>-2.8201207714889538</v>
      </c>
      <c r="Q73">
        <f>Tabelle2[[#This Row],[lulucf_historical_forest_direct]]+Tabelle2[[#This Row],[lulucf_historical_other]]</f>
        <v>-2.8201207714889538</v>
      </c>
      <c r="R73">
        <f>IF(Tabelle2[[#This Row],[lulucf_forest_difference]]&gt;0,(Tabelle2[[#This Row],[correction]]*Tabelle2[[#This Row],[lulucf_lts_forest]]),(Tabelle2[[#This Row],[correction]]*Tabelle2[[#This Row],[lulucf_historical_forest]])+Tabelle2[[#This Row],[lulucf_forest_difference]])</f>
        <v>-7.9560657318885646</v>
      </c>
      <c r="S73" t="e">
        <f>IF(Tabelle2[[#This Row],[lulucf_forest_difference]]&lt;0,Tabelle2[[#This Row],[lulucf_lts]]-#REF!)</f>
        <v>#REF!</v>
      </c>
      <c r="T73" t="e">
        <f>Tabelle2[[#This Row],[lulucf_lts_total_direct]]-Tabelle2[[#This Row],[lulucf_historical_total_direct]]</f>
        <v>#REF!</v>
      </c>
    </row>
    <row r="74" spans="1:20" hidden="1" x14ac:dyDescent="0.25">
      <c r="A74" t="str">
        <f>planned_cdr_ltleds!A73</f>
        <v>Portugal</v>
      </c>
      <c r="B74" t="str">
        <f>planned_cdr_ltleds!B73</f>
        <v>PRT</v>
      </c>
      <c r="C74" t="str">
        <f>planned_cdr_ltleds!C73</f>
        <v>Yes</v>
      </c>
      <c r="D74" t="str">
        <f>CONCATENATE(Tabelle2[[#This Row],[EU]],planned_cdr_ltleds!Q73)</f>
        <v>YesMAX</v>
      </c>
      <c r="E74" t="str">
        <f>CONCATENATE(Tabelle2[[#This Row],[EU]],planned_cdr_ltleds!R73)</f>
        <v>Yes</v>
      </c>
      <c r="F74" t="str">
        <f>planned_cdr_ltleds!S73</f>
        <v>MAX</v>
      </c>
      <c r="G74">
        <f>-planned_cdr_ltleds!J73</f>
        <v>0</v>
      </c>
      <c r="H74">
        <f>-planned_cdr_ltleds!K73</f>
        <v>-11.92</v>
      </c>
      <c r="I74">
        <f>VLOOKUP(Tabelle2[[#This Row],[iso]],current_cdr_nghgi!$B$2:$J$199,5,FALSE)</f>
        <v>-9.0440550396003889</v>
      </c>
      <c r="J74">
        <f>VLOOKUP(Tabelle2[[#This Row],[iso]],current_cdr_nghgi!$B$2:$J$199,8,FALSE)</f>
        <v>0</v>
      </c>
      <c r="K74">
        <f>SUM(Tabelle2[[#This Row],[lulucf_historical_forest]:[lulucf_historical_other]])</f>
        <v>-9.0440550396003889</v>
      </c>
      <c r="L74">
        <f>Tabelle2[[#This Row],[lulucf_lts]]-Tabelle2[[#This Row],[lulucf_lts_other]]</f>
        <v>-11.92</v>
      </c>
      <c r="M74">
        <f>Tabelle2[[#This Row],[lulucf_historical_other]]</f>
        <v>0</v>
      </c>
      <c r="N74">
        <f>Tabelle2[[#This Row],[lulucf_lts_forest]]-Tabelle2[[#This Row],[lulucf_historical_forest]]</f>
        <v>-2.875944960399611</v>
      </c>
      <c r="O74">
        <f t="shared" si="2"/>
        <v>0.311820390205582</v>
      </c>
      <c r="P74">
        <f>Tabelle2[[#This Row],[correction]]*Tabelle2[[#This Row],[lulucf_historical_forest]]</f>
        <v>-2.8201207714889538</v>
      </c>
      <c r="Q74">
        <f>Tabelle2[[#This Row],[lulucf_historical_forest_direct]]+Tabelle2[[#This Row],[lulucf_historical_other]]</f>
        <v>-2.8201207714889538</v>
      </c>
      <c r="R74">
        <f>IF(Tabelle2[[#This Row],[lulucf_forest_difference]]&gt;0,(Tabelle2[[#This Row],[correction]]*Tabelle2[[#This Row],[lulucf_lts_forest]]),(Tabelle2[[#This Row],[correction]]*Tabelle2[[#This Row],[lulucf_historical_forest]])+Tabelle2[[#This Row],[lulucf_forest_difference]])</f>
        <v>-5.6960657318885648</v>
      </c>
      <c r="S74" t="e">
        <f>IF(Tabelle2[[#This Row],[lulucf_forest_difference]]&lt;0,Tabelle2[[#This Row],[lulucf_lts]]-#REF!)</f>
        <v>#REF!</v>
      </c>
      <c r="T74" t="e">
        <f>Tabelle2[[#This Row],[lulucf_lts_total_direct]]-Tabelle2[[#This Row],[lulucf_historical_total_direct]]</f>
        <v>#REF!</v>
      </c>
    </row>
    <row r="75" spans="1:20" x14ac:dyDescent="0.25">
      <c r="A75" t="str">
        <f>planned_cdr_ltleds!A74</f>
        <v>Russia</v>
      </c>
      <c r="B75" t="str">
        <f>planned_cdr_ltleds!B74</f>
        <v>RUS</v>
      </c>
      <c r="C75" t="str">
        <f>planned_cdr_ltleds!C74</f>
        <v>No</v>
      </c>
      <c r="D75" t="str">
        <f>CONCATENATE(Tabelle2[[#This Row],[EU]],planned_cdr_ltleds!Q74)</f>
        <v>NoMAX</v>
      </c>
      <c r="E75" t="str">
        <f>CONCATENATE(Tabelle2[[#This Row],[EU]],planned_cdr_ltleds!R74)</f>
        <v>NoMIN</v>
      </c>
      <c r="F75" t="str">
        <f>planned_cdr_ltleds!S74</f>
        <v>MAXMIN</v>
      </c>
      <c r="G75" s="2">
        <f>-planned_cdr_ltleds!J74</f>
        <v>0</v>
      </c>
      <c r="H75" s="2">
        <f>-planned_cdr_ltleds!K74</f>
        <v>-1200</v>
      </c>
      <c r="I75" s="2">
        <f>VLOOKUP(Tabelle2[[#This Row],[iso]],current_cdr_nghgi!$B$2:$J$199,5,FALSE)</f>
        <v>-695.12916595128706</v>
      </c>
      <c r="J75" s="2">
        <f>VLOOKUP(Tabelle2[[#This Row],[iso]],current_cdr_nghgi!$B$2:$J$199,8,FALSE)</f>
        <v>-80.814662671337601</v>
      </c>
      <c r="K75" s="2">
        <f>SUM(Tabelle2[[#This Row],[lulucf_historical_forest]:[lulucf_historical_other]])</f>
        <v>-775.94382862262466</v>
      </c>
      <c r="L75" s="2">
        <f>Tabelle2[[#This Row],[lulucf_lts]]-Tabelle2[[#This Row],[lulucf_lts_other]]</f>
        <v>-1119.1853373286624</v>
      </c>
      <c r="M75" s="2">
        <f>IF(Tabelle2[[#This Row],[lulucf_historical_other]]&gt;Tabelle2[[#This Row],[lulucf_lts]],Tabelle2[[#This Row],[lulucf_historical_other]],Tabelle2[[#This Row],[lulucf_lts]])</f>
        <v>-80.814662671337601</v>
      </c>
      <c r="N75" s="2">
        <f>Tabelle2[[#This Row],[lulucf_lts_forest]]-Tabelle2[[#This Row],[lulucf_historical_forest]]</f>
        <v>-424.05617137737534</v>
      </c>
      <c r="O75" s="2">
        <f t="shared" si="2"/>
        <v>0.311820390205582</v>
      </c>
      <c r="P75" s="2">
        <f>Tabelle2[[#This Row],[correction]]*Tabelle2[[#This Row],[lulucf_historical_forest]]</f>
        <v>-216.75544777021111</v>
      </c>
      <c r="Q75" s="2">
        <f>Tabelle2[[#This Row],[lulucf_historical_forest_direct]]+Tabelle2[[#This Row],[lulucf_historical_other]]</f>
        <v>-297.57011044154871</v>
      </c>
      <c r="R75" s="2">
        <f>IF(Tabelle2[[#This Row],[lulucf_forest_difference]]&gt;0,(Tabelle2[[#This Row],[correction]]*Tabelle2[[#This Row],[lulucf_lts_forest]]),(Tabelle2[[#This Row],[correction]]*Tabelle2[[#This Row],[lulucf_historical_forest]])+Tabelle2[[#This Row],[lulucf_forest_difference]])</f>
        <v>-640.8116191475865</v>
      </c>
      <c r="S75" s="2">
        <f>Tabelle2[[#This Row],[lulucf_lts_forest_direct]]+Tabelle2[[#This Row],[lulucf_lts_other]]</f>
        <v>-721.6262818189241</v>
      </c>
      <c r="T75" s="2">
        <f>Tabelle2[[#This Row],[lulucf_lts_total_direct]]-Tabelle2[[#This Row],[lulucf_historical_total_direct]]</f>
        <v>-424.05617137737539</v>
      </c>
    </row>
    <row r="76" spans="1:20" hidden="1" x14ac:dyDescent="0.25">
      <c r="A76" t="str">
        <f>planned_cdr_ltleds!A75</f>
        <v>Singapore</v>
      </c>
      <c r="B76" t="str">
        <f>planned_cdr_ltleds!B75</f>
        <v>SGP</v>
      </c>
      <c r="C76" t="str">
        <f>planned_cdr_ltleds!C75</f>
        <v>No</v>
      </c>
      <c r="D76" t="str">
        <f>CONCATENATE(Tabelle2[[#This Row],[EU]],planned_cdr_ltleds!Q75)</f>
        <v>No</v>
      </c>
      <c r="E76" t="str">
        <f>CONCATENATE(Tabelle2[[#This Row],[EU]],planned_cdr_ltleds!R75)</f>
        <v>No</v>
      </c>
      <c r="F76" t="str">
        <f>planned_cdr_ltleds!S75</f>
        <v/>
      </c>
      <c r="G76">
        <f>-planned_cdr_ltleds!J75</f>
        <v>0</v>
      </c>
      <c r="H76">
        <f>-planned_cdr_ltleds!K75</f>
        <v>0</v>
      </c>
      <c r="I76">
        <f>VLOOKUP(Tabelle2[[#This Row],[iso]],current_cdr_nghgi!$B$2:$J$199,5,FALSE)</f>
        <v>-0.23923</v>
      </c>
      <c r="J76">
        <f>VLOOKUP(Tabelle2[[#This Row],[iso]],current_cdr_nghgi!$B$2:$J$199,8,FALSE)</f>
        <v>0</v>
      </c>
      <c r="K76">
        <f>SUM(Tabelle2[[#This Row],[lulucf_historical_forest]:[lulucf_historical_other]])</f>
        <v>-0.23923</v>
      </c>
      <c r="L76">
        <f>Tabelle2[[#This Row],[lulucf_lts]]-Tabelle2[[#This Row],[lulucf_lts_other]]</f>
        <v>0</v>
      </c>
      <c r="M76">
        <f>Tabelle2[[#This Row],[lulucf_historical_other]]</f>
        <v>0</v>
      </c>
      <c r="N76">
        <f>Tabelle2[[#This Row],[lulucf_lts_forest]]-Tabelle2[[#This Row],[lulucf_historical_forest]]</f>
        <v>0.23923</v>
      </c>
      <c r="O76">
        <f t="shared" si="2"/>
        <v>0.311820390205582</v>
      </c>
      <c r="P76">
        <f>Tabelle2[[#This Row],[correction]]*Tabelle2[[#This Row],[lulucf_historical_forest]]</f>
        <v>-7.4596791948881386E-2</v>
      </c>
      <c r="Q76">
        <f>Tabelle2[[#This Row],[lulucf_historical_forest_direct]]+Tabelle2[[#This Row],[lulucf_historical_other]]</f>
        <v>-7.4596791948881386E-2</v>
      </c>
      <c r="R76">
        <f>IF(Tabelle2[[#This Row],[lulucf_forest_difference]]&gt;0,(Tabelle2[[#This Row],[correction]]*Tabelle2[[#This Row],[lulucf_lts_forest]]),(Tabelle2[[#This Row],[correction]]*Tabelle2[[#This Row],[lulucf_historical_forest]])+Tabelle2[[#This Row],[lulucf_forest_difference]])</f>
        <v>0</v>
      </c>
      <c r="S76" t="b">
        <f>IF(Tabelle2[[#This Row],[lulucf_forest_difference]]&lt;0,Tabelle2[[#This Row],[lulucf_lts]]-#REF!)</f>
        <v>0</v>
      </c>
      <c r="T76">
        <f>Tabelle2[[#This Row],[lulucf_lts_total_direct]]-Tabelle2[[#This Row],[lulucf_historical_total_direct]]</f>
        <v>7.4596791948881386E-2</v>
      </c>
    </row>
    <row r="77" spans="1:20" hidden="1" x14ac:dyDescent="0.25">
      <c r="A77" t="str">
        <f>planned_cdr_ltleds!A76</f>
        <v>Slovakia</v>
      </c>
      <c r="B77" t="str">
        <f>planned_cdr_ltleds!B76</f>
        <v>SVK</v>
      </c>
      <c r="C77" t="str">
        <f>planned_cdr_ltleds!C76</f>
        <v>Yes</v>
      </c>
      <c r="D77" t="str">
        <f>CONCATENATE(Tabelle2[[#This Row],[EU]],planned_cdr_ltleds!Q76)</f>
        <v>Yes</v>
      </c>
      <c r="E77" t="str">
        <f>CONCATENATE(Tabelle2[[#This Row],[EU]],planned_cdr_ltleds!R76)</f>
        <v>Yes</v>
      </c>
      <c r="F77" t="str">
        <f>planned_cdr_ltleds!S76</f>
        <v/>
      </c>
      <c r="G77">
        <f>-planned_cdr_ltleds!J76</f>
        <v>0</v>
      </c>
      <c r="H77">
        <f>-planned_cdr_ltleds!K76</f>
        <v>0</v>
      </c>
      <c r="I77">
        <f>VLOOKUP(Tabelle2[[#This Row],[iso]],current_cdr_nghgi!$B$2:$J$199,5,FALSE)</f>
        <v>-6.3499549535308706</v>
      </c>
      <c r="J77">
        <f>VLOOKUP(Tabelle2[[#This Row],[iso]],current_cdr_nghgi!$B$2:$J$199,8,FALSE)</f>
        <v>-1.14713222106486</v>
      </c>
      <c r="K77">
        <f>SUM(Tabelle2[[#This Row],[lulucf_historical_forest]:[lulucf_historical_other]])</f>
        <v>-7.4970871745957304</v>
      </c>
      <c r="L77">
        <f>Tabelle2[[#This Row],[lulucf_lts]]-Tabelle2[[#This Row],[lulucf_lts_other]]</f>
        <v>1.14713222106486</v>
      </c>
      <c r="M77">
        <f>Tabelle2[[#This Row],[lulucf_historical_other]]</f>
        <v>-1.14713222106486</v>
      </c>
      <c r="N77">
        <f>Tabelle2[[#This Row],[lulucf_lts_forest]]-Tabelle2[[#This Row],[lulucf_historical_forest]]</f>
        <v>7.4970871745957304</v>
      </c>
      <c r="O77">
        <f t="shared" si="2"/>
        <v>0.311820390205582</v>
      </c>
      <c r="P77">
        <f>Tabelle2[[#This Row],[correction]]*Tabelle2[[#This Row],[lulucf_historical_forest]]</f>
        <v>-1.9800454313978644</v>
      </c>
      <c r="Q77">
        <f>Tabelle2[[#This Row],[lulucf_historical_forest_direct]]+Tabelle2[[#This Row],[lulucf_historical_other]]</f>
        <v>-3.1271776524627244</v>
      </c>
      <c r="R77">
        <f>IF(Tabelle2[[#This Row],[lulucf_forest_difference]]&gt;0,(Tabelle2[[#This Row],[correction]]*Tabelle2[[#This Row],[lulucf_lts_forest]]),(Tabelle2[[#This Row],[correction]]*Tabelle2[[#This Row],[lulucf_historical_forest]])+Tabelle2[[#This Row],[lulucf_forest_difference]])</f>
        <v>0.35769921678984062</v>
      </c>
      <c r="S77" t="b">
        <f>IF(Tabelle2[[#This Row],[lulucf_forest_difference]]&lt;0,Tabelle2[[#This Row],[lulucf_lts]]-#REF!)</f>
        <v>0</v>
      </c>
      <c r="T77">
        <f>Tabelle2[[#This Row],[lulucf_lts_total_direct]]-Tabelle2[[#This Row],[lulucf_historical_total_direct]]</f>
        <v>3.1271776524627244</v>
      </c>
    </row>
    <row r="78" spans="1:20" hidden="1" x14ac:dyDescent="0.25">
      <c r="A78" t="str">
        <f>planned_cdr_ltleds!A77</f>
        <v>Slovenia</v>
      </c>
      <c r="B78" t="str">
        <f>planned_cdr_ltleds!B77</f>
        <v>SVN</v>
      </c>
      <c r="C78" t="str">
        <f>planned_cdr_ltleds!C77</f>
        <v>Yes</v>
      </c>
      <c r="D78" t="str">
        <f>CONCATENATE(Tabelle2[[#This Row],[EU]],planned_cdr_ltleds!Q77)</f>
        <v>YesMAX</v>
      </c>
      <c r="E78" t="str">
        <f>CONCATENATE(Tabelle2[[#This Row],[EU]],planned_cdr_ltleds!R77)</f>
        <v>YesMIN</v>
      </c>
      <c r="F78" t="str">
        <f>planned_cdr_ltleds!S77</f>
        <v>MAXMIN</v>
      </c>
      <c r="G78">
        <f>-planned_cdr_ltleds!J77</f>
        <v>0</v>
      </c>
      <c r="H78">
        <f>-planned_cdr_ltleds!K77</f>
        <v>-2.5</v>
      </c>
      <c r="I78">
        <f>VLOOKUP(Tabelle2[[#This Row],[iso]],current_cdr_nghgi!$B$2:$J$199,5,FALSE)</f>
        <v>-2.4820265381819402</v>
      </c>
      <c r="J78">
        <f>VLOOKUP(Tabelle2[[#This Row],[iso]],current_cdr_nghgi!$B$2:$J$199,8,FALSE)</f>
        <v>-0.36546322811679799</v>
      </c>
      <c r="K78">
        <f>SUM(Tabelle2[[#This Row],[lulucf_historical_forest]:[lulucf_historical_other]])</f>
        <v>-2.8474897662987382</v>
      </c>
      <c r="L78">
        <f>Tabelle2[[#This Row],[lulucf_lts]]-Tabelle2[[#This Row],[lulucf_lts_other]]</f>
        <v>-2.134536771883202</v>
      </c>
      <c r="M78">
        <f>Tabelle2[[#This Row],[lulucf_historical_other]]</f>
        <v>-0.36546322811679799</v>
      </c>
      <c r="N78">
        <f>Tabelle2[[#This Row],[lulucf_lts_forest]]-Tabelle2[[#This Row],[lulucf_historical_forest]]</f>
        <v>0.34748976629873818</v>
      </c>
      <c r="O78">
        <f t="shared" si="2"/>
        <v>0.311820390205582</v>
      </c>
      <c r="P78">
        <f>Tabelle2[[#This Row],[correction]]*Tabelle2[[#This Row],[lulucf_historical_forest]]</f>
        <v>-0.77394648363650242</v>
      </c>
      <c r="Q78">
        <f>Tabelle2[[#This Row],[lulucf_historical_forest_direct]]+Tabelle2[[#This Row],[lulucf_historical_other]]</f>
        <v>-1.1394097117533004</v>
      </c>
      <c r="R78">
        <f>IF(Tabelle2[[#This Row],[lulucf_forest_difference]]&gt;0,(Tabelle2[[#This Row],[correction]]*Tabelle2[[#This Row],[lulucf_lts_forest]]),(Tabelle2[[#This Row],[correction]]*Tabelle2[[#This Row],[lulucf_historical_forest]])+Tabelle2[[#This Row],[lulucf_forest_difference]])</f>
        <v>-0.66559208911678347</v>
      </c>
      <c r="S78" t="b">
        <f>IF(Tabelle2[[#This Row],[lulucf_forest_difference]]&lt;0,Tabelle2[[#This Row],[lulucf_lts]]-#REF!)</f>
        <v>0</v>
      </c>
      <c r="T78">
        <f>Tabelle2[[#This Row],[lulucf_lts_total_direct]]-Tabelle2[[#This Row],[lulucf_historical_total_direct]]</f>
        <v>1.1394097117533004</v>
      </c>
    </row>
    <row r="79" spans="1:20" x14ac:dyDescent="0.25">
      <c r="A79" t="str">
        <f>planned_cdr_ltleds!A78</f>
        <v>Solomon Islands</v>
      </c>
      <c r="B79" t="str">
        <f>planned_cdr_ltleds!B78</f>
        <v>SLB</v>
      </c>
      <c r="C79" t="str">
        <f>planned_cdr_ltleds!C78</f>
        <v>No</v>
      </c>
      <c r="D79" t="str">
        <f>CONCATENATE(Tabelle2[[#This Row],[EU]],planned_cdr_ltleds!Q78)</f>
        <v>NoMAX</v>
      </c>
      <c r="E79" t="str">
        <f>CONCATENATE(Tabelle2[[#This Row],[EU]],planned_cdr_ltleds!R78)</f>
        <v>NoMIN</v>
      </c>
      <c r="F79" t="str">
        <f>planned_cdr_ltleds!S78</f>
        <v>MAXMIN</v>
      </c>
      <c r="G79" s="2">
        <f>-planned_cdr_ltleds!J78</f>
        <v>0</v>
      </c>
      <c r="H79" s="2">
        <f>-planned_cdr_ltleds!K78</f>
        <v>-42</v>
      </c>
      <c r="I79" s="2">
        <f>VLOOKUP(Tabelle2[[#This Row],[iso]],current_cdr_nghgi!$B$2:$J$199,5,FALSE)</f>
        <v>0</v>
      </c>
      <c r="J79" s="2">
        <f>VLOOKUP(Tabelle2[[#This Row],[iso]],current_cdr_nghgi!$B$2:$J$199,8,FALSE)</f>
        <v>0</v>
      </c>
      <c r="K79" s="2">
        <f>SUM(Tabelle2[[#This Row],[lulucf_historical_forest]:[lulucf_historical_other]])</f>
        <v>0</v>
      </c>
      <c r="L79" s="2">
        <f>Tabelle2[[#This Row],[lulucf_lts]]-Tabelle2[[#This Row],[lulucf_lts_other]]</f>
        <v>-42</v>
      </c>
      <c r="M79" s="2">
        <f>IF(Tabelle2[[#This Row],[lulucf_historical_other]]&gt;Tabelle2[[#This Row],[lulucf_lts]],Tabelle2[[#This Row],[lulucf_historical_other]],Tabelle2[[#This Row],[lulucf_lts]])</f>
        <v>0</v>
      </c>
      <c r="N79" s="2">
        <f>Tabelle2[[#This Row],[lulucf_lts_forest]]-Tabelle2[[#This Row],[lulucf_historical_forest]]</f>
        <v>-42</v>
      </c>
      <c r="O79" s="2">
        <f t="shared" si="2"/>
        <v>0.311820390205582</v>
      </c>
      <c r="P79" s="2">
        <f>Tabelle2[[#This Row],[correction]]*Tabelle2[[#This Row],[lulucf_historical_forest]]</f>
        <v>0</v>
      </c>
      <c r="Q79" s="2">
        <f>Tabelle2[[#This Row],[lulucf_historical_forest_direct]]+Tabelle2[[#This Row],[lulucf_historical_other]]</f>
        <v>0</v>
      </c>
      <c r="R79" s="2">
        <f>IF(Tabelle2[[#This Row],[lulucf_forest_difference]]&gt;0,(Tabelle2[[#This Row],[correction]]*Tabelle2[[#This Row],[lulucf_lts_forest]]),(Tabelle2[[#This Row],[correction]]*Tabelle2[[#This Row],[lulucf_historical_forest]])+Tabelle2[[#This Row],[lulucf_forest_difference]])</f>
        <v>-42</v>
      </c>
      <c r="S79" s="2">
        <f>Tabelle2[[#This Row],[lulucf_lts_forest_direct]]+Tabelle2[[#This Row],[lulucf_lts_other]]</f>
        <v>-42</v>
      </c>
      <c r="T79" s="2">
        <f>Tabelle2[[#This Row],[lulucf_lts_total_direct]]-Tabelle2[[#This Row],[lulucf_historical_total_direct]]</f>
        <v>-42</v>
      </c>
    </row>
    <row r="80" spans="1:20" hidden="1" x14ac:dyDescent="0.25">
      <c r="A80" t="str">
        <f>planned_cdr_ltleds!A79</f>
        <v>South Africa</v>
      </c>
      <c r="B80" t="str">
        <f>planned_cdr_ltleds!B79</f>
        <v>ZAF</v>
      </c>
      <c r="C80" t="str">
        <f>planned_cdr_ltleds!C79</f>
        <v>No</v>
      </c>
      <c r="D80" t="str">
        <f>CONCATENATE(Tabelle2[[#This Row],[EU]],planned_cdr_ltleds!Q79)</f>
        <v>No</v>
      </c>
      <c r="E80" t="str">
        <f>CONCATENATE(Tabelle2[[#This Row],[EU]],planned_cdr_ltleds!R79)</f>
        <v>No</v>
      </c>
      <c r="F80" t="str">
        <f>planned_cdr_ltleds!S79</f>
        <v/>
      </c>
      <c r="G80">
        <f>-planned_cdr_ltleds!J79</f>
        <v>0</v>
      </c>
      <c r="H80">
        <f>-planned_cdr_ltleds!K79</f>
        <v>0</v>
      </c>
      <c r="I80">
        <f>VLOOKUP(Tabelle2[[#This Row],[iso]],current_cdr_nghgi!$B$2:$J$199,5,FALSE)</f>
        <v>-24.37669</v>
      </c>
      <c r="J80">
        <f>VLOOKUP(Tabelle2[[#This Row],[iso]],current_cdr_nghgi!$B$2:$J$199,8,FALSE)</f>
        <v>-14.976419999999999</v>
      </c>
      <c r="K80">
        <f>SUM(Tabelle2[[#This Row],[lulucf_historical_forest]:[lulucf_historical_other]])</f>
        <v>-39.353110000000001</v>
      </c>
      <c r="L80">
        <f>Tabelle2[[#This Row],[lulucf_lts]]-Tabelle2[[#This Row],[lulucf_lts_other]]</f>
        <v>14.976419999999999</v>
      </c>
      <c r="M80">
        <f>Tabelle2[[#This Row],[lulucf_historical_other]]</f>
        <v>-14.976419999999999</v>
      </c>
      <c r="N80">
        <f>Tabelle2[[#This Row],[lulucf_lts_forest]]-Tabelle2[[#This Row],[lulucf_historical_forest]]</f>
        <v>39.353110000000001</v>
      </c>
      <c r="O80">
        <f t="shared" si="2"/>
        <v>0.311820390205582</v>
      </c>
      <c r="P80">
        <f>Tabelle2[[#This Row],[correction]]*Tabelle2[[#This Row],[lulucf_historical_forest]]</f>
        <v>-7.6011489877205083</v>
      </c>
      <c r="Q80">
        <f>Tabelle2[[#This Row],[lulucf_historical_forest_direct]]+Tabelle2[[#This Row],[lulucf_historical_other]]</f>
        <v>-22.577568987720507</v>
      </c>
      <c r="R80">
        <f>IF(Tabelle2[[#This Row],[lulucf_forest_difference]]&gt;0,(Tabelle2[[#This Row],[correction]]*Tabelle2[[#This Row],[lulucf_lts_forest]]),(Tabelle2[[#This Row],[correction]]*Tabelle2[[#This Row],[lulucf_historical_forest]])+Tabelle2[[#This Row],[lulucf_forest_difference]])</f>
        <v>4.6699531282826818</v>
      </c>
      <c r="S80" t="b">
        <f>IF(Tabelle2[[#This Row],[lulucf_forest_difference]]&lt;0,Tabelle2[[#This Row],[lulucf_lts]]-#REF!)</f>
        <v>0</v>
      </c>
      <c r="T80">
        <f>Tabelle2[[#This Row],[lulucf_lts_total_direct]]-Tabelle2[[#This Row],[lulucf_historical_total_direct]]</f>
        <v>22.577568987720507</v>
      </c>
    </row>
    <row r="81" spans="1:20" hidden="1" x14ac:dyDescent="0.25">
      <c r="A81" t="str">
        <f>planned_cdr_ltleds!A80</f>
        <v>South Korea</v>
      </c>
      <c r="B81" t="str">
        <f>planned_cdr_ltleds!B80</f>
        <v>KOR</v>
      </c>
      <c r="C81" t="str">
        <f>planned_cdr_ltleds!C80</f>
        <v>No</v>
      </c>
      <c r="D81" t="str">
        <f>CONCATENATE(Tabelle2[[#This Row],[EU]],planned_cdr_ltleds!Q80)</f>
        <v>No</v>
      </c>
      <c r="E81" t="str">
        <f>CONCATENATE(Tabelle2[[#This Row],[EU]],planned_cdr_ltleds!R80)</f>
        <v>No</v>
      </c>
      <c r="F81" t="str">
        <f>planned_cdr_ltleds!S80</f>
        <v/>
      </c>
      <c r="G81">
        <f>-planned_cdr_ltleds!J80</f>
        <v>0</v>
      </c>
      <c r="H81">
        <f>-planned_cdr_ltleds!K80</f>
        <v>0</v>
      </c>
      <c r="I81">
        <f>VLOOKUP(Tabelle2[[#This Row],[iso]],current_cdr_nghgi!$B$2:$J$199,5,FALSE)</f>
        <v>-49.9087155</v>
      </c>
      <c r="J81">
        <f>VLOOKUP(Tabelle2[[#This Row],[iso]],current_cdr_nghgi!$B$2:$J$199,8,FALSE)</f>
        <v>0</v>
      </c>
      <c r="K81">
        <f>SUM(Tabelle2[[#This Row],[lulucf_historical_forest]:[lulucf_historical_other]])</f>
        <v>-49.9087155</v>
      </c>
      <c r="L81">
        <f>Tabelle2[[#This Row],[lulucf_lts]]-Tabelle2[[#This Row],[lulucf_lts_other]]</f>
        <v>0</v>
      </c>
      <c r="M81">
        <f>Tabelle2[[#This Row],[lulucf_historical_other]]</f>
        <v>0</v>
      </c>
      <c r="N81">
        <f>Tabelle2[[#This Row],[lulucf_lts_forest]]-Tabelle2[[#This Row],[lulucf_historical_forest]]</f>
        <v>49.9087155</v>
      </c>
      <c r="O81">
        <f t="shared" si="2"/>
        <v>0.311820390205582</v>
      </c>
      <c r="P81">
        <f>Tabelle2[[#This Row],[correction]]*Tabelle2[[#This Row],[lulucf_historical_forest]]</f>
        <v>-15.562555141869378</v>
      </c>
      <c r="Q81">
        <f>Tabelle2[[#This Row],[lulucf_historical_forest_direct]]+Tabelle2[[#This Row],[lulucf_historical_other]]</f>
        <v>-15.562555141869378</v>
      </c>
      <c r="R81">
        <f>IF(Tabelle2[[#This Row],[lulucf_forest_difference]]&gt;0,(Tabelle2[[#This Row],[correction]]*Tabelle2[[#This Row],[lulucf_lts_forest]]),(Tabelle2[[#This Row],[correction]]*Tabelle2[[#This Row],[lulucf_historical_forest]])+Tabelle2[[#This Row],[lulucf_forest_difference]])</f>
        <v>0</v>
      </c>
      <c r="S81" t="b">
        <f>IF(Tabelle2[[#This Row],[lulucf_forest_difference]]&lt;0,Tabelle2[[#This Row],[lulucf_lts]]-#REF!)</f>
        <v>0</v>
      </c>
      <c r="T81">
        <f>Tabelle2[[#This Row],[lulucf_lts_total_direct]]-Tabelle2[[#This Row],[lulucf_historical_total_direct]]</f>
        <v>15.562555141869378</v>
      </c>
    </row>
    <row r="82" spans="1:20" hidden="1" x14ac:dyDescent="0.25">
      <c r="A82" t="str">
        <f>planned_cdr_ltleds!A81</f>
        <v>Spain</v>
      </c>
      <c r="B82" t="str">
        <f>planned_cdr_ltleds!B81</f>
        <v>ESP</v>
      </c>
      <c r="C82" t="str">
        <f>planned_cdr_ltleds!C81</f>
        <v>Yes</v>
      </c>
      <c r="D82" t="str">
        <f>CONCATENATE(Tabelle2[[#This Row],[EU]],planned_cdr_ltleds!Q81)</f>
        <v>YesMAX</v>
      </c>
      <c r="E82" t="str">
        <f>CONCATENATE(Tabelle2[[#This Row],[EU]],planned_cdr_ltleds!R81)</f>
        <v>YesMIN</v>
      </c>
      <c r="F82" t="str">
        <f>planned_cdr_ltleds!S81</f>
        <v>MAXMIN</v>
      </c>
      <c r="G82">
        <f>-planned_cdr_ltleds!J81</f>
        <v>0</v>
      </c>
      <c r="H82">
        <f>-planned_cdr_ltleds!K81</f>
        <v>-36.9</v>
      </c>
      <c r="I82">
        <f>VLOOKUP(Tabelle2[[#This Row],[iso]],current_cdr_nghgi!$B$2:$J$199,5,FALSE)</f>
        <v>-35.693693414745397</v>
      </c>
      <c r="J82">
        <f>VLOOKUP(Tabelle2[[#This Row],[iso]],current_cdr_nghgi!$B$2:$J$199,8,FALSE)</f>
        <v>-1.8487117282326899</v>
      </c>
      <c r="K82">
        <f>SUM(Tabelle2[[#This Row],[lulucf_historical_forest]:[lulucf_historical_other]])</f>
        <v>-37.542405142978083</v>
      </c>
      <c r="L82">
        <f>Tabelle2[[#This Row],[lulucf_lts]]-Tabelle2[[#This Row],[lulucf_lts_other]]</f>
        <v>-35.051288271767305</v>
      </c>
      <c r="M82">
        <f>Tabelle2[[#This Row],[lulucf_historical_other]]</f>
        <v>-1.8487117282326899</v>
      </c>
      <c r="N82">
        <f>Tabelle2[[#This Row],[lulucf_lts_forest]]-Tabelle2[[#This Row],[lulucf_historical_forest]]</f>
        <v>0.6424051429780917</v>
      </c>
      <c r="O82">
        <f t="shared" si="2"/>
        <v>0.311820390205582</v>
      </c>
      <c r="P82">
        <f>Tabelle2[[#This Row],[correction]]*Tabelle2[[#This Row],[lulucf_historical_forest]]</f>
        <v>-11.130021408464323</v>
      </c>
      <c r="Q82">
        <f>Tabelle2[[#This Row],[lulucf_historical_forest_direct]]+Tabelle2[[#This Row],[lulucf_historical_other]]</f>
        <v>-12.978733136697013</v>
      </c>
      <c r="R82">
        <f>IF(Tabelle2[[#This Row],[lulucf_forest_difference]]&gt;0,(Tabelle2[[#This Row],[correction]]*Tabelle2[[#This Row],[lulucf_lts_forest]]),(Tabelle2[[#This Row],[correction]]*Tabelle2[[#This Row],[lulucf_historical_forest]])+Tabelle2[[#This Row],[lulucf_forest_difference]])</f>
        <v>-10.929706386110821</v>
      </c>
      <c r="S82" t="b">
        <f>IF(Tabelle2[[#This Row],[lulucf_forest_difference]]&lt;0,Tabelle2[[#This Row],[lulucf_lts]]-#REF!)</f>
        <v>0</v>
      </c>
      <c r="T82">
        <f>Tabelle2[[#This Row],[lulucf_lts_total_direct]]-Tabelle2[[#This Row],[lulucf_historical_total_direct]]</f>
        <v>12.978733136697013</v>
      </c>
    </row>
    <row r="83" spans="1:20" hidden="1" x14ac:dyDescent="0.25">
      <c r="A83" t="str">
        <f>planned_cdr_ltleds!A82</f>
        <v>Sri Lanka</v>
      </c>
      <c r="B83" t="str">
        <f>planned_cdr_ltleds!B82</f>
        <v>LKA</v>
      </c>
      <c r="C83" t="str">
        <f>planned_cdr_ltleds!C82</f>
        <v>No</v>
      </c>
      <c r="D83" t="str">
        <f>CONCATENATE(Tabelle2[[#This Row],[EU]],planned_cdr_ltleds!Q82)</f>
        <v>No</v>
      </c>
      <c r="E83" t="str">
        <f>CONCATENATE(Tabelle2[[#This Row],[EU]],planned_cdr_ltleds!R82)</f>
        <v>No</v>
      </c>
      <c r="F83" t="str">
        <f>planned_cdr_ltleds!S82</f>
        <v/>
      </c>
      <c r="G83">
        <f>-planned_cdr_ltleds!J82</f>
        <v>0</v>
      </c>
      <c r="H83">
        <f>-planned_cdr_ltleds!K82</f>
        <v>0</v>
      </c>
      <c r="I83">
        <f>VLOOKUP(Tabelle2[[#This Row],[iso]],current_cdr_nghgi!$B$2:$J$199,5,FALSE)</f>
        <v>-7.1999999999999995E-2</v>
      </c>
      <c r="J83">
        <f>VLOOKUP(Tabelle2[[#This Row],[iso]],current_cdr_nghgi!$B$2:$J$199,8,FALSE)</f>
        <v>0</v>
      </c>
      <c r="K83">
        <f>SUM(Tabelle2[[#This Row],[lulucf_historical_forest]:[lulucf_historical_other]])</f>
        <v>-7.1999999999999995E-2</v>
      </c>
      <c r="L83">
        <f>Tabelle2[[#This Row],[lulucf_lts]]-Tabelle2[[#This Row],[lulucf_lts_other]]</f>
        <v>0</v>
      </c>
      <c r="M83">
        <f>Tabelle2[[#This Row],[lulucf_historical_other]]</f>
        <v>0</v>
      </c>
      <c r="N83">
        <f>Tabelle2[[#This Row],[lulucf_lts_forest]]-Tabelle2[[#This Row],[lulucf_historical_forest]]</f>
        <v>7.1999999999999995E-2</v>
      </c>
      <c r="O83">
        <f t="shared" si="2"/>
        <v>0.311820390205582</v>
      </c>
      <c r="P83">
        <f>Tabelle2[[#This Row],[correction]]*Tabelle2[[#This Row],[lulucf_historical_forest]]</f>
        <v>-2.2451068094801904E-2</v>
      </c>
      <c r="Q83">
        <f>Tabelle2[[#This Row],[lulucf_historical_forest_direct]]+Tabelle2[[#This Row],[lulucf_historical_other]]</f>
        <v>-2.2451068094801904E-2</v>
      </c>
      <c r="R83">
        <f>IF(Tabelle2[[#This Row],[lulucf_forest_difference]]&gt;0,(Tabelle2[[#This Row],[correction]]*Tabelle2[[#This Row],[lulucf_lts_forest]]),(Tabelle2[[#This Row],[correction]]*Tabelle2[[#This Row],[lulucf_historical_forest]])+Tabelle2[[#This Row],[lulucf_forest_difference]])</f>
        <v>0</v>
      </c>
      <c r="S83" t="b">
        <f>IF(Tabelle2[[#This Row],[lulucf_forest_difference]]&lt;0,Tabelle2[[#This Row],[lulucf_lts]]-#REF!)</f>
        <v>0</v>
      </c>
      <c r="T83">
        <f>Tabelle2[[#This Row],[lulucf_lts_total_direct]]-Tabelle2[[#This Row],[lulucf_historical_total_direct]]</f>
        <v>2.2451068094801904E-2</v>
      </c>
    </row>
    <row r="84" spans="1:20" hidden="1" x14ac:dyDescent="0.25">
      <c r="A84" t="str">
        <f>planned_cdr_ltleds!A83</f>
        <v>Sweden</v>
      </c>
      <c r="B84" t="str">
        <f>planned_cdr_ltleds!B83</f>
        <v>SWE</v>
      </c>
      <c r="C84" t="str">
        <f>planned_cdr_ltleds!C83</f>
        <v>Yes</v>
      </c>
      <c r="D84" t="str">
        <f>CONCATENATE(Tabelle2[[#This Row],[EU]],planned_cdr_ltleds!Q83)</f>
        <v>YesMAX</v>
      </c>
      <c r="E84" t="str">
        <f>CONCATENATE(Tabelle2[[#This Row],[EU]],planned_cdr_ltleds!R83)</f>
        <v>YesMIN</v>
      </c>
      <c r="F84" t="str">
        <f>planned_cdr_ltleds!S83</f>
        <v>MAXMIN</v>
      </c>
      <c r="G84">
        <f>-planned_cdr_ltleds!J83</f>
        <v>0</v>
      </c>
      <c r="H84">
        <f>-planned_cdr_ltleds!K83</f>
        <v>-42.2</v>
      </c>
      <c r="I84">
        <f>VLOOKUP(Tabelle2[[#This Row],[iso]],current_cdr_nghgi!$B$2:$J$199,5,FALSE)</f>
        <v>-53.183895037933901</v>
      </c>
      <c r="J84">
        <f>VLOOKUP(Tabelle2[[#This Row],[iso]],current_cdr_nghgi!$B$2:$J$199,8,FALSE)</f>
        <v>0</v>
      </c>
      <c r="K84">
        <f>SUM(Tabelle2[[#This Row],[lulucf_historical_forest]:[lulucf_historical_other]])</f>
        <v>-53.183895037933901</v>
      </c>
      <c r="L84">
        <f>Tabelle2[[#This Row],[lulucf_lts]]-Tabelle2[[#This Row],[lulucf_lts_other]]</f>
        <v>-42.2</v>
      </c>
      <c r="M84">
        <f>Tabelle2[[#This Row],[lulucf_historical_other]]</f>
        <v>0</v>
      </c>
      <c r="N84">
        <f>Tabelle2[[#This Row],[lulucf_lts_forest]]-Tabelle2[[#This Row],[lulucf_historical_forest]]</f>
        <v>10.983895037933898</v>
      </c>
      <c r="O84">
        <f t="shared" si="2"/>
        <v>0.311820390205582</v>
      </c>
      <c r="P84">
        <f>Tabelle2[[#This Row],[correction]]*Tabelle2[[#This Row],[lulucf_historical_forest]]</f>
        <v>-16.583822903381265</v>
      </c>
      <c r="Q84">
        <f>Tabelle2[[#This Row],[lulucf_historical_forest_direct]]+Tabelle2[[#This Row],[lulucf_historical_other]]</f>
        <v>-16.583822903381265</v>
      </c>
      <c r="R84">
        <f>IF(Tabelle2[[#This Row],[lulucf_forest_difference]]&gt;0,(Tabelle2[[#This Row],[correction]]*Tabelle2[[#This Row],[lulucf_lts_forest]]),(Tabelle2[[#This Row],[correction]]*Tabelle2[[#This Row],[lulucf_historical_forest]])+Tabelle2[[#This Row],[lulucf_forest_difference]])</f>
        <v>-13.158820466675561</v>
      </c>
      <c r="S84" t="b">
        <f>IF(Tabelle2[[#This Row],[lulucf_forest_difference]]&lt;0,Tabelle2[[#This Row],[lulucf_lts]]-#REF!)</f>
        <v>0</v>
      </c>
      <c r="T84">
        <f>Tabelle2[[#This Row],[lulucf_lts_total_direct]]-Tabelle2[[#This Row],[lulucf_historical_total_direct]]</f>
        <v>16.583822903381265</v>
      </c>
    </row>
    <row r="85" spans="1:20" x14ac:dyDescent="0.25">
      <c r="A85" t="str">
        <f>planned_cdr_ltleds!A84</f>
        <v>Switzerland</v>
      </c>
      <c r="B85" t="str">
        <f>planned_cdr_ltleds!B84</f>
        <v>CHE</v>
      </c>
      <c r="C85" t="str">
        <f>planned_cdr_ltleds!C84</f>
        <v>No</v>
      </c>
      <c r="D85" t="str">
        <f>CONCATENATE(Tabelle2[[#This Row],[EU]],planned_cdr_ltleds!Q84)</f>
        <v>NoMAX</v>
      </c>
      <c r="E85" t="str">
        <f>CONCATENATE(Tabelle2[[#This Row],[EU]],planned_cdr_ltleds!R84)</f>
        <v>NoMIN</v>
      </c>
      <c r="F85" t="str">
        <f>planned_cdr_ltleds!S84</f>
        <v>MAXMIN</v>
      </c>
      <c r="G85" s="2">
        <f>-planned_cdr_ltleds!J84</f>
        <v>-2</v>
      </c>
      <c r="H85" s="2">
        <f>-planned_cdr_ltleds!K84</f>
        <v>0</v>
      </c>
      <c r="I85" s="2">
        <f>VLOOKUP(Tabelle2[[#This Row],[iso]],current_cdr_nghgi!$B$2:$J$199,5,FALSE)</f>
        <v>-3.0489159740114999</v>
      </c>
      <c r="J85" s="2">
        <f>VLOOKUP(Tabelle2[[#This Row],[iso]],current_cdr_nghgi!$B$2:$J$199,8,FALSE)</f>
        <v>0</v>
      </c>
      <c r="K85" s="2">
        <f>SUM(Tabelle2[[#This Row],[lulucf_historical_forest]:[lulucf_historical_other]])</f>
        <v>-3.0489159740114999</v>
      </c>
      <c r="L85" s="2">
        <f>Tabelle2[[#This Row],[lulucf_lts]]-Tabelle2[[#This Row],[lulucf_lts_other]]</f>
        <v>0</v>
      </c>
      <c r="M85" s="2">
        <f>IF(Tabelle2[[#This Row],[lulucf_historical_other]]&gt;Tabelle2[[#This Row],[lulucf_lts]],Tabelle2[[#This Row],[lulucf_historical_other]],Tabelle2[[#This Row],[lulucf_lts]])</f>
        <v>0</v>
      </c>
      <c r="N85" s="2">
        <f>Tabelle2[[#This Row],[lulucf_lts_forest]]-Tabelle2[[#This Row],[lulucf_historical_forest]]</f>
        <v>3.0489159740114999</v>
      </c>
      <c r="O85" s="2">
        <f t="shared" si="2"/>
        <v>0.311820390205582</v>
      </c>
      <c r="P85" s="2">
        <f>Tabelle2[[#This Row],[correction]]*Tabelle2[[#This Row],[lulucf_historical_forest]]</f>
        <v>-0.95071416872029801</v>
      </c>
      <c r="Q85" s="2">
        <f>Tabelle2[[#This Row],[lulucf_historical_forest_direct]]+Tabelle2[[#This Row],[lulucf_historical_other]]</f>
        <v>-0.95071416872029801</v>
      </c>
      <c r="R85" s="2">
        <f>IF(Tabelle2[[#This Row],[lulucf_forest_difference]]&gt;0,(Tabelle2[[#This Row],[correction]]*Tabelle2[[#This Row],[lulucf_lts_forest]]),(Tabelle2[[#This Row],[correction]]*Tabelle2[[#This Row],[lulucf_historical_forest]])+Tabelle2[[#This Row],[lulucf_forest_difference]])</f>
        <v>0</v>
      </c>
      <c r="S85" s="2">
        <f>Tabelle2[[#This Row],[lulucf_lts_forest_direct]]+Tabelle2[[#This Row],[lulucf_lts_other]]</f>
        <v>0</v>
      </c>
      <c r="T85" s="2">
        <f>Tabelle2[[#This Row],[lulucf_lts_total_direct]]-Tabelle2[[#This Row],[lulucf_historical_total_direct]]</f>
        <v>0.95071416872029801</v>
      </c>
    </row>
    <row r="86" spans="1:20" x14ac:dyDescent="0.25">
      <c r="A86" t="str">
        <f>planned_cdr_ltleds!A85</f>
        <v>Thailand</v>
      </c>
      <c r="B86" t="str">
        <f>planned_cdr_ltleds!B85</f>
        <v>THA</v>
      </c>
      <c r="C86" t="str">
        <f>planned_cdr_ltleds!C85</f>
        <v>No</v>
      </c>
      <c r="D86" t="str">
        <f>CONCATENATE(Tabelle2[[#This Row],[EU]],planned_cdr_ltleds!Q85)</f>
        <v>NoMAX</v>
      </c>
      <c r="E86" t="str">
        <f>CONCATENATE(Tabelle2[[#This Row],[EU]],planned_cdr_ltleds!R85)</f>
        <v>NoMIN</v>
      </c>
      <c r="F86" t="str">
        <f>planned_cdr_ltleds!S85</f>
        <v>MAXMIN</v>
      </c>
      <c r="G86" s="2">
        <f>-planned_cdr_ltleds!J85</f>
        <v>0</v>
      </c>
      <c r="H86" s="2">
        <f>-planned_cdr_ltleds!K85</f>
        <v>-120</v>
      </c>
      <c r="I86" s="2">
        <f>VLOOKUP(Tabelle2[[#This Row],[iso]],current_cdr_nghgi!$B$2:$J$199,5,FALSE)</f>
        <v>-31.511648999999998</v>
      </c>
      <c r="J86" s="2">
        <f>VLOOKUP(Tabelle2[[#This Row],[iso]],current_cdr_nghgi!$B$2:$J$199,8,FALSE)</f>
        <v>0</v>
      </c>
      <c r="K86" s="2">
        <f>SUM(Tabelle2[[#This Row],[lulucf_historical_forest]:[lulucf_historical_other]])</f>
        <v>-31.511648999999998</v>
      </c>
      <c r="L86" s="2">
        <f>Tabelle2[[#This Row],[lulucf_lts]]-Tabelle2[[#This Row],[lulucf_lts_other]]</f>
        <v>-120</v>
      </c>
      <c r="M86" s="2">
        <f>IF(Tabelle2[[#This Row],[lulucf_historical_other]]&gt;Tabelle2[[#This Row],[lulucf_lts]],Tabelle2[[#This Row],[lulucf_historical_other]],Tabelle2[[#This Row],[lulucf_lts]])</f>
        <v>0</v>
      </c>
      <c r="N86" s="2">
        <f>Tabelle2[[#This Row],[lulucf_lts_forest]]-Tabelle2[[#This Row],[lulucf_historical_forest]]</f>
        <v>-88.488350999999994</v>
      </c>
      <c r="O86" s="2">
        <f t="shared" si="2"/>
        <v>0.311820390205582</v>
      </c>
      <c r="P86" s="2">
        <f>Tabelle2[[#This Row],[correction]]*Tabelle2[[#This Row],[lulucf_historical_forest]]</f>
        <v>-9.825974687201338</v>
      </c>
      <c r="Q86" s="2">
        <f>Tabelle2[[#This Row],[lulucf_historical_forest_direct]]+Tabelle2[[#This Row],[lulucf_historical_other]]</f>
        <v>-9.825974687201338</v>
      </c>
      <c r="R86" s="2">
        <f>IF(Tabelle2[[#This Row],[lulucf_forest_difference]]&gt;0,(Tabelle2[[#This Row],[correction]]*Tabelle2[[#This Row],[lulucf_lts_forest]]),(Tabelle2[[#This Row],[correction]]*Tabelle2[[#This Row],[lulucf_historical_forest]])+Tabelle2[[#This Row],[lulucf_forest_difference]])</f>
        <v>-98.314325687201332</v>
      </c>
      <c r="S86" s="2">
        <f>Tabelle2[[#This Row],[lulucf_lts_forest_direct]]+Tabelle2[[#This Row],[lulucf_lts_other]]</f>
        <v>-98.314325687201332</v>
      </c>
      <c r="T86" s="2">
        <f>Tabelle2[[#This Row],[lulucf_lts_total_direct]]-Tabelle2[[#This Row],[lulucf_historical_total_direct]]</f>
        <v>-88.488350999999994</v>
      </c>
    </row>
    <row r="87" spans="1:20" hidden="1" x14ac:dyDescent="0.25">
      <c r="A87" t="str">
        <f>planned_cdr_ltleds!A86</f>
        <v>Tonga</v>
      </c>
      <c r="B87" t="str">
        <f>planned_cdr_ltleds!B86</f>
        <v>TON</v>
      </c>
      <c r="C87" t="str">
        <f>planned_cdr_ltleds!C86</f>
        <v>No</v>
      </c>
      <c r="D87" t="str">
        <f>CONCATENATE(Tabelle2[[#This Row],[EU]],planned_cdr_ltleds!Q86)</f>
        <v>No</v>
      </c>
      <c r="E87" t="str">
        <f>CONCATENATE(Tabelle2[[#This Row],[EU]],planned_cdr_ltleds!R86)</f>
        <v>No</v>
      </c>
      <c r="F87" t="str">
        <f>planned_cdr_ltleds!S86</f>
        <v/>
      </c>
      <c r="G87">
        <f>-planned_cdr_ltleds!J86</f>
        <v>0</v>
      </c>
      <c r="H87">
        <f>-planned_cdr_ltleds!K86</f>
        <v>0</v>
      </c>
      <c r="I87">
        <f>VLOOKUP(Tabelle2[[#This Row],[iso]],current_cdr_nghgi!$B$2:$J$199,5,FALSE)</f>
        <v>-1.9970000000000001</v>
      </c>
      <c r="J87">
        <f>VLOOKUP(Tabelle2[[#This Row],[iso]],current_cdr_nghgi!$B$2:$J$199,8,FALSE)</f>
        <v>0</v>
      </c>
      <c r="K87">
        <f>SUM(Tabelle2[[#This Row],[lulucf_historical_forest]:[lulucf_historical_other]])</f>
        <v>-1.9970000000000001</v>
      </c>
      <c r="L87">
        <f>Tabelle2[[#This Row],[lulucf_lts]]-Tabelle2[[#This Row],[lulucf_lts_other]]</f>
        <v>0</v>
      </c>
      <c r="M87">
        <f>Tabelle2[[#This Row],[lulucf_historical_other]]</f>
        <v>0</v>
      </c>
      <c r="N87">
        <f>Tabelle2[[#This Row],[lulucf_lts_forest]]-Tabelle2[[#This Row],[lulucf_historical_forest]]</f>
        <v>1.9970000000000001</v>
      </c>
      <c r="O87">
        <f t="shared" si="2"/>
        <v>0.311820390205582</v>
      </c>
      <c r="P87">
        <f>Tabelle2[[#This Row],[correction]]*Tabelle2[[#This Row],[lulucf_historical_forest]]</f>
        <v>-0.62270531924054728</v>
      </c>
      <c r="Q87">
        <f>Tabelle2[[#This Row],[lulucf_historical_forest_direct]]+Tabelle2[[#This Row],[lulucf_historical_other]]</f>
        <v>-0.62270531924054728</v>
      </c>
      <c r="R87">
        <f>IF(Tabelle2[[#This Row],[lulucf_forest_difference]]&gt;0,(Tabelle2[[#This Row],[correction]]*Tabelle2[[#This Row],[lulucf_lts_forest]]),(Tabelle2[[#This Row],[correction]]*Tabelle2[[#This Row],[lulucf_historical_forest]])+Tabelle2[[#This Row],[lulucf_forest_difference]])</f>
        <v>0</v>
      </c>
      <c r="S87" t="b">
        <f>IF(Tabelle2[[#This Row],[lulucf_forest_difference]]&lt;0,Tabelle2[[#This Row],[lulucf_lts]]-#REF!)</f>
        <v>0</v>
      </c>
      <c r="T87">
        <f>Tabelle2[[#This Row],[lulucf_lts_total_direct]]-Tabelle2[[#This Row],[lulucf_historical_total_direct]]</f>
        <v>0.62270531924054728</v>
      </c>
    </row>
    <row r="88" spans="1:20" x14ac:dyDescent="0.25">
      <c r="A88" t="str">
        <f>planned_cdr_ltleds!A87</f>
        <v>Tunisia</v>
      </c>
      <c r="B88" t="str">
        <f>planned_cdr_ltleds!B87</f>
        <v>TUN</v>
      </c>
      <c r="C88" t="str">
        <f>planned_cdr_ltleds!C87</f>
        <v>No</v>
      </c>
      <c r="D88" t="str">
        <f>CONCATENATE(Tabelle2[[#This Row],[EU]],planned_cdr_ltleds!Q87)</f>
        <v>NoMAX</v>
      </c>
      <c r="E88" t="str">
        <f>CONCATENATE(Tabelle2[[#This Row],[EU]],planned_cdr_ltleds!R87)</f>
        <v>NoMIN</v>
      </c>
      <c r="F88" t="str">
        <f>planned_cdr_ltleds!S87</f>
        <v>MAXMIN</v>
      </c>
      <c r="G88" s="2">
        <f>-planned_cdr_ltleds!J87</f>
        <v>0</v>
      </c>
      <c r="H88" s="2">
        <f>-planned_cdr_ltleds!K87</f>
        <v>-28.6</v>
      </c>
      <c r="I88" s="2">
        <f>VLOOKUP(Tabelle2[[#This Row],[iso]],current_cdr_nghgi!$B$2:$J$199,5,FALSE)</f>
        <v>-2.9018000000000002</v>
      </c>
      <c r="J88" s="2">
        <f>VLOOKUP(Tabelle2[[#This Row],[iso]],current_cdr_nghgi!$B$2:$J$199,8,FALSE)</f>
        <v>-4.38</v>
      </c>
      <c r="K88" s="2">
        <f>SUM(Tabelle2[[#This Row],[lulucf_historical_forest]:[lulucf_historical_other]])</f>
        <v>-7.2818000000000005</v>
      </c>
      <c r="L88" s="2">
        <f>Tabelle2[[#This Row],[lulucf_lts]]-Tabelle2[[#This Row],[lulucf_lts_other]]</f>
        <v>-24.220000000000002</v>
      </c>
      <c r="M88" s="2">
        <f>IF(Tabelle2[[#This Row],[lulucf_historical_other]]&gt;Tabelle2[[#This Row],[lulucf_lts]],Tabelle2[[#This Row],[lulucf_historical_other]],Tabelle2[[#This Row],[lulucf_lts]])</f>
        <v>-4.38</v>
      </c>
      <c r="N88" s="2">
        <f>Tabelle2[[#This Row],[lulucf_lts_forest]]-Tabelle2[[#This Row],[lulucf_historical_forest]]</f>
        <v>-21.318200000000001</v>
      </c>
      <c r="O88" s="2">
        <f t="shared" si="2"/>
        <v>0.311820390205582</v>
      </c>
      <c r="P88" s="2">
        <f>Tabelle2[[#This Row],[correction]]*Tabelle2[[#This Row],[lulucf_historical_forest]]</f>
        <v>-0.90484040829855794</v>
      </c>
      <c r="Q88" s="2">
        <f>Tabelle2[[#This Row],[lulucf_historical_forest_direct]]+Tabelle2[[#This Row],[lulucf_historical_other]]</f>
        <v>-5.2848404082985576</v>
      </c>
      <c r="R88" s="2">
        <f>IF(Tabelle2[[#This Row],[lulucf_forest_difference]]&gt;0,(Tabelle2[[#This Row],[correction]]*Tabelle2[[#This Row],[lulucf_lts_forest]]),(Tabelle2[[#This Row],[correction]]*Tabelle2[[#This Row],[lulucf_historical_forest]])+Tabelle2[[#This Row],[lulucf_forest_difference]])</f>
        <v>-22.223040408298559</v>
      </c>
      <c r="S88" s="2">
        <f>Tabelle2[[#This Row],[lulucf_lts_forest_direct]]+Tabelle2[[#This Row],[lulucf_lts_other]]</f>
        <v>-26.603040408298558</v>
      </c>
      <c r="T88" s="2">
        <f>Tabelle2[[#This Row],[lulucf_lts_total_direct]]-Tabelle2[[#This Row],[lulucf_historical_total_direct]]</f>
        <v>-21.318200000000001</v>
      </c>
    </row>
    <row r="89" spans="1:20" hidden="1" x14ac:dyDescent="0.25">
      <c r="A89" t="str">
        <f>planned_cdr_ltleds!A88</f>
        <v>Ukraine</v>
      </c>
      <c r="B89" t="str">
        <f>planned_cdr_ltleds!B88</f>
        <v>UKR</v>
      </c>
      <c r="C89" t="str">
        <f>planned_cdr_ltleds!C88</f>
        <v>No</v>
      </c>
      <c r="D89" t="str">
        <f>CONCATENATE(Tabelle2[[#This Row],[EU]],planned_cdr_ltleds!Q88)</f>
        <v>No</v>
      </c>
      <c r="E89" t="str">
        <f>CONCATENATE(Tabelle2[[#This Row],[EU]],planned_cdr_ltleds!R88)</f>
        <v>No</v>
      </c>
      <c r="F89" t="str">
        <f>planned_cdr_ltleds!S88</f>
        <v/>
      </c>
      <c r="G89">
        <f>-planned_cdr_ltleds!J88</f>
        <v>0</v>
      </c>
      <c r="H89">
        <f>-planned_cdr_ltleds!K88</f>
        <v>-44.4</v>
      </c>
      <c r="I89">
        <f>VLOOKUP(Tabelle2[[#This Row],[iso]],current_cdr_nghgi!$B$2:$J$199,5,FALSE)</f>
        <v>-27.178130026294298</v>
      </c>
      <c r="J89">
        <f>VLOOKUP(Tabelle2[[#This Row],[iso]],current_cdr_nghgi!$B$2:$J$199,8,FALSE)</f>
        <v>0</v>
      </c>
      <c r="K89">
        <f>SUM(Tabelle2[[#This Row],[lulucf_historical_forest]:[lulucf_historical_other]])</f>
        <v>-27.178130026294298</v>
      </c>
      <c r="L89">
        <f>Tabelle2[[#This Row],[lulucf_lts]]-Tabelle2[[#This Row],[lulucf_lts_other]]</f>
        <v>-44.4</v>
      </c>
      <c r="M89">
        <f>Tabelle2[[#This Row],[lulucf_historical_other]]</f>
        <v>0</v>
      </c>
      <c r="N89">
        <f>Tabelle2[[#This Row],[lulucf_lts_forest]]-Tabelle2[[#This Row],[lulucf_historical_forest]]</f>
        <v>-17.221869973705701</v>
      </c>
      <c r="O89">
        <f t="shared" si="2"/>
        <v>0.311820390205582</v>
      </c>
      <c r="P89">
        <f>Tabelle2[[#This Row],[correction]]*Tabelle2[[#This Row],[lulucf_historical_forest]]</f>
        <v>-8.4746951098571319</v>
      </c>
      <c r="Q89">
        <f>Tabelle2[[#This Row],[lulucf_historical_forest_direct]]+Tabelle2[[#This Row],[lulucf_historical_other]]</f>
        <v>-8.4746951098571319</v>
      </c>
      <c r="R89">
        <f>IF(Tabelle2[[#This Row],[lulucf_forest_difference]]&gt;0,(Tabelle2[[#This Row],[correction]]*Tabelle2[[#This Row],[lulucf_lts_forest]]),(Tabelle2[[#This Row],[correction]]*Tabelle2[[#This Row],[lulucf_historical_forest]])+Tabelle2[[#This Row],[lulucf_forest_difference]])</f>
        <v>-25.696565083562831</v>
      </c>
      <c r="S89">
        <f>IF(Tabelle2[[#This Row],[lulucf_forest_difference]]&gt;0,Tabelle2[[#This Row],[lulucf_lts_other]]+(Tabelle2[[#This Row],[correction]]*Tabelle2[[#This Row],[lulucf_lts_forest]]),Tabelle2[[#This Row],[lulucf_lts_other]]+(Tabelle2[[#This Row],[correction]]*Tabelle2[[#This Row],[lulucf_historical_forest]])+Tabelle2[[#This Row],[lulucf_forest_difference]])</f>
        <v>-25.696565083562831</v>
      </c>
      <c r="T89">
        <f>Tabelle2[[#This Row],[lulucf_lts_total_direct]]-Tabelle2[[#This Row],[lulucf_historical_total_direct]]</f>
        <v>-17.221869973705701</v>
      </c>
    </row>
    <row r="90" spans="1:20" hidden="1" x14ac:dyDescent="0.25">
      <c r="A90" t="str">
        <f>planned_cdr_ltleds!A89</f>
        <v>Ukraine</v>
      </c>
      <c r="B90" t="str">
        <f>planned_cdr_ltleds!B89</f>
        <v>UKR</v>
      </c>
      <c r="C90" t="str">
        <f>planned_cdr_ltleds!C89</f>
        <v>No</v>
      </c>
      <c r="D90" t="str">
        <f>CONCATENATE(Tabelle2[[#This Row],[EU]],planned_cdr_ltleds!Q89)</f>
        <v>No</v>
      </c>
      <c r="E90" t="str">
        <f>CONCATENATE(Tabelle2[[#This Row],[EU]],planned_cdr_ltleds!R89)</f>
        <v>No</v>
      </c>
      <c r="F90" t="str">
        <f>planned_cdr_ltleds!S89</f>
        <v/>
      </c>
      <c r="G90">
        <f>-planned_cdr_ltleds!J89</f>
        <v>0</v>
      </c>
      <c r="H90">
        <f>-planned_cdr_ltleds!K89</f>
        <v>-50.4</v>
      </c>
      <c r="I90">
        <f>VLOOKUP(Tabelle2[[#This Row],[iso]],current_cdr_nghgi!$B$2:$J$199,5,FALSE)</f>
        <v>-27.178130026294298</v>
      </c>
      <c r="J90">
        <f>VLOOKUP(Tabelle2[[#This Row],[iso]],current_cdr_nghgi!$B$2:$J$199,8,FALSE)</f>
        <v>0</v>
      </c>
      <c r="K90">
        <f>SUM(Tabelle2[[#This Row],[lulucf_historical_forest]:[lulucf_historical_other]])</f>
        <v>-27.178130026294298</v>
      </c>
      <c r="L90">
        <f>Tabelle2[[#This Row],[lulucf_lts]]-Tabelle2[[#This Row],[lulucf_lts_other]]</f>
        <v>-50.4</v>
      </c>
      <c r="M90">
        <f>Tabelle2[[#This Row],[lulucf_historical_other]]</f>
        <v>0</v>
      </c>
      <c r="N90">
        <f>Tabelle2[[#This Row],[lulucf_lts_forest]]-Tabelle2[[#This Row],[lulucf_historical_forest]]</f>
        <v>-23.221869973705701</v>
      </c>
      <c r="O90">
        <f t="shared" si="2"/>
        <v>0.311820390205582</v>
      </c>
      <c r="P90">
        <f>Tabelle2[[#This Row],[correction]]*Tabelle2[[#This Row],[lulucf_historical_forest]]</f>
        <v>-8.4746951098571319</v>
      </c>
      <c r="Q90">
        <f>Tabelle2[[#This Row],[lulucf_historical_forest_direct]]+Tabelle2[[#This Row],[lulucf_historical_other]]</f>
        <v>-8.4746951098571319</v>
      </c>
      <c r="R90">
        <f>IF(Tabelle2[[#This Row],[lulucf_forest_difference]]&gt;0,(Tabelle2[[#This Row],[correction]]*Tabelle2[[#This Row],[lulucf_lts_forest]]),(Tabelle2[[#This Row],[correction]]*Tabelle2[[#This Row],[lulucf_historical_forest]])+Tabelle2[[#This Row],[lulucf_forest_difference]])</f>
        <v>-31.696565083562831</v>
      </c>
      <c r="S90">
        <f>IF(Tabelle2[[#This Row],[lulucf_forest_difference]]&gt;0,Tabelle2[[#This Row],[lulucf_lts_other]]+(Tabelle2[[#This Row],[correction]]*Tabelle2[[#This Row],[lulucf_lts_forest]]),Tabelle2[[#This Row],[lulucf_lts_other]]+(Tabelle2[[#This Row],[correction]]*Tabelle2[[#This Row],[lulucf_historical_forest]])+Tabelle2[[#This Row],[lulucf_forest_difference]])</f>
        <v>-31.696565083562831</v>
      </c>
      <c r="T90">
        <f>Tabelle2[[#This Row],[lulucf_lts_total_direct]]-Tabelle2[[#This Row],[lulucf_historical_total_direct]]</f>
        <v>-23.221869973705701</v>
      </c>
    </row>
    <row r="91" spans="1:20" x14ac:dyDescent="0.25">
      <c r="A91" t="str">
        <f>planned_cdr_ltleds!A90</f>
        <v>Ukraine</v>
      </c>
      <c r="B91" t="str">
        <f>planned_cdr_ltleds!B90</f>
        <v>UKR</v>
      </c>
      <c r="C91" t="str">
        <f>planned_cdr_ltleds!C90</f>
        <v>No</v>
      </c>
      <c r="D91" t="str">
        <f>CONCATENATE(Tabelle2[[#This Row],[EU]],planned_cdr_ltleds!Q90)</f>
        <v>NoMAX</v>
      </c>
      <c r="E91" t="str">
        <f>CONCATENATE(Tabelle2[[#This Row],[EU]],planned_cdr_ltleds!R90)</f>
        <v>No</v>
      </c>
      <c r="F91" t="str">
        <f>planned_cdr_ltleds!S90</f>
        <v>MAX</v>
      </c>
      <c r="G91" s="2">
        <f>-planned_cdr_ltleds!J90</f>
        <v>0</v>
      </c>
      <c r="H91" s="2">
        <f>-planned_cdr_ltleds!K90</f>
        <v>-53.9</v>
      </c>
      <c r="I91" s="2">
        <f>VLOOKUP(Tabelle2[[#This Row],[iso]],current_cdr_nghgi!$B$2:$J$199,5,FALSE)</f>
        <v>-27.178130026294298</v>
      </c>
      <c r="J91" s="2">
        <f>VLOOKUP(Tabelle2[[#This Row],[iso]],current_cdr_nghgi!$B$2:$J$199,8,FALSE)</f>
        <v>0</v>
      </c>
      <c r="K91" s="2">
        <f>SUM(Tabelle2[[#This Row],[lulucf_historical_forest]:[lulucf_historical_other]])</f>
        <v>-27.178130026294298</v>
      </c>
      <c r="L91" s="2">
        <f>Tabelle2[[#This Row],[lulucf_lts]]-Tabelle2[[#This Row],[lulucf_lts_other]]</f>
        <v>-53.9</v>
      </c>
      <c r="M91" s="2">
        <f>IF(Tabelle2[[#This Row],[lulucf_historical_other]]&gt;Tabelle2[[#This Row],[lulucf_lts]],Tabelle2[[#This Row],[lulucf_historical_other]],Tabelle2[[#This Row],[lulucf_lts]])</f>
        <v>0</v>
      </c>
      <c r="N91" s="2">
        <f>Tabelle2[[#This Row],[lulucf_lts_forest]]-Tabelle2[[#This Row],[lulucf_historical_forest]]</f>
        <v>-26.721869973705701</v>
      </c>
      <c r="O91" s="2">
        <f t="shared" si="2"/>
        <v>0.311820390205582</v>
      </c>
      <c r="P91" s="2">
        <f>Tabelle2[[#This Row],[correction]]*Tabelle2[[#This Row],[lulucf_historical_forest]]</f>
        <v>-8.4746951098571319</v>
      </c>
      <c r="Q91" s="2">
        <f>Tabelle2[[#This Row],[lulucf_historical_forest_direct]]+Tabelle2[[#This Row],[lulucf_historical_other]]</f>
        <v>-8.4746951098571319</v>
      </c>
      <c r="R91" s="2">
        <f>IF(Tabelle2[[#This Row],[lulucf_forest_difference]]&gt;0,(Tabelle2[[#This Row],[correction]]*Tabelle2[[#This Row],[lulucf_lts_forest]]),(Tabelle2[[#This Row],[correction]]*Tabelle2[[#This Row],[lulucf_historical_forest]])+Tabelle2[[#This Row],[lulucf_forest_difference]])</f>
        <v>-35.196565083562831</v>
      </c>
      <c r="S91" s="2">
        <f>Tabelle2[[#This Row],[lulucf_lts_forest_direct]]+Tabelle2[[#This Row],[lulucf_lts_other]]</f>
        <v>-35.196565083562831</v>
      </c>
      <c r="T91" s="2">
        <f>Tabelle2[[#This Row],[lulucf_lts_total_direct]]-Tabelle2[[#This Row],[lulucf_historical_total_direct]]</f>
        <v>-26.721869973705701</v>
      </c>
    </row>
    <row r="92" spans="1:20" hidden="1" x14ac:dyDescent="0.25">
      <c r="A92" t="str">
        <f>planned_cdr_ltleds!A91</f>
        <v>Ukraine</v>
      </c>
      <c r="B92" t="str">
        <f>planned_cdr_ltleds!B91</f>
        <v>UKR</v>
      </c>
      <c r="C92" t="str">
        <f>planned_cdr_ltleds!C91</f>
        <v>No</v>
      </c>
      <c r="D92" t="str">
        <f>CONCATENATE(Tabelle2[[#This Row],[EU]],planned_cdr_ltleds!Q91)</f>
        <v>No</v>
      </c>
      <c r="E92" t="str">
        <f>CONCATENATE(Tabelle2[[#This Row],[EU]],planned_cdr_ltleds!R91)</f>
        <v>No</v>
      </c>
      <c r="F92" t="str">
        <f>planned_cdr_ltleds!S91</f>
        <v/>
      </c>
      <c r="G92">
        <f>-planned_cdr_ltleds!J91</f>
        <v>0</v>
      </c>
      <c r="H92">
        <f>-planned_cdr_ltleds!K91</f>
        <v>-44.4</v>
      </c>
      <c r="I92">
        <f>VLOOKUP(Tabelle2[[#This Row],[iso]],current_cdr_nghgi!$B$2:$J$199,5,FALSE)</f>
        <v>-27.178130026294298</v>
      </c>
      <c r="J92">
        <f>VLOOKUP(Tabelle2[[#This Row],[iso]],current_cdr_nghgi!$B$2:$J$199,8,FALSE)</f>
        <v>0</v>
      </c>
      <c r="K92">
        <f>SUM(Tabelle2[[#This Row],[lulucf_historical_forest]:[lulucf_historical_other]])</f>
        <v>-27.178130026294298</v>
      </c>
      <c r="L92">
        <f>Tabelle2[[#This Row],[lulucf_lts]]-Tabelle2[[#This Row],[lulucf_lts_other]]</f>
        <v>-44.4</v>
      </c>
      <c r="M92">
        <f>Tabelle2[[#This Row],[lulucf_historical_other]]</f>
        <v>0</v>
      </c>
      <c r="N92">
        <f>Tabelle2[[#This Row],[lulucf_lts_forest]]-Tabelle2[[#This Row],[lulucf_historical_forest]]</f>
        <v>-17.221869973705701</v>
      </c>
      <c r="O92">
        <f t="shared" si="2"/>
        <v>0.311820390205582</v>
      </c>
      <c r="P92">
        <f>Tabelle2[[#This Row],[correction]]*Tabelle2[[#This Row],[lulucf_historical_forest]]</f>
        <v>-8.4746951098571319</v>
      </c>
      <c r="Q92">
        <f>Tabelle2[[#This Row],[lulucf_historical_forest_direct]]+Tabelle2[[#This Row],[lulucf_historical_other]]</f>
        <v>-8.4746951098571319</v>
      </c>
      <c r="R92">
        <f>IF(Tabelle2[[#This Row],[lulucf_forest_difference]]&gt;0,(Tabelle2[[#This Row],[correction]]*Tabelle2[[#This Row],[lulucf_lts_forest]]),(Tabelle2[[#This Row],[correction]]*Tabelle2[[#This Row],[lulucf_historical_forest]])+Tabelle2[[#This Row],[lulucf_forest_difference]])</f>
        <v>-25.696565083562831</v>
      </c>
      <c r="S92" t="e">
        <f>IF(Tabelle2[[#This Row],[lulucf_forest_difference]]&lt;0,Tabelle2[[#This Row],[lulucf_lts]]-#REF!)</f>
        <v>#REF!</v>
      </c>
      <c r="T92" t="e">
        <f>Tabelle2[[#This Row],[lulucf_lts_total_direct]]-Tabelle2[[#This Row],[lulucf_historical_total_direct]]</f>
        <v>#REF!</v>
      </c>
    </row>
    <row r="93" spans="1:20" hidden="1" x14ac:dyDescent="0.25">
      <c r="A93" t="str">
        <f>planned_cdr_ltleds!A92</f>
        <v>Ukraine</v>
      </c>
      <c r="B93" t="str">
        <f>planned_cdr_ltleds!B92</f>
        <v>UKR</v>
      </c>
      <c r="C93" t="str">
        <f>planned_cdr_ltleds!C92</f>
        <v>No</v>
      </c>
      <c r="D93" t="str">
        <f>CONCATENATE(Tabelle2[[#This Row],[EU]],planned_cdr_ltleds!Q92)</f>
        <v>No</v>
      </c>
      <c r="E93" t="str">
        <f>CONCATENATE(Tabelle2[[#This Row],[EU]],planned_cdr_ltleds!R92)</f>
        <v>No</v>
      </c>
      <c r="F93" t="str">
        <f>planned_cdr_ltleds!S92</f>
        <v/>
      </c>
      <c r="G93">
        <f>-planned_cdr_ltleds!J92</f>
        <v>0</v>
      </c>
      <c r="H93">
        <f>-planned_cdr_ltleds!K92</f>
        <v>-50.4</v>
      </c>
      <c r="I93">
        <f>VLOOKUP(Tabelle2[[#This Row],[iso]],current_cdr_nghgi!$B$2:$J$199,5,FALSE)</f>
        <v>-27.178130026294298</v>
      </c>
      <c r="J93">
        <f>VLOOKUP(Tabelle2[[#This Row],[iso]],current_cdr_nghgi!$B$2:$J$199,8,FALSE)</f>
        <v>0</v>
      </c>
      <c r="K93">
        <f>SUM(Tabelle2[[#This Row],[lulucf_historical_forest]:[lulucf_historical_other]])</f>
        <v>-27.178130026294298</v>
      </c>
      <c r="L93">
        <f>Tabelle2[[#This Row],[lulucf_lts]]-Tabelle2[[#This Row],[lulucf_lts_other]]</f>
        <v>-50.4</v>
      </c>
      <c r="M93">
        <f>Tabelle2[[#This Row],[lulucf_historical_other]]</f>
        <v>0</v>
      </c>
      <c r="N93">
        <f>Tabelle2[[#This Row],[lulucf_lts_forest]]-Tabelle2[[#This Row],[lulucf_historical_forest]]</f>
        <v>-23.221869973705701</v>
      </c>
      <c r="O93">
        <f t="shared" si="2"/>
        <v>0.311820390205582</v>
      </c>
      <c r="P93">
        <f>Tabelle2[[#This Row],[correction]]*Tabelle2[[#This Row],[lulucf_historical_forest]]</f>
        <v>-8.4746951098571319</v>
      </c>
      <c r="Q93">
        <f>Tabelle2[[#This Row],[lulucf_historical_forest_direct]]+Tabelle2[[#This Row],[lulucf_historical_other]]</f>
        <v>-8.4746951098571319</v>
      </c>
      <c r="R93">
        <f>IF(Tabelle2[[#This Row],[lulucf_forest_difference]]&gt;0,(Tabelle2[[#This Row],[correction]]*Tabelle2[[#This Row],[lulucf_lts_forest]]),(Tabelle2[[#This Row],[correction]]*Tabelle2[[#This Row],[lulucf_historical_forest]])+Tabelle2[[#This Row],[lulucf_forest_difference]])</f>
        <v>-31.696565083562831</v>
      </c>
      <c r="S93" t="e">
        <f>IF(Tabelle2[[#This Row],[lulucf_forest_difference]]&lt;0,Tabelle2[[#This Row],[lulucf_lts]]-#REF!)</f>
        <v>#REF!</v>
      </c>
      <c r="T93" t="e">
        <f>Tabelle2[[#This Row],[lulucf_lts_total_direct]]-Tabelle2[[#This Row],[lulucf_historical_total_direct]]</f>
        <v>#REF!</v>
      </c>
    </row>
    <row r="94" spans="1:20" hidden="1" x14ac:dyDescent="0.25">
      <c r="A94" t="str">
        <f>planned_cdr_ltleds!A93</f>
        <v>Ukraine</v>
      </c>
      <c r="B94" t="str">
        <f>planned_cdr_ltleds!B93</f>
        <v>UKR</v>
      </c>
      <c r="C94" t="str">
        <f>planned_cdr_ltleds!C93</f>
        <v>No</v>
      </c>
      <c r="D94" t="str">
        <f>CONCATENATE(Tabelle2[[#This Row],[EU]],planned_cdr_ltleds!Q93)</f>
        <v>No</v>
      </c>
      <c r="E94" t="str">
        <f>CONCATENATE(Tabelle2[[#This Row],[EU]],planned_cdr_ltleds!R93)</f>
        <v>No</v>
      </c>
      <c r="F94" t="str">
        <f>planned_cdr_ltleds!S93</f>
        <v/>
      </c>
      <c r="G94">
        <f>-planned_cdr_ltleds!J93</f>
        <v>0</v>
      </c>
      <c r="H94">
        <f>-planned_cdr_ltleds!K93</f>
        <v>-53.9</v>
      </c>
      <c r="I94">
        <f>VLOOKUP(Tabelle2[[#This Row],[iso]],current_cdr_nghgi!$B$2:$J$199,5,FALSE)</f>
        <v>-27.178130026294298</v>
      </c>
      <c r="J94">
        <f>VLOOKUP(Tabelle2[[#This Row],[iso]],current_cdr_nghgi!$B$2:$J$199,8,FALSE)</f>
        <v>0</v>
      </c>
      <c r="K94">
        <f>SUM(Tabelle2[[#This Row],[lulucf_historical_forest]:[lulucf_historical_other]])</f>
        <v>-27.178130026294298</v>
      </c>
      <c r="L94">
        <f>Tabelle2[[#This Row],[lulucf_lts]]-Tabelle2[[#This Row],[lulucf_lts_other]]</f>
        <v>-53.9</v>
      </c>
      <c r="M94">
        <f>Tabelle2[[#This Row],[lulucf_historical_other]]</f>
        <v>0</v>
      </c>
      <c r="N94">
        <f>Tabelle2[[#This Row],[lulucf_lts_forest]]-Tabelle2[[#This Row],[lulucf_historical_forest]]</f>
        <v>-26.721869973705701</v>
      </c>
      <c r="O94">
        <f t="shared" si="2"/>
        <v>0.311820390205582</v>
      </c>
      <c r="P94">
        <f>Tabelle2[[#This Row],[correction]]*Tabelle2[[#This Row],[lulucf_historical_forest]]</f>
        <v>-8.4746951098571319</v>
      </c>
      <c r="Q94">
        <f>Tabelle2[[#This Row],[lulucf_historical_forest_direct]]+Tabelle2[[#This Row],[lulucf_historical_other]]</f>
        <v>-8.4746951098571319</v>
      </c>
      <c r="R94">
        <f>IF(Tabelle2[[#This Row],[lulucf_forest_difference]]&gt;0,(Tabelle2[[#This Row],[correction]]*Tabelle2[[#This Row],[lulucf_lts_forest]]),(Tabelle2[[#This Row],[correction]]*Tabelle2[[#This Row],[lulucf_historical_forest]])+Tabelle2[[#This Row],[lulucf_forest_difference]])</f>
        <v>-35.196565083562831</v>
      </c>
      <c r="S94" t="e">
        <f>IF(Tabelle2[[#This Row],[lulucf_forest_difference]]&lt;0,Tabelle2[[#This Row],[lulucf_lts]]-#REF!)</f>
        <v>#REF!</v>
      </c>
      <c r="T94" t="e">
        <f>Tabelle2[[#This Row],[lulucf_lts_total_direct]]-Tabelle2[[#This Row],[lulucf_historical_total_direct]]</f>
        <v>#REF!</v>
      </c>
    </row>
    <row r="95" spans="1:20" hidden="1" x14ac:dyDescent="0.25">
      <c r="A95" t="str">
        <f>planned_cdr_ltleds!A94</f>
        <v>Ukraine</v>
      </c>
      <c r="B95" t="str">
        <f>planned_cdr_ltleds!B94</f>
        <v>UKR</v>
      </c>
      <c r="C95" t="str">
        <f>planned_cdr_ltleds!C94</f>
        <v>No</v>
      </c>
      <c r="D95" t="str">
        <f>CONCATENATE(Tabelle2[[#This Row],[EU]],planned_cdr_ltleds!Q94)</f>
        <v>No</v>
      </c>
      <c r="E95" t="str">
        <f>CONCATENATE(Tabelle2[[#This Row],[EU]],planned_cdr_ltleds!R94)</f>
        <v>No</v>
      </c>
      <c r="F95" t="str">
        <f>planned_cdr_ltleds!S94</f>
        <v/>
      </c>
      <c r="G95">
        <f>-planned_cdr_ltleds!J94</f>
        <v>0</v>
      </c>
      <c r="H95">
        <f>-planned_cdr_ltleds!K94</f>
        <v>-44.4</v>
      </c>
      <c r="I95">
        <f>VLOOKUP(Tabelle2[[#This Row],[iso]],current_cdr_nghgi!$B$2:$J$199,5,FALSE)</f>
        <v>-27.178130026294298</v>
      </c>
      <c r="J95">
        <f>VLOOKUP(Tabelle2[[#This Row],[iso]],current_cdr_nghgi!$B$2:$J$199,8,FALSE)</f>
        <v>0</v>
      </c>
      <c r="K95">
        <f>SUM(Tabelle2[[#This Row],[lulucf_historical_forest]:[lulucf_historical_other]])</f>
        <v>-27.178130026294298</v>
      </c>
      <c r="L95">
        <f>Tabelle2[[#This Row],[lulucf_lts]]-Tabelle2[[#This Row],[lulucf_lts_other]]</f>
        <v>-44.4</v>
      </c>
      <c r="M95">
        <f>Tabelle2[[#This Row],[lulucf_historical_other]]</f>
        <v>0</v>
      </c>
      <c r="N95">
        <f>Tabelle2[[#This Row],[lulucf_lts_forest]]-Tabelle2[[#This Row],[lulucf_historical_forest]]</f>
        <v>-17.221869973705701</v>
      </c>
      <c r="O95">
        <f t="shared" si="2"/>
        <v>0.311820390205582</v>
      </c>
      <c r="P95">
        <f>Tabelle2[[#This Row],[correction]]*Tabelle2[[#This Row],[lulucf_historical_forest]]</f>
        <v>-8.4746951098571319</v>
      </c>
      <c r="Q95">
        <f>Tabelle2[[#This Row],[lulucf_historical_forest_direct]]+Tabelle2[[#This Row],[lulucf_historical_other]]</f>
        <v>-8.4746951098571319</v>
      </c>
      <c r="R95">
        <f>IF(Tabelle2[[#This Row],[lulucf_forest_difference]]&gt;0,(Tabelle2[[#This Row],[correction]]*Tabelle2[[#This Row],[lulucf_lts_forest]]),(Tabelle2[[#This Row],[correction]]*Tabelle2[[#This Row],[lulucf_historical_forest]])+Tabelle2[[#This Row],[lulucf_forest_difference]])</f>
        <v>-25.696565083562831</v>
      </c>
      <c r="S95" t="e">
        <f>IF(Tabelle2[[#This Row],[lulucf_forest_difference]]&lt;0,Tabelle2[[#This Row],[lulucf_lts]]-#REF!)</f>
        <v>#REF!</v>
      </c>
      <c r="T95" t="e">
        <f>Tabelle2[[#This Row],[lulucf_lts_total_direct]]-Tabelle2[[#This Row],[lulucf_historical_total_direct]]</f>
        <v>#REF!</v>
      </c>
    </row>
    <row r="96" spans="1:20" hidden="1" x14ac:dyDescent="0.25">
      <c r="A96" t="str">
        <f>planned_cdr_ltleds!A95</f>
        <v>Ukraine</v>
      </c>
      <c r="B96" t="str">
        <f>planned_cdr_ltleds!B95</f>
        <v>UKR</v>
      </c>
      <c r="C96" t="str">
        <f>planned_cdr_ltleds!C95</f>
        <v>No</v>
      </c>
      <c r="D96" t="str">
        <f>CONCATENATE(Tabelle2[[#This Row],[EU]],planned_cdr_ltleds!Q95)</f>
        <v>No</v>
      </c>
      <c r="E96" t="str">
        <f>CONCATENATE(Tabelle2[[#This Row],[EU]],planned_cdr_ltleds!R95)</f>
        <v>No</v>
      </c>
      <c r="F96" t="str">
        <f>planned_cdr_ltleds!S95</f>
        <v/>
      </c>
      <c r="G96">
        <f>-planned_cdr_ltleds!J95</f>
        <v>0</v>
      </c>
      <c r="H96">
        <f>-planned_cdr_ltleds!K95</f>
        <v>-50.4</v>
      </c>
      <c r="I96">
        <f>VLOOKUP(Tabelle2[[#This Row],[iso]],current_cdr_nghgi!$B$2:$J$199,5,FALSE)</f>
        <v>-27.178130026294298</v>
      </c>
      <c r="J96">
        <f>VLOOKUP(Tabelle2[[#This Row],[iso]],current_cdr_nghgi!$B$2:$J$199,8,FALSE)</f>
        <v>0</v>
      </c>
      <c r="K96">
        <f>SUM(Tabelle2[[#This Row],[lulucf_historical_forest]:[lulucf_historical_other]])</f>
        <v>-27.178130026294298</v>
      </c>
      <c r="L96">
        <f>Tabelle2[[#This Row],[lulucf_lts]]-Tabelle2[[#This Row],[lulucf_lts_other]]</f>
        <v>-50.4</v>
      </c>
      <c r="M96">
        <f>Tabelle2[[#This Row],[lulucf_historical_other]]</f>
        <v>0</v>
      </c>
      <c r="N96">
        <f>Tabelle2[[#This Row],[lulucf_lts_forest]]-Tabelle2[[#This Row],[lulucf_historical_forest]]</f>
        <v>-23.221869973705701</v>
      </c>
      <c r="O96">
        <f t="shared" si="2"/>
        <v>0.311820390205582</v>
      </c>
      <c r="P96">
        <f>Tabelle2[[#This Row],[correction]]*Tabelle2[[#This Row],[lulucf_historical_forest]]</f>
        <v>-8.4746951098571319</v>
      </c>
      <c r="Q96">
        <f>Tabelle2[[#This Row],[lulucf_historical_forest_direct]]+Tabelle2[[#This Row],[lulucf_historical_other]]</f>
        <v>-8.4746951098571319</v>
      </c>
      <c r="R96">
        <f>IF(Tabelle2[[#This Row],[lulucf_forest_difference]]&gt;0,(Tabelle2[[#This Row],[correction]]*Tabelle2[[#This Row],[lulucf_lts_forest]]),(Tabelle2[[#This Row],[correction]]*Tabelle2[[#This Row],[lulucf_historical_forest]])+Tabelle2[[#This Row],[lulucf_forest_difference]])</f>
        <v>-31.696565083562831</v>
      </c>
      <c r="S96" t="e">
        <f>IF(Tabelle2[[#This Row],[lulucf_forest_difference]]&lt;0,Tabelle2[[#This Row],[lulucf_lts]]-#REF!)</f>
        <v>#REF!</v>
      </c>
      <c r="T96" t="e">
        <f>Tabelle2[[#This Row],[lulucf_lts_total_direct]]-Tabelle2[[#This Row],[lulucf_historical_total_direct]]</f>
        <v>#REF!</v>
      </c>
    </row>
    <row r="97" spans="1:22" hidden="1" x14ac:dyDescent="0.25">
      <c r="A97" t="str">
        <f>planned_cdr_ltleds!A96</f>
        <v>Ukraine</v>
      </c>
      <c r="B97" t="str">
        <f>planned_cdr_ltleds!B96</f>
        <v>UKR</v>
      </c>
      <c r="C97" t="str">
        <f>planned_cdr_ltleds!C96</f>
        <v>No</v>
      </c>
      <c r="D97" t="str">
        <f>CONCATENATE(Tabelle2[[#This Row],[EU]],planned_cdr_ltleds!Q96)</f>
        <v>No</v>
      </c>
      <c r="E97" t="str">
        <f>CONCATENATE(Tabelle2[[#This Row],[EU]],planned_cdr_ltleds!R96)</f>
        <v>No</v>
      </c>
      <c r="F97" t="str">
        <f>planned_cdr_ltleds!S96</f>
        <v/>
      </c>
      <c r="G97">
        <f>-planned_cdr_ltleds!J96</f>
        <v>0</v>
      </c>
      <c r="H97">
        <f>-planned_cdr_ltleds!K96</f>
        <v>-53.9</v>
      </c>
      <c r="I97">
        <f>VLOOKUP(Tabelle2[[#This Row],[iso]],current_cdr_nghgi!$B$2:$J$199,5,FALSE)</f>
        <v>-27.178130026294298</v>
      </c>
      <c r="J97">
        <f>VLOOKUP(Tabelle2[[#This Row],[iso]],current_cdr_nghgi!$B$2:$J$199,8,FALSE)</f>
        <v>0</v>
      </c>
      <c r="K97">
        <f>SUM(Tabelle2[[#This Row],[lulucf_historical_forest]:[lulucf_historical_other]])</f>
        <v>-27.178130026294298</v>
      </c>
      <c r="L97">
        <f>Tabelle2[[#This Row],[lulucf_lts]]-Tabelle2[[#This Row],[lulucf_lts_other]]</f>
        <v>-53.9</v>
      </c>
      <c r="M97">
        <f>Tabelle2[[#This Row],[lulucf_historical_other]]</f>
        <v>0</v>
      </c>
      <c r="N97">
        <f>Tabelle2[[#This Row],[lulucf_lts_forest]]-Tabelle2[[#This Row],[lulucf_historical_forest]]</f>
        <v>-26.721869973705701</v>
      </c>
      <c r="O97">
        <f t="shared" si="2"/>
        <v>0.311820390205582</v>
      </c>
      <c r="P97">
        <f>Tabelle2[[#This Row],[correction]]*Tabelle2[[#This Row],[lulucf_historical_forest]]</f>
        <v>-8.4746951098571319</v>
      </c>
      <c r="Q97">
        <f>Tabelle2[[#This Row],[lulucf_historical_forest_direct]]+Tabelle2[[#This Row],[lulucf_historical_other]]</f>
        <v>-8.4746951098571319</v>
      </c>
      <c r="R97">
        <f>IF(Tabelle2[[#This Row],[lulucf_forest_difference]]&gt;0,(Tabelle2[[#This Row],[correction]]*Tabelle2[[#This Row],[lulucf_lts_forest]]),(Tabelle2[[#This Row],[correction]]*Tabelle2[[#This Row],[lulucf_historical_forest]])+Tabelle2[[#This Row],[lulucf_forest_difference]])</f>
        <v>-35.196565083562831</v>
      </c>
      <c r="S97" t="e">
        <f>IF(Tabelle2[[#This Row],[lulucf_forest_difference]]&lt;0,Tabelle2[[#This Row],[lulucf_lts]]-#REF!)</f>
        <v>#REF!</v>
      </c>
      <c r="T97" t="e">
        <f>Tabelle2[[#This Row],[lulucf_lts_total_direct]]-Tabelle2[[#This Row],[lulucf_historical_total_direct]]</f>
        <v>#REF!</v>
      </c>
    </row>
    <row r="98" spans="1:22" x14ac:dyDescent="0.25">
      <c r="A98" t="str">
        <f>planned_cdr_ltleds!A97</f>
        <v>Ukraine</v>
      </c>
      <c r="B98" t="str">
        <f>planned_cdr_ltleds!B97</f>
        <v>UKR</v>
      </c>
      <c r="C98" t="str">
        <f>planned_cdr_ltleds!C97</f>
        <v>No</v>
      </c>
      <c r="D98" t="str">
        <f>CONCATENATE(Tabelle2[[#This Row],[EU]],planned_cdr_ltleds!Q97)</f>
        <v>No</v>
      </c>
      <c r="E98" t="str">
        <f>CONCATENATE(Tabelle2[[#This Row],[EU]],planned_cdr_ltleds!R97)</f>
        <v>NoMIN</v>
      </c>
      <c r="F98" t="str">
        <f>planned_cdr_ltleds!S97</f>
        <v>MIN</v>
      </c>
      <c r="G98" s="2">
        <f>-planned_cdr_ltleds!J97</f>
        <v>0</v>
      </c>
      <c r="H98" s="2">
        <f>-planned_cdr_ltleds!K97</f>
        <v>-44.4</v>
      </c>
      <c r="I98" s="2">
        <f>VLOOKUP(Tabelle2[[#This Row],[iso]],current_cdr_nghgi!$B$2:$J$199,5,FALSE)</f>
        <v>-27.178130026294298</v>
      </c>
      <c r="J98" s="2">
        <f>VLOOKUP(Tabelle2[[#This Row],[iso]],current_cdr_nghgi!$B$2:$J$199,8,FALSE)</f>
        <v>0</v>
      </c>
      <c r="K98" s="2">
        <f>SUM(Tabelle2[[#This Row],[lulucf_historical_forest]:[lulucf_historical_other]])</f>
        <v>-27.178130026294298</v>
      </c>
      <c r="L98" s="2">
        <f>Tabelle2[[#This Row],[lulucf_lts]]-Tabelle2[[#This Row],[lulucf_lts_other]]</f>
        <v>-44.4</v>
      </c>
      <c r="M98" s="2">
        <f>IF(Tabelle2[[#This Row],[lulucf_historical_other]]&gt;Tabelle2[[#This Row],[lulucf_lts]],Tabelle2[[#This Row],[lulucf_historical_other]],Tabelle2[[#This Row],[lulucf_lts]])</f>
        <v>0</v>
      </c>
      <c r="N98" s="2">
        <f>Tabelle2[[#This Row],[lulucf_lts_forest]]-Tabelle2[[#This Row],[lulucf_historical_forest]]</f>
        <v>-17.221869973705701</v>
      </c>
      <c r="O98" s="2">
        <f t="shared" si="2"/>
        <v>0.311820390205582</v>
      </c>
      <c r="P98" s="2">
        <f>Tabelle2[[#This Row],[correction]]*Tabelle2[[#This Row],[lulucf_historical_forest]]</f>
        <v>-8.4746951098571319</v>
      </c>
      <c r="Q98" s="2">
        <f>Tabelle2[[#This Row],[lulucf_historical_forest_direct]]+Tabelle2[[#This Row],[lulucf_historical_other]]</f>
        <v>-8.4746951098571319</v>
      </c>
      <c r="R98" s="2">
        <f>IF(Tabelle2[[#This Row],[lulucf_forest_difference]]&gt;0,(Tabelle2[[#This Row],[correction]]*Tabelle2[[#This Row],[lulucf_lts_forest]]),(Tabelle2[[#This Row],[correction]]*Tabelle2[[#This Row],[lulucf_historical_forest]])+Tabelle2[[#This Row],[lulucf_forest_difference]])</f>
        <v>-25.696565083562831</v>
      </c>
      <c r="S98" s="2">
        <f>Tabelle2[[#This Row],[lulucf_lts_forest_direct]]+Tabelle2[[#This Row],[lulucf_lts_other]]</f>
        <v>-25.696565083562831</v>
      </c>
      <c r="T98" s="2">
        <f>Tabelle2[[#This Row],[lulucf_lts_total_direct]]-Tabelle2[[#This Row],[lulucf_historical_total_direct]]</f>
        <v>-17.221869973705701</v>
      </c>
    </row>
    <row r="99" spans="1:22" hidden="1" x14ac:dyDescent="0.25">
      <c r="A99" t="str">
        <f>planned_cdr_ltleds!A98</f>
        <v>Ukraine</v>
      </c>
      <c r="B99" t="str">
        <f>planned_cdr_ltleds!B98</f>
        <v>UKR</v>
      </c>
      <c r="C99" t="str">
        <f>planned_cdr_ltleds!C98</f>
        <v>No</v>
      </c>
      <c r="D99" t="str">
        <f>CONCATENATE(Tabelle2[[#This Row],[EU]],planned_cdr_ltleds!Q98)</f>
        <v>No</v>
      </c>
      <c r="E99" t="str">
        <f>CONCATENATE(Tabelle2[[#This Row],[EU]],planned_cdr_ltleds!R98)</f>
        <v>No</v>
      </c>
      <c r="F99" t="str">
        <f>planned_cdr_ltleds!S98</f>
        <v/>
      </c>
      <c r="G99">
        <f>-planned_cdr_ltleds!J98</f>
        <v>0</v>
      </c>
      <c r="H99">
        <f>-planned_cdr_ltleds!K98</f>
        <v>-50.4</v>
      </c>
      <c r="I99">
        <f>VLOOKUP(Tabelle2[[#This Row],[iso]],current_cdr_nghgi!$B$2:$J$199,5,FALSE)</f>
        <v>-27.178130026294298</v>
      </c>
      <c r="J99">
        <f>VLOOKUP(Tabelle2[[#This Row],[iso]],current_cdr_nghgi!$B$2:$J$199,8,FALSE)</f>
        <v>0</v>
      </c>
      <c r="K99">
        <f>SUM(Tabelle2[[#This Row],[lulucf_historical_forest]:[lulucf_historical_other]])</f>
        <v>-27.178130026294298</v>
      </c>
      <c r="L99">
        <f>Tabelle2[[#This Row],[lulucf_lts]]-Tabelle2[[#This Row],[lulucf_lts_other]]</f>
        <v>-50.4</v>
      </c>
      <c r="M99">
        <f>Tabelle2[[#This Row],[lulucf_historical_other]]</f>
        <v>0</v>
      </c>
      <c r="N99">
        <f>Tabelle2[[#This Row],[lulucf_lts_forest]]-Tabelle2[[#This Row],[lulucf_historical_forest]]</f>
        <v>-23.221869973705701</v>
      </c>
      <c r="O99">
        <f t="shared" ref="O99:O111" si="3">$Y$2</f>
        <v>0.311820390205582</v>
      </c>
      <c r="P99">
        <f>Tabelle2[[#This Row],[correction]]*Tabelle2[[#This Row],[lulucf_historical_forest]]</f>
        <v>-8.4746951098571319</v>
      </c>
      <c r="Q99">
        <f>Tabelle2[[#This Row],[lulucf_historical_forest_direct]]+Tabelle2[[#This Row],[lulucf_historical_other]]</f>
        <v>-8.4746951098571319</v>
      </c>
      <c r="R99">
        <f>IF(Tabelle2[[#This Row],[lulucf_forest_difference]]&gt;0,(Tabelle2[[#This Row],[correction]]*Tabelle2[[#This Row],[lulucf_lts_forest]]),(Tabelle2[[#This Row],[correction]]*Tabelle2[[#This Row],[lulucf_historical_forest]])+Tabelle2[[#This Row],[lulucf_forest_difference]])</f>
        <v>-31.696565083562831</v>
      </c>
      <c r="S99">
        <f>IF(Tabelle2[[#This Row],[lulucf_forest_difference]]&gt;0,Tabelle2[[#This Row],[lulucf_lts_other]]+(Tabelle2[[#This Row],[correction]]*Tabelle2[[#This Row],[lulucf_lts_forest]]),Tabelle2[[#This Row],[lulucf_lts_other]]+(Tabelle2[[#This Row],[correction]]*Tabelle2[[#This Row],[lulucf_historical_forest]])+Tabelle2[[#This Row],[lulucf_forest_difference]])</f>
        <v>-31.696565083562831</v>
      </c>
      <c r="T99">
        <f>Tabelle2[[#This Row],[lulucf_lts_total_direct]]-Tabelle2[[#This Row],[lulucf_historical_total_direct]]</f>
        <v>-23.221869973705701</v>
      </c>
    </row>
    <row r="100" spans="1:22" hidden="1" x14ac:dyDescent="0.25">
      <c r="A100" t="str">
        <f>planned_cdr_ltleds!A99</f>
        <v>Ukraine</v>
      </c>
      <c r="B100" t="str">
        <f>planned_cdr_ltleds!B99</f>
        <v>UKR</v>
      </c>
      <c r="C100" t="str">
        <f>planned_cdr_ltleds!C99</f>
        <v>No</v>
      </c>
      <c r="D100" t="str">
        <f>CONCATENATE(Tabelle2[[#This Row],[EU]],planned_cdr_ltleds!Q99)</f>
        <v>No</v>
      </c>
      <c r="E100" t="str">
        <f>CONCATENATE(Tabelle2[[#This Row],[EU]],planned_cdr_ltleds!R99)</f>
        <v>No</v>
      </c>
      <c r="F100" t="str">
        <f>planned_cdr_ltleds!S99</f>
        <v/>
      </c>
      <c r="G100">
        <f>-planned_cdr_ltleds!J99</f>
        <v>0</v>
      </c>
      <c r="H100">
        <f>-planned_cdr_ltleds!K99</f>
        <v>-53.9</v>
      </c>
      <c r="I100">
        <f>VLOOKUP(Tabelle2[[#This Row],[iso]],current_cdr_nghgi!$B$2:$J$199,5,FALSE)</f>
        <v>-27.178130026294298</v>
      </c>
      <c r="J100">
        <f>VLOOKUP(Tabelle2[[#This Row],[iso]],current_cdr_nghgi!$B$2:$J$199,8,FALSE)</f>
        <v>0</v>
      </c>
      <c r="K100">
        <f>SUM(Tabelle2[[#This Row],[lulucf_historical_forest]:[lulucf_historical_other]])</f>
        <v>-27.178130026294298</v>
      </c>
      <c r="L100">
        <f>Tabelle2[[#This Row],[lulucf_lts]]-Tabelle2[[#This Row],[lulucf_lts_other]]</f>
        <v>-53.9</v>
      </c>
      <c r="M100">
        <f>Tabelle2[[#This Row],[lulucf_historical_other]]</f>
        <v>0</v>
      </c>
      <c r="N100">
        <f>Tabelle2[[#This Row],[lulucf_lts_forest]]-Tabelle2[[#This Row],[lulucf_historical_forest]]</f>
        <v>-26.721869973705701</v>
      </c>
      <c r="O100">
        <f t="shared" si="3"/>
        <v>0.311820390205582</v>
      </c>
      <c r="P100">
        <f>Tabelle2[[#This Row],[correction]]*Tabelle2[[#This Row],[lulucf_historical_forest]]</f>
        <v>-8.4746951098571319</v>
      </c>
      <c r="Q100">
        <f>Tabelle2[[#This Row],[lulucf_historical_forest_direct]]+Tabelle2[[#This Row],[lulucf_historical_other]]</f>
        <v>-8.4746951098571319</v>
      </c>
      <c r="R100">
        <f>IF(Tabelle2[[#This Row],[lulucf_forest_difference]]&gt;0,(Tabelle2[[#This Row],[correction]]*Tabelle2[[#This Row],[lulucf_lts_forest]]),(Tabelle2[[#This Row],[correction]]*Tabelle2[[#This Row],[lulucf_historical_forest]])+Tabelle2[[#This Row],[lulucf_forest_difference]])</f>
        <v>-35.196565083562831</v>
      </c>
      <c r="S100">
        <f>IF(Tabelle2[[#This Row],[lulucf_forest_difference]]&gt;0,Tabelle2[[#This Row],[lulucf_lts_other]]+(Tabelle2[[#This Row],[correction]]*Tabelle2[[#This Row],[lulucf_lts_forest]]),Tabelle2[[#This Row],[lulucf_lts_other]]+(Tabelle2[[#This Row],[correction]]*Tabelle2[[#This Row],[lulucf_historical_forest]])+Tabelle2[[#This Row],[lulucf_forest_difference]])</f>
        <v>-35.196565083562831</v>
      </c>
      <c r="T100">
        <f>Tabelle2[[#This Row],[lulucf_lts_total_direct]]-Tabelle2[[#This Row],[lulucf_historical_total_direct]]</f>
        <v>-26.721869973705701</v>
      </c>
    </row>
    <row r="101" spans="1:22" x14ac:dyDescent="0.25">
      <c r="A101" t="str">
        <f>planned_cdr_ltleds!A100</f>
        <v>United Kingdom</v>
      </c>
      <c r="B101" t="str">
        <f>planned_cdr_ltleds!B100</f>
        <v>GBR</v>
      </c>
      <c r="C101" t="str">
        <f>planned_cdr_ltleds!C100</f>
        <v>No</v>
      </c>
      <c r="D101" t="str">
        <f>CONCATENATE(Tabelle2[[#This Row],[EU]],planned_cdr_ltleds!Q100)</f>
        <v>No</v>
      </c>
      <c r="E101" t="str">
        <f>CONCATENATE(Tabelle2[[#This Row],[EU]],planned_cdr_ltleds!R100)</f>
        <v>NoMIN</v>
      </c>
      <c r="F101" t="str">
        <f>planned_cdr_ltleds!S100</f>
        <v>MIN</v>
      </c>
      <c r="G101" s="2">
        <f>-planned_cdr_ltleds!J100</f>
        <v>-75</v>
      </c>
      <c r="H101" s="2">
        <f>-planned_cdr_ltleds!K100</f>
        <v>-21.2</v>
      </c>
      <c r="I101" s="2">
        <f>VLOOKUP(Tabelle2[[#This Row],[iso]],current_cdr_nghgi!$B$2:$J$199,5,FALSE)</f>
        <v>-21.220982908480302</v>
      </c>
      <c r="J101" s="2">
        <f>VLOOKUP(Tabelle2[[#This Row],[iso]],current_cdr_nghgi!$B$2:$J$199,8,FALSE)</f>
        <v>0</v>
      </c>
      <c r="K101" s="2">
        <f>SUM(Tabelle2[[#This Row],[lulucf_historical_forest]:[lulucf_historical_other]])</f>
        <v>-21.220982908480302</v>
      </c>
      <c r="L101" s="2">
        <f>Tabelle2[[#This Row],[lulucf_lts]]-Tabelle2[[#This Row],[lulucf_lts_other]]</f>
        <v>-21.2</v>
      </c>
      <c r="M101" s="2">
        <f>IF(Tabelle2[[#This Row],[lulucf_historical_other]]&gt;Tabelle2[[#This Row],[lulucf_lts]],Tabelle2[[#This Row],[lulucf_historical_other]],Tabelle2[[#This Row],[lulucf_lts]])</f>
        <v>0</v>
      </c>
      <c r="N101" s="2">
        <f>Tabelle2[[#This Row],[lulucf_lts_forest]]-Tabelle2[[#This Row],[lulucf_historical_forest]]</f>
        <v>2.0982908480302598E-2</v>
      </c>
      <c r="O101" s="2">
        <f t="shared" si="3"/>
        <v>0.311820390205582</v>
      </c>
      <c r="P101" s="2">
        <f>Tabelle2[[#This Row],[correction]]*Tabelle2[[#This Row],[lulucf_historical_forest]]</f>
        <v>-6.6171351710683144</v>
      </c>
      <c r="Q101" s="2">
        <f>Tabelle2[[#This Row],[lulucf_historical_forest_direct]]+Tabelle2[[#This Row],[lulucf_historical_other]]</f>
        <v>-6.6171351710683144</v>
      </c>
      <c r="R101" s="2">
        <f>IF(Tabelle2[[#This Row],[lulucf_forest_difference]]&gt;0,(Tabelle2[[#This Row],[correction]]*Tabelle2[[#This Row],[lulucf_lts_forest]]),(Tabelle2[[#This Row],[correction]]*Tabelle2[[#This Row],[lulucf_historical_forest]])+Tabelle2[[#This Row],[lulucf_forest_difference]])</f>
        <v>-6.6105922723583381</v>
      </c>
      <c r="S101" s="2">
        <f>Tabelle2[[#This Row],[lulucf_lts_forest_direct]]+Tabelle2[[#This Row],[lulucf_lts_other]]</f>
        <v>-6.6105922723583381</v>
      </c>
      <c r="T101" s="2">
        <f>Tabelle2[[#This Row],[lulucf_lts_total_direct]]-Tabelle2[[#This Row],[lulucf_historical_total_direct]]</f>
        <v>6.5428987099762637E-3</v>
      </c>
    </row>
    <row r="102" spans="1:22" hidden="1" x14ac:dyDescent="0.25">
      <c r="A102" t="str">
        <f>planned_cdr_ltleds!A101</f>
        <v>United Kingdom</v>
      </c>
      <c r="B102" t="str">
        <f>planned_cdr_ltleds!B101</f>
        <v>GBR</v>
      </c>
      <c r="C102" t="str">
        <f>planned_cdr_ltleds!C101</f>
        <v>No</v>
      </c>
      <c r="D102" t="str">
        <f>CONCATENATE(Tabelle2[[#This Row],[EU]],planned_cdr_ltleds!Q101)</f>
        <v>No</v>
      </c>
      <c r="E102" t="str">
        <f>CONCATENATE(Tabelle2[[#This Row],[EU]],planned_cdr_ltleds!R101)</f>
        <v>No</v>
      </c>
      <c r="F102" t="str">
        <f>planned_cdr_ltleds!S101</f>
        <v/>
      </c>
      <c r="G102">
        <f>-planned_cdr_ltleds!J101</f>
        <v>-76</v>
      </c>
      <c r="H102">
        <f>-planned_cdr_ltleds!K101</f>
        <v>-21.2</v>
      </c>
      <c r="I102">
        <f>VLOOKUP(Tabelle2[[#This Row],[iso]],current_cdr_nghgi!$B$2:$J$199,5,FALSE)</f>
        <v>-21.220982908480302</v>
      </c>
      <c r="J102">
        <f>VLOOKUP(Tabelle2[[#This Row],[iso]],current_cdr_nghgi!$B$2:$J$199,8,FALSE)</f>
        <v>0</v>
      </c>
      <c r="K102">
        <f>SUM(Tabelle2[[#This Row],[lulucf_historical_forest]:[lulucf_historical_other]])</f>
        <v>-21.220982908480302</v>
      </c>
      <c r="L102">
        <f>Tabelle2[[#This Row],[lulucf_lts]]-Tabelle2[[#This Row],[lulucf_lts_other]]</f>
        <v>-21.2</v>
      </c>
      <c r="M102">
        <f>Tabelle2[[#This Row],[lulucf_historical_other]]</f>
        <v>0</v>
      </c>
      <c r="N102">
        <f>Tabelle2[[#This Row],[lulucf_lts_forest]]-Tabelle2[[#This Row],[lulucf_historical_forest]]</f>
        <v>2.0982908480302598E-2</v>
      </c>
      <c r="O102">
        <f t="shared" si="3"/>
        <v>0.311820390205582</v>
      </c>
      <c r="P102">
        <f>Tabelle2[[#This Row],[correction]]*Tabelle2[[#This Row],[lulucf_historical_forest]]</f>
        <v>-6.6171351710683144</v>
      </c>
      <c r="Q102">
        <f>Tabelle2[[#This Row],[lulucf_historical_forest_direct]]+Tabelle2[[#This Row],[lulucf_historical_other]]</f>
        <v>-6.6171351710683144</v>
      </c>
      <c r="R102">
        <f>IF(Tabelle2[[#This Row],[lulucf_forest_difference]]&gt;0,(Tabelle2[[#This Row],[correction]]*Tabelle2[[#This Row],[lulucf_lts_forest]]),(Tabelle2[[#This Row],[correction]]*Tabelle2[[#This Row],[lulucf_historical_forest]])+Tabelle2[[#This Row],[lulucf_forest_difference]])</f>
        <v>-6.6105922723583381</v>
      </c>
      <c r="S102" t="b">
        <f>IF(Tabelle2[[#This Row],[lulucf_forest_difference]]&lt;0,Tabelle2[[#This Row],[lulucf_lts]]-#REF!)</f>
        <v>0</v>
      </c>
      <c r="T102">
        <f>Tabelle2[[#This Row],[lulucf_lts_total_direct]]-Tabelle2[[#This Row],[lulucf_historical_total_direct]]</f>
        <v>6.6171351710683144</v>
      </c>
    </row>
    <row r="103" spans="1:22" x14ac:dyDescent="0.25">
      <c r="A103" t="str">
        <f>planned_cdr_ltleds!A102</f>
        <v>United Kingdom</v>
      </c>
      <c r="B103" t="str">
        <f>planned_cdr_ltleds!B102</f>
        <v>GBR</v>
      </c>
      <c r="C103" t="str">
        <f>planned_cdr_ltleds!C102</f>
        <v>No</v>
      </c>
      <c r="D103" t="str">
        <f>CONCATENATE(Tabelle2[[#This Row],[EU]],planned_cdr_ltleds!Q102)</f>
        <v>NoMAX</v>
      </c>
      <c r="E103" t="str">
        <f>CONCATENATE(Tabelle2[[#This Row],[EU]],planned_cdr_ltleds!R102)</f>
        <v>No</v>
      </c>
      <c r="F103" t="str">
        <f>planned_cdr_ltleds!S102</f>
        <v>MAX</v>
      </c>
      <c r="G103" s="2">
        <f>-planned_cdr_ltleds!J102</f>
        <v>-81</v>
      </c>
      <c r="H103" s="2">
        <f>-planned_cdr_ltleds!K102</f>
        <v>-21.2</v>
      </c>
      <c r="I103" s="2">
        <f>VLOOKUP(Tabelle2[[#This Row],[iso]],current_cdr_nghgi!$B$2:$J$199,5,FALSE)</f>
        <v>-21.220982908480302</v>
      </c>
      <c r="J103" s="2">
        <f>VLOOKUP(Tabelle2[[#This Row],[iso]],current_cdr_nghgi!$B$2:$J$199,8,FALSE)</f>
        <v>0</v>
      </c>
      <c r="K103" s="2">
        <f>SUM(Tabelle2[[#This Row],[lulucf_historical_forest]:[lulucf_historical_other]])</f>
        <v>-21.220982908480302</v>
      </c>
      <c r="L103" s="2">
        <f>Tabelle2[[#This Row],[lulucf_lts]]-Tabelle2[[#This Row],[lulucf_lts_other]]</f>
        <v>-21.2</v>
      </c>
      <c r="M103" s="2">
        <f>IF(Tabelle2[[#This Row],[lulucf_historical_other]]&gt;Tabelle2[[#This Row],[lulucf_lts]],Tabelle2[[#This Row],[lulucf_historical_other]],Tabelle2[[#This Row],[lulucf_lts]])</f>
        <v>0</v>
      </c>
      <c r="N103" s="2">
        <f>Tabelle2[[#This Row],[lulucf_lts_forest]]-Tabelle2[[#This Row],[lulucf_historical_forest]]</f>
        <v>2.0982908480302598E-2</v>
      </c>
      <c r="O103" s="2">
        <f t="shared" si="3"/>
        <v>0.311820390205582</v>
      </c>
      <c r="P103" s="2">
        <f>Tabelle2[[#This Row],[correction]]*Tabelle2[[#This Row],[lulucf_historical_forest]]</f>
        <v>-6.6171351710683144</v>
      </c>
      <c r="Q103" s="2">
        <f>Tabelle2[[#This Row],[lulucf_historical_forest_direct]]+Tabelle2[[#This Row],[lulucf_historical_other]]</f>
        <v>-6.6171351710683144</v>
      </c>
      <c r="R103" s="2">
        <f>IF(Tabelle2[[#This Row],[lulucf_forest_difference]]&gt;0,(Tabelle2[[#This Row],[correction]]*Tabelle2[[#This Row],[lulucf_lts_forest]]),(Tabelle2[[#This Row],[correction]]*Tabelle2[[#This Row],[lulucf_historical_forest]])+Tabelle2[[#This Row],[lulucf_forest_difference]])</f>
        <v>-6.6105922723583381</v>
      </c>
      <c r="S103" s="2">
        <f>Tabelle2[[#This Row],[lulucf_lts_forest_direct]]+Tabelle2[[#This Row],[lulucf_lts_other]]</f>
        <v>-6.6105922723583381</v>
      </c>
      <c r="T103" s="2">
        <f>Tabelle2[[#This Row],[lulucf_lts_total_direct]]-Tabelle2[[#This Row],[lulucf_historical_total_direct]]</f>
        <v>6.5428987099762637E-3</v>
      </c>
    </row>
    <row r="104" spans="1:22" x14ac:dyDescent="0.25">
      <c r="A104" t="str">
        <f>planned_cdr_ltleds!A103</f>
        <v>United States</v>
      </c>
      <c r="B104" t="str">
        <f>planned_cdr_ltleds!B103</f>
        <v>USA</v>
      </c>
      <c r="C104" t="str">
        <f>planned_cdr_ltleds!C103</f>
        <v>No</v>
      </c>
      <c r="D104" t="str">
        <f>CONCATENATE(Tabelle2[[#This Row],[EU]],planned_cdr_ltleds!Q103)</f>
        <v>NoMAX</v>
      </c>
      <c r="E104" t="str">
        <f>CONCATENATE(Tabelle2[[#This Row],[EU]],planned_cdr_ltleds!R103)</f>
        <v>NoMIN</v>
      </c>
      <c r="F104" t="str">
        <f>planned_cdr_ltleds!S103</f>
        <v>MAXMIN</v>
      </c>
      <c r="G104" s="2">
        <f>-planned_cdr_ltleds!J103</f>
        <v>-500</v>
      </c>
      <c r="H104" s="2">
        <f>-planned_cdr_ltleds!K103</f>
        <v>-1000</v>
      </c>
      <c r="I104" s="2">
        <f>VLOOKUP(Tabelle2[[#This Row],[iso]],current_cdr_nghgi!$B$2:$J$199,5,FALSE)</f>
        <v>-778.06597434488003</v>
      </c>
      <c r="J104" s="2">
        <f>VLOOKUP(Tabelle2[[#This Row],[iso]],current_cdr_nghgi!$B$2:$J$199,8,FALSE)</f>
        <v>-204.36088323662202</v>
      </c>
      <c r="K104" s="2">
        <f>SUM(Tabelle2[[#This Row],[lulucf_historical_forest]:[lulucf_historical_other]])</f>
        <v>-982.42685758150208</v>
      </c>
      <c r="L104" s="2">
        <f>Tabelle2[[#This Row],[lulucf_lts]]-Tabelle2[[#This Row],[lulucf_lts_other]]</f>
        <v>-795.63911676337796</v>
      </c>
      <c r="M104" s="2">
        <f>IF(Tabelle2[[#This Row],[lulucf_historical_other]]&gt;Tabelle2[[#This Row],[lulucf_lts]],Tabelle2[[#This Row],[lulucf_historical_other]],Tabelle2[[#This Row],[lulucf_lts]])</f>
        <v>-204.36088323662202</v>
      </c>
      <c r="N104" s="2">
        <f>Tabelle2[[#This Row],[lulucf_lts_forest]]-Tabelle2[[#This Row],[lulucf_historical_forest]]</f>
        <v>-17.573142418497923</v>
      </c>
      <c r="O104" s="2">
        <f t="shared" si="3"/>
        <v>0.311820390205582</v>
      </c>
      <c r="P104" s="2">
        <f>Tabelle2[[#This Row],[correction]]*Tabelle2[[#This Row],[lulucf_historical_forest]]</f>
        <v>-242.61683572590684</v>
      </c>
      <c r="Q104" s="2">
        <f>Tabelle2[[#This Row],[lulucf_historical_forest_direct]]+Tabelle2[[#This Row],[lulucf_historical_other]]</f>
        <v>-446.97771896252885</v>
      </c>
      <c r="R104" s="2">
        <f>IF(Tabelle2[[#This Row],[lulucf_forest_difference]]&gt;0,(Tabelle2[[#This Row],[correction]]*Tabelle2[[#This Row],[lulucf_lts_forest]]),(Tabelle2[[#This Row],[correction]]*Tabelle2[[#This Row],[lulucf_historical_forest]])+Tabelle2[[#This Row],[lulucf_forest_difference]])</f>
        <v>-260.18997814440479</v>
      </c>
      <c r="S104" s="2">
        <f>Tabelle2[[#This Row],[lulucf_lts_forest_direct]]+Tabelle2[[#This Row],[lulucf_lts_other]]</f>
        <v>-464.55086138102683</v>
      </c>
      <c r="T104" s="2">
        <f>Tabelle2[[#This Row],[lulucf_lts_total_direct]]-Tabelle2[[#This Row],[lulucf_historical_total_direct]]</f>
        <v>-17.57314241849798</v>
      </c>
    </row>
    <row r="105" spans="1:22" x14ac:dyDescent="0.25">
      <c r="A105" t="str">
        <f>planned_cdr_ltleds!A104</f>
        <v>Uruguay</v>
      </c>
      <c r="B105" t="str">
        <f>planned_cdr_ltleds!B104</f>
        <v>URY</v>
      </c>
      <c r="C105" t="str">
        <f>planned_cdr_ltleds!C104</f>
        <v>No</v>
      </c>
      <c r="D105" t="str">
        <f>CONCATENATE(Tabelle2[[#This Row],[EU]],planned_cdr_ltleds!Q104)</f>
        <v>No</v>
      </c>
      <c r="E105" t="str">
        <f>CONCATENATE(Tabelle2[[#This Row],[EU]],planned_cdr_ltleds!R104)</f>
        <v>NoMIN</v>
      </c>
      <c r="F105" t="str">
        <f>planned_cdr_ltleds!S104</f>
        <v>MIN</v>
      </c>
      <c r="G105" s="2">
        <f>-planned_cdr_ltleds!J104</f>
        <v>0</v>
      </c>
      <c r="H105" s="2">
        <f>-planned_cdr_ltleds!K104</f>
        <v>-5.17</v>
      </c>
      <c r="I105" s="2">
        <f>VLOOKUP(Tabelle2[[#This Row],[iso]],current_cdr_nghgi!$B$2:$J$199,5,FALSE)</f>
        <v>-17.377558000000001</v>
      </c>
      <c r="J105" s="2">
        <f>VLOOKUP(Tabelle2[[#This Row],[iso]],current_cdr_nghgi!$B$2:$J$199,8,FALSE)</f>
        <v>-0.22939999999999999</v>
      </c>
      <c r="K105" s="2">
        <f>SUM(Tabelle2[[#This Row],[lulucf_historical_forest]:[lulucf_historical_other]])</f>
        <v>-17.606957999999999</v>
      </c>
      <c r="L105" s="2">
        <f>Tabelle2[[#This Row],[lulucf_lts]]-Tabelle2[[#This Row],[lulucf_lts_other]]</f>
        <v>-4.9405999999999999</v>
      </c>
      <c r="M105" s="2">
        <f>IF(Tabelle2[[#This Row],[lulucf_historical_other]]&gt;Tabelle2[[#This Row],[lulucf_lts]],Tabelle2[[#This Row],[lulucf_historical_other]],Tabelle2[[#This Row],[lulucf_lts]])</f>
        <v>-0.22939999999999999</v>
      </c>
      <c r="N105" s="2">
        <f>Tabelle2[[#This Row],[lulucf_lts_forest]]-Tabelle2[[#This Row],[lulucf_historical_forest]]</f>
        <v>12.436958000000001</v>
      </c>
      <c r="O105" s="2">
        <f t="shared" si="3"/>
        <v>0.311820390205582</v>
      </c>
      <c r="P105" s="2">
        <f>Tabelle2[[#This Row],[correction]]*Tabelle2[[#This Row],[lulucf_historical_forest]]</f>
        <v>-5.4186769163801332</v>
      </c>
      <c r="Q105" s="2">
        <f>Tabelle2[[#This Row],[lulucf_historical_forest_direct]]+Tabelle2[[#This Row],[lulucf_historical_other]]</f>
        <v>-5.6480769163801332</v>
      </c>
      <c r="R105" s="2">
        <f>IF(Tabelle2[[#This Row],[lulucf_forest_difference]]&gt;0,(Tabelle2[[#This Row],[correction]]*Tabelle2[[#This Row],[lulucf_lts_forest]]),(Tabelle2[[#This Row],[correction]]*Tabelle2[[#This Row],[lulucf_historical_forest]])+Tabelle2[[#This Row],[lulucf_forest_difference]])</f>
        <v>-1.5405798198496985</v>
      </c>
      <c r="S105" s="2">
        <f>Tabelle2[[#This Row],[lulucf_lts_forest_direct]]+Tabelle2[[#This Row],[lulucf_lts_other]]</f>
        <v>-1.7699798198496985</v>
      </c>
      <c r="T105" s="2">
        <f>Tabelle2[[#This Row],[lulucf_lts_total_direct]]-Tabelle2[[#This Row],[lulucf_historical_total_direct]]</f>
        <v>3.8780970965304347</v>
      </c>
    </row>
    <row r="106" spans="1:22" x14ac:dyDescent="0.25">
      <c r="A106" t="str">
        <f>planned_cdr_ltleds!A105</f>
        <v>Uruguay</v>
      </c>
      <c r="B106" t="str">
        <f>planned_cdr_ltleds!B105</f>
        <v>URY</v>
      </c>
      <c r="C106" t="str">
        <f>planned_cdr_ltleds!C105</f>
        <v>No</v>
      </c>
      <c r="D106" t="str">
        <f>CONCATENATE(Tabelle2[[#This Row],[EU]],planned_cdr_ltleds!Q105)</f>
        <v>NoMAX</v>
      </c>
      <c r="E106" t="str">
        <f>CONCATENATE(Tabelle2[[#This Row],[EU]],planned_cdr_ltleds!R105)</f>
        <v>No</v>
      </c>
      <c r="F106" t="str">
        <f>planned_cdr_ltleds!S105</f>
        <v>MAX</v>
      </c>
      <c r="G106" s="2">
        <f>-planned_cdr_ltleds!J105</f>
        <v>0</v>
      </c>
      <c r="H106" s="2">
        <f>-planned_cdr_ltleds!K105</f>
        <v>-9.5939999999999994</v>
      </c>
      <c r="I106" s="2">
        <f>VLOOKUP(Tabelle2[[#This Row],[iso]],current_cdr_nghgi!$B$2:$J$199,5,FALSE)</f>
        <v>-17.377558000000001</v>
      </c>
      <c r="J106" s="2">
        <f>VLOOKUP(Tabelle2[[#This Row],[iso]],current_cdr_nghgi!$B$2:$J$199,8,FALSE)</f>
        <v>-0.22939999999999999</v>
      </c>
      <c r="K106" s="2">
        <f>SUM(Tabelle2[[#This Row],[lulucf_historical_forest]:[lulucf_historical_other]])</f>
        <v>-17.606957999999999</v>
      </c>
      <c r="L106" s="2">
        <f>Tabelle2[[#This Row],[lulucf_lts]]-Tabelle2[[#This Row],[lulucf_lts_other]]</f>
        <v>-9.3645999999999994</v>
      </c>
      <c r="M106" s="2">
        <f>IF(Tabelle2[[#This Row],[lulucf_historical_other]]&gt;Tabelle2[[#This Row],[lulucf_lts]],Tabelle2[[#This Row],[lulucf_historical_other]],Tabelle2[[#This Row],[lulucf_lts]])</f>
        <v>-0.22939999999999999</v>
      </c>
      <c r="N106" s="2">
        <f>Tabelle2[[#This Row],[lulucf_lts_forest]]-Tabelle2[[#This Row],[lulucf_historical_forest]]</f>
        <v>8.0129580000000011</v>
      </c>
      <c r="O106" s="2">
        <f t="shared" si="3"/>
        <v>0.311820390205582</v>
      </c>
      <c r="P106" s="2">
        <f>Tabelle2[[#This Row],[correction]]*Tabelle2[[#This Row],[lulucf_historical_forest]]</f>
        <v>-5.4186769163801332</v>
      </c>
      <c r="Q106" s="2">
        <f>Tabelle2[[#This Row],[lulucf_historical_forest_direct]]+Tabelle2[[#This Row],[lulucf_historical_other]]</f>
        <v>-5.6480769163801332</v>
      </c>
      <c r="R106" s="2">
        <f>IF(Tabelle2[[#This Row],[lulucf_forest_difference]]&gt;0,(Tabelle2[[#This Row],[correction]]*Tabelle2[[#This Row],[lulucf_lts_forest]]),(Tabelle2[[#This Row],[correction]]*Tabelle2[[#This Row],[lulucf_historical_forest]])+Tabelle2[[#This Row],[lulucf_forest_difference]])</f>
        <v>-2.9200732261191931</v>
      </c>
      <c r="S106" s="2">
        <f>Tabelle2[[#This Row],[lulucf_lts_forest_direct]]+Tabelle2[[#This Row],[lulucf_lts_other]]</f>
        <v>-3.1494732261191931</v>
      </c>
      <c r="T106" s="2">
        <f>Tabelle2[[#This Row],[lulucf_lts_total_direct]]-Tabelle2[[#This Row],[lulucf_historical_total_direct]]</f>
        <v>2.4986036902609401</v>
      </c>
    </row>
    <row r="107" spans="1:22" x14ac:dyDescent="0.25">
      <c r="A107" t="str">
        <f>planned_cdr_ltleds!A106</f>
        <v>Vanuatu</v>
      </c>
      <c r="B107" t="str">
        <f>planned_cdr_ltleds!B106</f>
        <v>VUT</v>
      </c>
      <c r="C107" t="str">
        <f>planned_cdr_ltleds!C106</f>
        <v>No</v>
      </c>
      <c r="D107" t="str">
        <f>CONCATENATE(Tabelle2[[#This Row],[EU]],planned_cdr_ltleds!Q106)</f>
        <v>NoMAX</v>
      </c>
      <c r="E107" t="str">
        <f>CONCATENATE(Tabelle2[[#This Row],[EU]],planned_cdr_ltleds!R106)</f>
        <v>NoMIN</v>
      </c>
      <c r="F107" t="str">
        <f>planned_cdr_ltleds!S106</f>
        <v>MAXMIN</v>
      </c>
      <c r="G107" s="2">
        <f>-planned_cdr_ltleds!J106</f>
        <v>0</v>
      </c>
      <c r="H107" s="2">
        <f>-planned_cdr_ltleds!K106</f>
        <v>-6.9740000000000002</v>
      </c>
      <c r="I107" s="2">
        <f>VLOOKUP(Tabelle2[[#This Row],[iso]],current_cdr_nghgi!$B$2:$J$199,5,FALSE)</f>
        <v>-6.9370000000000003</v>
      </c>
      <c r="J107" s="2">
        <f>VLOOKUP(Tabelle2[[#This Row],[iso]],current_cdr_nghgi!$B$2:$J$199,8,FALSE)</f>
        <v>0</v>
      </c>
      <c r="K107" s="2">
        <f>SUM(Tabelle2[[#This Row],[lulucf_historical_forest]:[lulucf_historical_other]])</f>
        <v>-6.9370000000000003</v>
      </c>
      <c r="L107" s="2">
        <f>Tabelle2[[#This Row],[lulucf_lts]]-Tabelle2[[#This Row],[lulucf_lts_other]]</f>
        <v>-6.9740000000000002</v>
      </c>
      <c r="M107" s="2">
        <f>IF(Tabelle2[[#This Row],[lulucf_historical_other]]&gt;Tabelle2[[#This Row],[lulucf_lts]],Tabelle2[[#This Row],[lulucf_historical_other]],Tabelle2[[#This Row],[lulucf_lts]])</f>
        <v>0</v>
      </c>
      <c r="N107" s="2">
        <f>Tabelle2[[#This Row],[lulucf_lts_forest]]-Tabelle2[[#This Row],[lulucf_historical_forest]]</f>
        <v>-3.6999999999999922E-2</v>
      </c>
      <c r="O107" s="2">
        <f t="shared" si="3"/>
        <v>0.311820390205582</v>
      </c>
      <c r="P107" s="2">
        <f>Tabelle2[[#This Row],[correction]]*Tabelle2[[#This Row],[lulucf_historical_forest]]</f>
        <v>-2.1630980468561223</v>
      </c>
      <c r="Q107" s="2">
        <f>Tabelle2[[#This Row],[lulucf_historical_forest_direct]]+Tabelle2[[#This Row],[lulucf_historical_other]]</f>
        <v>-2.1630980468561223</v>
      </c>
      <c r="R107" s="2">
        <f>IF(Tabelle2[[#This Row],[lulucf_forest_difference]]&gt;0,(Tabelle2[[#This Row],[correction]]*Tabelle2[[#This Row],[lulucf_lts_forest]]),(Tabelle2[[#This Row],[correction]]*Tabelle2[[#This Row],[lulucf_historical_forest]])+Tabelle2[[#This Row],[lulucf_forest_difference]])</f>
        <v>-2.2000980468561222</v>
      </c>
      <c r="S107" s="2">
        <f>Tabelle2[[#This Row],[lulucf_lts_forest_direct]]+Tabelle2[[#This Row],[lulucf_lts_other]]</f>
        <v>-2.2000980468561222</v>
      </c>
      <c r="T107" s="2">
        <f>Tabelle2[[#This Row],[lulucf_lts_total_direct]]-Tabelle2[[#This Row],[lulucf_historical_total_direct]]</f>
        <v>-3.6999999999999922E-2</v>
      </c>
    </row>
    <row r="108" spans="1:22" hidden="1" x14ac:dyDescent="0.25">
      <c r="A108" t="str">
        <f>planned_cdr_ltleds!A107</f>
        <v>Zimbabwe</v>
      </c>
      <c r="B108" t="str">
        <f>planned_cdr_ltleds!B107</f>
        <v>ZWE</v>
      </c>
      <c r="C108" t="str">
        <f>planned_cdr_ltleds!C107</f>
        <v>No</v>
      </c>
      <c r="D108" t="str">
        <f>CONCATENATE(Tabelle2[[#This Row],[EU]],planned_cdr_ltleds!Q107)</f>
        <v>No</v>
      </c>
      <c r="E108" t="str">
        <f>CONCATENATE(Tabelle2[[#This Row],[EU]],planned_cdr_ltleds!R107)</f>
        <v>No</v>
      </c>
      <c r="F108" t="str">
        <f>planned_cdr_ltleds!S107</f>
        <v/>
      </c>
      <c r="G108">
        <f>-planned_cdr_ltleds!J107</f>
        <v>0</v>
      </c>
      <c r="H108">
        <f>-planned_cdr_ltleds!K107</f>
        <v>0</v>
      </c>
      <c r="I108">
        <f>VLOOKUP(Tabelle2[[#This Row],[iso]],current_cdr_nghgi!$B$2:$J$199,5,FALSE)</f>
        <v>-11.478999999999999</v>
      </c>
      <c r="J108">
        <f>VLOOKUP(Tabelle2[[#This Row],[iso]],current_cdr_nghgi!$B$2:$J$199,8,FALSE)</f>
        <v>0</v>
      </c>
      <c r="K108">
        <f>SUM(Tabelle2[[#This Row],[lulucf_historical_forest]:[lulucf_historical_other]])</f>
        <v>-11.478999999999999</v>
      </c>
      <c r="L108">
        <f>Tabelle2[[#This Row],[lulucf_lts]]-Tabelle2[[#This Row],[lulucf_lts_other]]</f>
        <v>0</v>
      </c>
      <c r="M108">
        <f>Tabelle2[[#This Row],[lulucf_historical_other]]</f>
        <v>0</v>
      </c>
      <c r="N108">
        <f>Tabelle2[[#This Row],[lulucf_lts_forest]]-Tabelle2[[#This Row],[lulucf_historical_forest]]</f>
        <v>11.478999999999999</v>
      </c>
      <c r="O108">
        <f t="shared" si="3"/>
        <v>0.311820390205582</v>
      </c>
      <c r="P108">
        <f>Tabelle2[[#This Row],[correction]]*Tabelle2[[#This Row],[lulucf_historical_forest]]</f>
        <v>-3.5793862591698753</v>
      </c>
      <c r="Q108">
        <f>Tabelle2[[#This Row],[lulucf_historical_forest_direct]]+Tabelle2[[#This Row],[lulucf_historical_other]]</f>
        <v>-3.5793862591698753</v>
      </c>
      <c r="R108">
        <f>IF(Tabelle2[[#This Row],[lulucf_forest_difference]]&gt;0,(Tabelle2[[#This Row],[correction]]*Tabelle2[[#This Row],[lulucf_lts_forest]]),(Tabelle2[[#This Row],[correction]]*Tabelle2[[#This Row],[lulucf_historical_forest]])+Tabelle2[[#This Row],[lulucf_forest_difference]])</f>
        <v>0</v>
      </c>
      <c r="S108">
        <f>Tabelle2[[#This Row],[lulucf_lts_forest_direct]]+Tabelle2[[#This Row],[lulucf_lts_other]]</f>
        <v>0</v>
      </c>
      <c r="T108">
        <f>Tabelle2[[#This Row],[lulucf_lts_total_direct]]-Tabelle2[[#This Row],[lulucf_historical_total_direct]]</f>
        <v>3.5793862591698753</v>
      </c>
    </row>
    <row r="109" spans="1:22" x14ac:dyDescent="0.25">
      <c r="A109" t="str">
        <f>planned_cdr_ltleds!A108</f>
        <v>EU27</v>
      </c>
      <c r="B109" t="str">
        <f>planned_cdr_ltleds!B108</f>
        <v>EU27</v>
      </c>
      <c r="C109" t="str">
        <f>planned_cdr_ltleds!C108</f>
        <v>No</v>
      </c>
      <c r="D109" t="str">
        <f>CONCATENATE(Tabelle2[[#This Row],[EU]],planned_cdr_ltleds!Q108)</f>
        <v>No</v>
      </c>
      <c r="E109" t="str">
        <f>CONCATENATE(Tabelle2[[#This Row],[EU]],planned_cdr_ltleds!R108)</f>
        <v>NoMIN</v>
      </c>
      <c r="F109" t="str">
        <f>planned_cdr_ltleds!S108</f>
        <v>MIN</v>
      </c>
      <c r="G109" s="2">
        <f>-planned_cdr_ltleds!J108</f>
        <v>-53.4</v>
      </c>
      <c r="H109" s="2">
        <f>-planned_cdr_ltleds!K108</f>
        <v>-464.1</v>
      </c>
      <c r="I109" s="2">
        <f>VLOOKUP(Tabelle2[[#This Row],[iso]],current_cdr_nghgi!$B$2:$J$199,5,FALSE)</f>
        <v>-424.01376894356503</v>
      </c>
      <c r="J109" s="2">
        <f>VLOOKUP(Tabelle2[[#This Row],[iso]],current_cdr_nghgi!$B$2:$J$199,8,FALSE)</f>
        <v>-0.65059404324964498</v>
      </c>
      <c r="K109" s="2">
        <f>SUM(Tabelle2[[#This Row],[lulucf_historical_forest]:[lulucf_historical_other]])</f>
        <v>-424.66436298681469</v>
      </c>
      <c r="L109" s="2">
        <f>Tabelle2[[#This Row],[lulucf_lts]]-Tabelle2[[#This Row],[lulucf_lts_other]]</f>
        <v>-463.44940595675035</v>
      </c>
      <c r="M109" s="2">
        <f>IF(Tabelle2[[#This Row],[lulucf_historical_other]]&gt;Tabelle2[[#This Row],[lulucf_lts]],Tabelle2[[#This Row],[lulucf_historical_other]],Tabelle2[[#This Row],[lulucf_lts]])</f>
        <v>-0.65059404324964498</v>
      </c>
      <c r="N109" s="2">
        <f>Tabelle2[[#This Row],[lulucf_lts_forest]]-Tabelle2[[#This Row],[lulucf_historical_forest]]</f>
        <v>-39.435637013185328</v>
      </c>
      <c r="O109" s="2">
        <f t="shared" si="3"/>
        <v>0.311820390205582</v>
      </c>
      <c r="P109" s="2">
        <f>Tabelle2[[#This Row],[correction]]*Tabelle2[[#This Row],[lulucf_historical_forest]]</f>
        <v>-132.21613888452194</v>
      </c>
      <c r="Q109" s="2">
        <f>Tabelle2[[#This Row],[lulucf_historical_forest_direct]]+Tabelle2[[#This Row],[lulucf_historical_other]]</f>
        <v>-132.86673292777158</v>
      </c>
      <c r="R109" s="2">
        <f>IF(Tabelle2[[#This Row],[lulucf_forest_difference]]&gt;0,(Tabelle2[[#This Row],[correction]]*Tabelle2[[#This Row],[lulucf_lts_forest]]),(Tabelle2[[#This Row],[correction]]*Tabelle2[[#This Row],[lulucf_historical_forest]])+Tabelle2[[#This Row],[lulucf_forest_difference]])</f>
        <v>-171.65177589770727</v>
      </c>
      <c r="S109" s="2">
        <f>Tabelle2[[#This Row],[lulucf_lts_forest_direct]]+Tabelle2[[#This Row],[lulucf_lts_other]]</f>
        <v>-172.30236994095691</v>
      </c>
      <c r="T109" s="2">
        <f>Tabelle2[[#This Row],[lulucf_lts_total_direct]]-Tabelle2[[#This Row],[lulucf_historical_total_direct]]</f>
        <v>-39.435637013185328</v>
      </c>
    </row>
    <row r="110" spans="1:22" hidden="1" x14ac:dyDescent="0.25">
      <c r="A110" t="str">
        <f>planned_cdr_ltleds!A109</f>
        <v>EU27</v>
      </c>
      <c r="B110" t="str">
        <f>planned_cdr_ltleds!B109</f>
        <v>EU27</v>
      </c>
      <c r="C110" t="str">
        <f>planned_cdr_ltleds!C109</f>
        <v>No</v>
      </c>
      <c r="D110" t="str">
        <f>CONCATENATE(Tabelle2[[#This Row],[EU]],planned_cdr_ltleds!Q109)</f>
        <v>No</v>
      </c>
      <c r="E110" t="str">
        <f>CONCATENATE(Tabelle2[[#This Row],[EU]],planned_cdr_ltleds!R109)</f>
        <v>No</v>
      </c>
      <c r="F110" t="str">
        <f>planned_cdr_ltleds!S109</f>
        <v/>
      </c>
      <c r="G110">
        <f>-planned_cdr_ltleds!J109</f>
        <v>-258.39999999999998</v>
      </c>
      <c r="H110">
        <f>-planned_cdr_ltleds!K109</f>
        <v>-316.89999999999998</v>
      </c>
      <c r="I110">
        <f>VLOOKUP(Tabelle2[[#This Row],[iso]],current_cdr_nghgi!$B$2:$J$199,5,FALSE)</f>
        <v>-424.01376894356503</v>
      </c>
      <c r="J110">
        <f>VLOOKUP(Tabelle2[[#This Row],[iso]],current_cdr_nghgi!$B$2:$J$199,8,FALSE)</f>
        <v>-0.65059404324964498</v>
      </c>
      <c r="K110">
        <f>SUM(Tabelle2[[#This Row],[lulucf_historical_forest]:[lulucf_historical_other]])</f>
        <v>-424.66436298681469</v>
      </c>
      <c r="L110">
        <f>Tabelle2[[#This Row],[lulucf_lts]]-Tabelle2[[#This Row],[lulucf_lts_other]]</f>
        <v>-316.24940595675031</v>
      </c>
      <c r="M110">
        <f>Tabelle2[[#This Row],[lulucf_historical_other]]</f>
        <v>-0.65059404324964498</v>
      </c>
      <c r="N110">
        <f>Tabelle2[[#This Row],[lulucf_lts_forest]]-Tabelle2[[#This Row],[lulucf_historical_forest]]</f>
        <v>107.76436298681472</v>
      </c>
      <c r="O110">
        <f t="shared" si="3"/>
        <v>0.311820390205582</v>
      </c>
      <c r="P110">
        <f>Tabelle2[[#This Row],[correction]]*Tabelle2[[#This Row],[lulucf_historical_forest]]</f>
        <v>-132.21613888452194</v>
      </c>
      <c r="Q110">
        <f>Tabelle2[[#This Row],[lulucf_historical_forest_direct]]+Tabelle2[[#This Row],[lulucf_historical_other]]</f>
        <v>-132.86673292777158</v>
      </c>
      <c r="R110">
        <f>IF(Tabelle2[[#This Row],[lulucf_forest_difference]]&gt;0,(Tabelle2[[#This Row],[correction]]*Tabelle2[[#This Row],[lulucf_lts_forest]]),(Tabelle2[[#This Row],[correction]]*Tabelle2[[#This Row],[lulucf_historical_forest]])+Tabelle2[[#This Row],[lulucf_forest_difference]])</f>
        <v>-98.613013167717384</v>
      </c>
      <c r="S110" t="b">
        <f>IF(Tabelle2[[#This Row],[lulucf_forest_difference]]&lt;0,Tabelle2[[#This Row],[lulucf_lts]]-#REF!)</f>
        <v>0</v>
      </c>
      <c r="T110">
        <f>Tabelle2[[#This Row],[lulucf_lts_total_direct]]-Tabelle2[[#This Row],[lulucf_historical_total_direct]]</f>
        <v>132.86673292777158</v>
      </c>
    </row>
    <row r="111" spans="1:22" x14ac:dyDescent="0.25">
      <c r="A111" t="str">
        <f>planned_cdr_ltleds!A110</f>
        <v>EU27</v>
      </c>
      <c r="B111" t="str">
        <f>planned_cdr_ltleds!B110</f>
        <v>EU27</v>
      </c>
      <c r="C111" t="str">
        <f>planned_cdr_ltleds!C110</f>
        <v>No</v>
      </c>
      <c r="D111" t="str">
        <f>CONCATENATE(Tabelle2[[#This Row],[EU]],planned_cdr_ltleds!Q110)</f>
        <v>NoMAX</v>
      </c>
      <c r="E111" t="str">
        <f>CONCATENATE(Tabelle2[[#This Row],[EU]],planned_cdr_ltleds!R110)</f>
        <v>No</v>
      </c>
      <c r="F111" t="str">
        <f>planned_cdr_ltleds!S110</f>
        <v>MAX</v>
      </c>
      <c r="G111" s="2">
        <f>-planned_cdr_ltleds!J110</f>
        <v>-81.7</v>
      </c>
      <c r="H111" s="2">
        <f>-planned_cdr_ltleds!K110</f>
        <v>-471.7</v>
      </c>
      <c r="I111" s="2">
        <f>VLOOKUP(Tabelle2[[#This Row],[iso]],current_cdr_nghgi!$B$2:$J$199,5,FALSE)</f>
        <v>-424.01376894356503</v>
      </c>
      <c r="J111" s="2">
        <f>VLOOKUP(Tabelle2[[#This Row],[iso]],current_cdr_nghgi!$B$2:$J$199,8,FALSE)</f>
        <v>-0.65059404324964498</v>
      </c>
      <c r="K111" s="2">
        <f>SUM(Tabelle2[[#This Row],[lulucf_historical_forest]:[lulucf_historical_other]])</f>
        <v>-424.66436298681469</v>
      </c>
      <c r="L111" s="2">
        <f>Tabelle2[[#This Row],[lulucf_lts]]-Tabelle2[[#This Row],[lulucf_lts_other]]</f>
        <v>-471.04940595675032</v>
      </c>
      <c r="M111" s="2">
        <f>IF(Tabelle2[[#This Row],[lulucf_historical_other]]&gt;Tabelle2[[#This Row],[lulucf_lts]],Tabelle2[[#This Row],[lulucf_historical_other]],Tabelle2[[#This Row],[lulucf_lts]])</f>
        <v>-0.65059404324964498</v>
      </c>
      <c r="N111" s="2">
        <f>Tabelle2[[#This Row],[lulucf_lts_forest]]-Tabelle2[[#This Row],[lulucf_historical_forest]]</f>
        <v>-47.035637013185294</v>
      </c>
      <c r="O111" s="2">
        <f t="shared" si="3"/>
        <v>0.311820390205582</v>
      </c>
      <c r="P111" s="2">
        <f>Tabelle2[[#This Row],[correction]]*Tabelle2[[#This Row],[lulucf_historical_forest]]</f>
        <v>-132.21613888452194</v>
      </c>
      <c r="Q111" s="2">
        <f>Tabelle2[[#This Row],[lulucf_historical_forest_direct]]+Tabelle2[[#This Row],[lulucf_historical_other]]</f>
        <v>-132.86673292777158</v>
      </c>
      <c r="R111" s="2">
        <f>IF(Tabelle2[[#This Row],[lulucf_forest_difference]]&gt;0,(Tabelle2[[#This Row],[correction]]*Tabelle2[[#This Row],[lulucf_lts_forest]]),(Tabelle2[[#This Row],[correction]]*Tabelle2[[#This Row],[lulucf_historical_forest]])+Tabelle2[[#This Row],[lulucf_forest_difference]])</f>
        <v>-179.25177589770723</v>
      </c>
      <c r="S111" s="2">
        <f>Tabelle2[[#This Row],[lulucf_lts_forest_direct]]+Tabelle2[[#This Row],[lulucf_lts_other]]</f>
        <v>-179.90236994095687</v>
      </c>
      <c r="T111" s="2">
        <f>Tabelle2[[#This Row],[lulucf_lts_total_direct]]-Tabelle2[[#This Row],[lulucf_historical_total_direct]]</f>
        <v>-47.035637013185294</v>
      </c>
      <c r="V111">
        <f>Tabelle2[[#This Row],[novel_lts]]/1000</f>
        <v>-8.1700000000000009E-2</v>
      </c>
    </row>
    <row r="112" spans="1:22" x14ac:dyDescent="0.25">
      <c r="V112" t="s">
        <v>873</v>
      </c>
    </row>
    <row r="113" spans="1:22" x14ac:dyDescent="0.25">
      <c r="A113" t="s">
        <v>648</v>
      </c>
      <c r="D113" t="s">
        <v>858</v>
      </c>
      <c r="G113">
        <f>SUMIF(Tabelle2[MAX],$D$113,Tabelle2[novel_lts])</f>
        <v>-951.7</v>
      </c>
      <c r="H113">
        <f>SUMIF(Tabelle2[MAX],D113,Tabelle2[lulucf_lts])</f>
        <v>-3773.311318</v>
      </c>
      <c r="I113">
        <f>SUMIF(Tabelle2[MAX],$D$113,Tabelle2[lulucf_historical_forest])</f>
        <v>-2630.9988051975824</v>
      </c>
      <c r="J113">
        <f>SUMIF(Tabelle2[MAX],$D$113,Tabelle2[lulucf_historical_other])</f>
        <v>-345.48280355042385</v>
      </c>
      <c r="K113">
        <f>SUM(I113:J113)</f>
        <v>-2976.4816087480062</v>
      </c>
      <c r="N113">
        <f>SUMIF(Tabelle2[MAX],$D$113,Tabelle2[lulucf_forest_difference])</f>
        <v>-796.82970925199379</v>
      </c>
      <c r="Q113">
        <f>SUMIF(Tabelle2[MAX],$D$113,Tabelle2[lulucf_historical_total_direct])</f>
        <v>-1165.881877617554</v>
      </c>
      <c r="S113">
        <f>SUMIF(Tabelle2[MAX],$D$113,Tabelle2[lulucf_lts_total_direct])</f>
        <v>-2026.8079257705926</v>
      </c>
      <c r="T113">
        <f>SUMIF(Tabelle2[MAX],$D$113,Tabelle2[lulucf_lts_additional])</f>
        <v>-860.92604815303866</v>
      </c>
      <c r="V113">
        <f>S113/Q113</f>
        <v>1.7384333393296378</v>
      </c>
    </row>
    <row r="114" spans="1:22" x14ac:dyDescent="0.25">
      <c r="A114" t="s">
        <v>648</v>
      </c>
      <c r="E114" t="s">
        <v>859</v>
      </c>
      <c r="G114">
        <f>SUMIF(Tabelle2[MIN],$E$114,Tabelle2[novel_lts])</f>
        <v>-704.4</v>
      </c>
      <c r="H114">
        <f>SUMIF(Tabelle2[MIN],E114,Tabelle2[lulucf_lts])</f>
        <v>-3738.5403179999998</v>
      </c>
      <c r="I114">
        <f>SUMIF(Tabelle2[MIN],$E$114,Tabelle2[lulucf_historical_forest])</f>
        <v>-2630.9988051975824</v>
      </c>
      <c r="J114">
        <f>SUMIF(Tabelle2[MIN],$E$114,Tabelle2[lulucf_historical_other])</f>
        <v>-345.48280355042385</v>
      </c>
      <c r="K114">
        <f>SUMIF(Tabelle2[MIN],$E$114,Tabelle2[lulucf_historical_total])</f>
        <v>-2976.4816087480058</v>
      </c>
      <c r="N114">
        <f>SUMIF(Tabelle2[MIN],$E$114,Tabelle2[lulucf_forest_difference])</f>
        <v>-762.53004578274692</v>
      </c>
      <c r="Q114">
        <f>SUMIF(Tabelle2[MIN],$E$114,Tabelle2[lulucf_historical_total_direct])</f>
        <v>-1165.881877617554</v>
      </c>
      <c r="S114">
        <f>SUMIF(Tabelle2[MIN],$E$114,Tabelle2[lulucf_lts_total_direct])</f>
        <v>-2002.3752066583502</v>
      </c>
      <c r="T114">
        <f>SUMIF(Tabelle2[MIN],$E$114,Tabelle2[lulucf_lts_additional])</f>
        <v>-836.49332904079654</v>
      </c>
      <c r="V114">
        <f>S114/Q114</f>
        <v>1.7174769117692663</v>
      </c>
    </row>
    <row r="116" spans="1:22" x14ac:dyDescent="0.25">
      <c r="A116" t="s">
        <v>860</v>
      </c>
      <c r="B116" t="s">
        <v>643</v>
      </c>
      <c r="I116">
        <f>VLOOKUP(B116,current_cdr_nghgi!$B$2:$J$199,5,FALSE)</f>
        <v>-7079.8210906897912</v>
      </c>
      <c r="J116">
        <f>VLOOKUP(B116,current_cdr_nghgi!$B$2:$J$199,8,FALSE)</f>
        <v>-802.66436432443436</v>
      </c>
      <c r="K116">
        <f>SUM(I116:J116)</f>
        <v>-7882.4854550142254</v>
      </c>
      <c r="L116">
        <f>K114/K116</f>
        <v>0.37760699029956335</v>
      </c>
      <c r="O116">
        <f>$Y$2</f>
        <v>0.311820390205582</v>
      </c>
      <c r="P116">
        <f>O116*I116</f>
        <v>-2207.6325750845999</v>
      </c>
      <c r="Q116">
        <f>P116+J116</f>
        <v>-3010.2969394090342</v>
      </c>
    </row>
    <row r="117" spans="1:22" x14ac:dyDescent="0.25">
      <c r="L117">
        <f>1-L116</f>
        <v>0.62239300970043665</v>
      </c>
    </row>
    <row r="118" spans="1:22" x14ac:dyDescent="0.25">
      <c r="S118" t="s">
        <v>868</v>
      </c>
      <c r="T118">
        <f>Q116+T113</f>
        <v>-3871.2229875620728</v>
      </c>
    </row>
    <row r="119" spans="1:22" x14ac:dyDescent="0.25">
      <c r="S119" t="s">
        <v>869</v>
      </c>
      <c r="T119">
        <f>Q116+T114</f>
        <v>-3846.7902684498308</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workbookViewId="0">
      <pane xSplit="1" ySplit="1" topLeftCell="B2" activePane="bottomRight" state="frozen"/>
      <selection pane="topRight" activeCell="B1" sqref="B1"/>
      <selection pane="bottomLeft" activeCell="A2" sqref="A2"/>
      <selection pane="bottomRight" activeCell="F201" sqref="F201"/>
    </sheetView>
  </sheetViews>
  <sheetFormatPr baseColWidth="10" defaultRowHeight="15" x14ac:dyDescent="0.25"/>
  <cols>
    <col min="4" max="4" width="15.5703125" bestFit="1" customWidth="1"/>
    <col min="5" max="5" width="12.85546875" bestFit="1" customWidth="1"/>
    <col min="6" max="6" width="12.85546875" customWidth="1"/>
    <col min="7" max="7" width="14.5703125" bestFit="1" customWidth="1"/>
    <col min="8" max="9" width="17" bestFit="1" customWidth="1"/>
    <col min="10" max="10" width="12.7109375" bestFit="1" customWidth="1"/>
  </cols>
  <sheetData>
    <row r="1" spans="1:10" x14ac:dyDescent="0.25">
      <c r="A1" t="s">
        <v>404</v>
      </c>
      <c r="B1" t="s">
        <v>457</v>
      </c>
      <c r="C1" t="s">
        <v>231</v>
      </c>
      <c r="D1" t="s">
        <v>458</v>
      </c>
      <c r="E1" t="s">
        <v>459</v>
      </c>
      <c r="F1" t="s">
        <v>646</v>
      </c>
      <c r="G1" t="s">
        <v>461</v>
      </c>
      <c r="H1" t="s">
        <v>462</v>
      </c>
      <c r="I1" t="s">
        <v>647</v>
      </c>
      <c r="J1" t="s">
        <v>460</v>
      </c>
    </row>
    <row r="2" spans="1:10" x14ac:dyDescent="0.25">
      <c r="A2" t="s">
        <v>251</v>
      </c>
      <c r="B2" s="5" t="s">
        <v>463</v>
      </c>
      <c r="C2" t="s">
        <v>403</v>
      </c>
      <c r="D2" s="3">
        <v>8.8888800000000003</v>
      </c>
      <c r="E2" s="3">
        <v>0.54218999999999995</v>
      </c>
      <c r="F2" s="3">
        <f>IF(E2&gt;0,0,E2)</f>
        <v>0</v>
      </c>
      <c r="G2" s="3">
        <v>0</v>
      </c>
      <c r="H2" s="3">
        <v>1.7763568394002501E-15</v>
      </c>
      <c r="I2" s="3">
        <f>IF(H2&gt;0,0,H2)</f>
        <v>0</v>
      </c>
      <c r="J2" s="3">
        <v>9.4310700000000001</v>
      </c>
    </row>
    <row r="3" spans="1:10" x14ac:dyDescent="0.25">
      <c r="A3" t="s">
        <v>0</v>
      </c>
      <c r="B3" s="5" t="s">
        <v>464</v>
      </c>
      <c r="C3" t="s">
        <v>403</v>
      </c>
      <c r="D3" s="3">
        <v>4.1900000000000004</v>
      </c>
      <c r="E3" s="3">
        <v>-2.2000000000000002</v>
      </c>
      <c r="F3" s="3">
        <f t="shared" ref="F3:F66" si="0">IF(E3&gt;0,0,E3)</f>
        <v>-2.2000000000000002</v>
      </c>
      <c r="G3" s="3">
        <v>0</v>
      </c>
      <c r="H3" s="3">
        <v>4.4408920985006301E-17</v>
      </c>
      <c r="I3" s="3">
        <f t="shared" ref="I3:I66" si="1">IF(H3&gt;0,0,H3)</f>
        <v>0</v>
      </c>
      <c r="J3" s="3">
        <v>1.99</v>
      </c>
    </row>
    <row r="4" spans="1:10" x14ac:dyDescent="0.25">
      <c r="A4" t="s">
        <v>252</v>
      </c>
      <c r="B4" s="5" t="s">
        <v>465</v>
      </c>
      <c r="C4" t="s">
        <v>403</v>
      </c>
      <c r="D4" s="3">
        <v>0</v>
      </c>
      <c r="E4" s="3">
        <v>-8.1479999999999997</v>
      </c>
      <c r="F4" s="3">
        <f t="shared" si="0"/>
        <v>-8.1479999999999997</v>
      </c>
      <c r="G4" s="3">
        <v>0</v>
      </c>
      <c r="H4" s="3">
        <v>0</v>
      </c>
      <c r="I4" s="3">
        <f t="shared" si="1"/>
        <v>0</v>
      </c>
      <c r="J4" s="3">
        <v>-8.1479999999999997</v>
      </c>
    </row>
    <row r="5" spans="1:10" x14ac:dyDescent="0.25">
      <c r="A5" t="s">
        <v>253</v>
      </c>
      <c r="B5" s="5" t="s">
        <v>466</v>
      </c>
      <c r="C5" t="s">
        <v>403</v>
      </c>
      <c r="D5" s="3">
        <v>0</v>
      </c>
      <c r="E5" s="3">
        <v>0.135685</v>
      </c>
      <c r="F5" s="3">
        <f t="shared" si="0"/>
        <v>0</v>
      </c>
      <c r="G5" s="3">
        <v>0</v>
      </c>
      <c r="H5" s="3">
        <v>0</v>
      </c>
      <c r="I5" s="3">
        <f t="shared" si="1"/>
        <v>0</v>
      </c>
      <c r="J5" s="3">
        <v>0.135685</v>
      </c>
    </row>
    <row r="6" spans="1:10" x14ac:dyDescent="0.25">
      <c r="A6" t="s">
        <v>2</v>
      </c>
      <c r="B6" s="5" t="s">
        <v>467</v>
      </c>
      <c r="C6" t="s">
        <v>403</v>
      </c>
      <c r="D6" s="3">
        <v>63.4221237</v>
      </c>
      <c r="E6" s="3">
        <v>7</v>
      </c>
      <c r="F6" s="3">
        <f t="shared" si="0"/>
        <v>0</v>
      </c>
      <c r="G6" s="3">
        <v>0</v>
      </c>
      <c r="H6" s="3">
        <v>7.1054273576010003E-16</v>
      </c>
      <c r="I6" s="3">
        <f t="shared" si="1"/>
        <v>0</v>
      </c>
      <c r="J6" s="3">
        <v>70.4221237</v>
      </c>
    </row>
    <row r="7" spans="1:10" x14ac:dyDescent="0.25">
      <c r="A7" t="s">
        <v>254</v>
      </c>
      <c r="B7" s="5" t="s">
        <v>468</v>
      </c>
      <c r="C7" t="s">
        <v>403</v>
      </c>
      <c r="D7" s="3">
        <v>0</v>
      </c>
      <c r="E7" s="3">
        <v>-3.9573199999999996E-2</v>
      </c>
      <c r="F7" s="3">
        <f t="shared" si="0"/>
        <v>-3.9573199999999996E-2</v>
      </c>
      <c r="G7" s="3">
        <v>0</v>
      </c>
      <c r="H7" s="3">
        <v>0</v>
      </c>
      <c r="I7" s="3">
        <f t="shared" si="1"/>
        <v>0</v>
      </c>
      <c r="J7" s="3">
        <v>-3.9573199999999996E-2</v>
      </c>
    </row>
    <row r="8" spans="1:10" x14ac:dyDescent="0.25">
      <c r="A8" t="s">
        <v>255</v>
      </c>
      <c r="B8" s="5" t="s">
        <v>422</v>
      </c>
      <c r="C8" t="s">
        <v>403</v>
      </c>
      <c r="D8" s="3">
        <v>58.569276000000002</v>
      </c>
      <c r="E8" s="3">
        <v>-10.644</v>
      </c>
      <c r="F8" s="3">
        <f t="shared" si="0"/>
        <v>-10.644</v>
      </c>
      <c r="G8" s="3">
        <v>0</v>
      </c>
      <c r="H8" s="3">
        <v>5.1890000000000001</v>
      </c>
      <c r="I8" s="3">
        <f t="shared" si="1"/>
        <v>0</v>
      </c>
      <c r="J8" s="3">
        <v>53.114275999999997</v>
      </c>
    </row>
    <row r="9" spans="1:10" x14ac:dyDescent="0.25">
      <c r="A9" t="s">
        <v>256</v>
      </c>
      <c r="B9" s="5" t="s">
        <v>469</v>
      </c>
      <c r="C9" t="s">
        <v>403</v>
      </c>
      <c r="D9" s="3">
        <v>5.3719999999999997E-2</v>
      </c>
      <c r="E9" s="3">
        <v>-0.53973599999999999</v>
      </c>
      <c r="F9" s="3">
        <f t="shared" si="0"/>
        <v>-0.53973599999999999</v>
      </c>
      <c r="G9" s="3">
        <v>0</v>
      </c>
      <c r="H9" s="3">
        <v>-1.4674419999999999</v>
      </c>
      <c r="I9" s="3">
        <f t="shared" si="1"/>
        <v>-1.4674419999999999</v>
      </c>
      <c r="J9" s="3">
        <v>-1.9534579999999999</v>
      </c>
    </row>
    <row r="10" spans="1:10" x14ac:dyDescent="0.25">
      <c r="A10" t="s">
        <v>1</v>
      </c>
      <c r="B10" s="5" t="s">
        <v>470</v>
      </c>
      <c r="C10" t="s">
        <v>403</v>
      </c>
      <c r="D10" s="3">
        <v>46.000090200394304</v>
      </c>
      <c r="E10" s="3">
        <v>-68.728360264940903</v>
      </c>
      <c r="F10" s="3">
        <f t="shared" si="0"/>
        <v>-68.728360264940903</v>
      </c>
      <c r="G10" s="3">
        <v>0.234951449769667</v>
      </c>
      <c r="H10" s="3">
        <v>-7.0946254995583207</v>
      </c>
      <c r="I10" s="3">
        <f t="shared" si="1"/>
        <v>-7.0946254995583207</v>
      </c>
      <c r="J10" s="3">
        <v>-29.587944114335201</v>
      </c>
    </row>
    <row r="11" spans="1:10" x14ac:dyDescent="0.25">
      <c r="A11" t="s">
        <v>257</v>
      </c>
      <c r="B11" s="5" t="s">
        <v>471</v>
      </c>
      <c r="C11" t="s">
        <v>403</v>
      </c>
      <c r="D11" s="3">
        <v>0.51117424268934997</v>
      </c>
      <c r="E11" s="3">
        <v>-3.9916757526319504</v>
      </c>
      <c r="F11" s="3">
        <f t="shared" si="0"/>
        <v>-3.9916757526319504</v>
      </c>
      <c r="G11" s="3">
        <v>0.30410119520000001</v>
      </c>
      <c r="H11" s="3">
        <v>0.34819788430832904</v>
      </c>
      <c r="I11" s="3">
        <f t="shared" si="1"/>
        <v>0</v>
      </c>
      <c r="J11" s="3">
        <v>-2.8282024304342697</v>
      </c>
    </row>
    <row r="12" spans="1:10" x14ac:dyDescent="0.25">
      <c r="A12" t="s">
        <v>258</v>
      </c>
      <c r="B12" s="5" t="s">
        <v>472</v>
      </c>
      <c r="C12" t="s">
        <v>403</v>
      </c>
      <c r="D12" s="3">
        <v>0</v>
      </c>
      <c r="E12" s="3">
        <v>-3.3655119999999998</v>
      </c>
      <c r="F12" s="3">
        <f t="shared" si="0"/>
        <v>-3.3655119999999998</v>
      </c>
      <c r="G12" s="3">
        <v>0</v>
      </c>
      <c r="H12" s="3">
        <v>0</v>
      </c>
      <c r="I12" s="3">
        <f t="shared" si="1"/>
        <v>0</v>
      </c>
      <c r="J12" s="3">
        <v>-3.3655119999999998</v>
      </c>
    </row>
    <row r="13" spans="1:10" x14ac:dyDescent="0.25">
      <c r="A13" t="s">
        <v>259</v>
      </c>
      <c r="B13" s="5" t="s">
        <v>473</v>
      </c>
      <c r="C13" t="s">
        <v>403</v>
      </c>
      <c r="D13" s="3">
        <v>0</v>
      </c>
      <c r="E13" s="3">
        <v>-4.1596099999999998</v>
      </c>
      <c r="F13" s="3">
        <f t="shared" si="0"/>
        <v>-4.1596099999999998</v>
      </c>
      <c r="G13" s="3">
        <v>0</v>
      </c>
      <c r="H13" s="3">
        <v>0</v>
      </c>
      <c r="I13" s="3">
        <f t="shared" si="1"/>
        <v>0</v>
      </c>
      <c r="J13" s="3">
        <v>-4.1596099999999998</v>
      </c>
    </row>
    <row r="14" spans="1:10" x14ac:dyDescent="0.25">
      <c r="A14" t="s">
        <v>260</v>
      </c>
      <c r="B14" s="5" t="s">
        <v>474</v>
      </c>
      <c r="C14" t="s">
        <v>403</v>
      </c>
      <c r="D14" s="3">
        <v>0</v>
      </c>
      <c r="E14" s="3">
        <v>-1.9E-2</v>
      </c>
      <c r="F14" s="3">
        <f t="shared" si="0"/>
        <v>-1.9E-2</v>
      </c>
      <c r="G14" s="3">
        <v>0</v>
      </c>
      <c r="H14" s="3">
        <v>0</v>
      </c>
      <c r="I14" s="3">
        <f t="shared" si="1"/>
        <v>0</v>
      </c>
      <c r="J14" s="3">
        <v>-1.9E-2</v>
      </c>
    </row>
    <row r="15" spans="1:10" x14ac:dyDescent="0.25">
      <c r="A15" t="s">
        <v>4</v>
      </c>
      <c r="B15" s="5" t="s">
        <v>475</v>
      </c>
      <c r="C15" t="s">
        <v>403</v>
      </c>
      <c r="D15" s="3">
        <v>0.81985399999999997</v>
      </c>
      <c r="E15" s="3">
        <v>-0.44560100000000002</v>
      </c>
      <c r="F15" s="3">
        <f t="shared" si="0"/>
        <v>-0.44560100000000002</v>
      </c>
      <c r="G15" s="3">
        <v>0</v>
      </c>
      <c r="H15" s="3">
        <v>0</v>
      </c>
      <c r="I15" s="3">
        <f t="shared" si="1"/>
        <v>0</v>
      </c>
      <c r="J15" s="3">
        <v>0.374253</v>
      </c>
    </row>
    <row r="16" spans="1:10" x14ac:dyDescent="0.25">
      <c r="A16" t="s">
        <v>261</v>
      </c>
      <c r="B16" s="5" t="s">
        <v>476</v>
      </c>
      <c r="C16" t="s">
        <v>403</v>
      </c>
      <c r="D16" s="3">
        <v>0</v>
      </c>
      <c r="E16" s="3">
        <v>-5.5E-2</v>
      </c>
      <c r="F16" s="3">
        <f t="shared" si="0"/>
        <v>-5.5E-2</v>
      </c>
      <c r="G16" s="3">
        <v>0</v>
      </c>
      <c r="H16" s="3">
        <v>0</v>
      </c>
      <c r="I16" s="3">
        <f t="shared" si="1"/>
        <v>0</v>
      </c>
      <c r="J16" s="3">
        <v>-5.5E-2</v>
      </c>
    </row>
    <row r="17" spans="1:10" x14ac:dyDescent="0.25">
      <c r="A17" t="s">
        <v>262</v>
      </c>
      <c r="B17" s="5" t="s">
        <v>477</v>
      </c>
      <c r="C17" t="s">
        <v>403</v>
      </c>
      <c r="D17" s="3">
        <v>-2.6044072999999996</v>
      </c>
      <c r="E17" s="3">
        <v>-55.567634355047097</v>
      </c>
      <c r="F17" s="3">
        <f t="shared" si="0"/>
        <v>-55.567634355047097</v>
      </c>
      <c r="G17" s="3">
        <v>18.784963999999999</v>
      </c>
      <c r="H17" s="3">
        <v>-2.14074840106665</v>
      </c>
      <c r="I17" s="3">
        <f t="shared" si="1"/>
        <v>-2.14074840106665</v>
      </c>
      <c r="J17" s="3">
        <v>-41.527826056113696</v>
      </c>
    </row>
    <row r="18" spans="1:10" x14ac:dyDescent="0.25">
      <c r="A18" t="s">
        <v>263</v>
      </c>
      <c r="B18" s="5" t="s">
        <v>478</v>
      </c>
      <c r="C18" t="s">
        <v>403</v>
      </c>
      <c r="D18" s="3">
        <v>0.66758936960064796</v>
      </c>
      <c r="E18" s="3">
        <v>-2.0718348864571801</v>
      </c>
      <c r="F18" s="3">
        <f t="shared" si="0"/>
        <v>-2.0718348864571801</v>
      </c>
      <c r="G18" s="3">
        <v>7.5322500000000001E-2</v>
      </c>
      <c r="H18" s="3">
        <v>0.61165227576206693</v>
      </c>
      <c r="I18" s="3">
        <f t="shared" si="1"/>
        <v>0</v>
      </c>
      <c r="J18" s="3">
        <v>-0.71727074109446898</v>
      </c>
    </row>
    <row r="19" spans="1:10" x14ac:dyDescent="0.25">
      <c r="A19" t="s">
        <v>6</v>
      </c>
      <c r="B19" s="5" t="s">
        <v>427</v>
      </c>
      <c r="C19" t="s">
        <v>403</v>
      </c>
      <c r="D19" s="3">
        <v>3.4256424000000001</v>
      </c>
      <c r="E19" s="3">
        <v>-11.9270171</v>
      </c>
      <c r="F19" s="3">
        <f t="shared" si="0"/>
        <v>-11.9270171</v>
      </c>
      <c r="G19" s="3">
        <v>0</v>
      </c>
      <c r="H19" s="3">
        <v>1.5333961999999999</v>
      </c>
      <c r="I19" s="3">
        <f t="shared" si="1"/>
        <v>0</v>
      </c>
      <c r="J19" s="3">
        <v>-6.9679785000000001</v>
      </c>
    </row>
    <row r="20" spans="1:10" x14ac:dyDescent="0.25">
      <c r="A20" t="s">
        <v>264</v>
      </c>
      <c r="B20" s="5" t="s">
        <v>479</v>
      </c>
      <c r="C20" t="s">
        <v>403</v>
      </c>
      <c r="D20" s="3">
        <v>14.060199000000001</v>
      </c>
      <c r="E20" s="3">
        <v>-22.688700000000001</v>
      </c>
      <c r="F20" s="3">
        <f t="shared" si="0"/>
        <v>-22.688700000000001</v>
      </c>
      <c r="G20" s="3">
        <v>0</v>
      </c>
      <c r="H20" s="3">
        <v>4.6963210000000002</v>
      </c>
      <c r="I20" s="3">
        <f t="shared" si="1"/>
        <v>0</v>
      </c>
      <c r="J20" s="3">
        <v>-3.9321799999999998</v>
      </c>
    </row>
    <row r="21" spans="1:10" x14ac:dyDescent="0.25">
      <c r="A21" t="s">
        <v>265</v>
      </c>
      <c r="B21" s="5" t="s">
        <v>480</v>
      </c>
      <c r="C21" t="s">
        <v>403</v>
      </c>
      <c r="D21" s="3">
        <v>0.20095299999999999</v>
      </c>
      <c r="E21" s="3">
        <v>-8.0626209000000006</v>
      </c>
      <c r="F21" s="3">
        <f t="shared" si="0"/>
        <v>-8.0626209000000006</v>
      </c>
      <c r="G21" s="3">
        <v>0</v>
      </c>
      <c r="H21" s="3">
        <v>2.5535129566378598E-16</v>
      </c>
      <c r="I21" s="3">
        <f t="shared" si="1"/>
        <v>0</v>
      </c>
      <c r="J21" s="3">
        <v>-7.8616679000000005</v>
      </c>
    </row>
    <row r="22" spans="1:10" x14ac:dyDescent="0.25">
      <c r="A22" t="s">
        <v>266</v>
      </c>
      <c r="B22" s="5" t="s">
        <v>481</v>
      </c>
      <c r="C22" t="s">
        <v>403</v>
      </c>
      <c r="D22" s="3">
        <v>28.236999999999998</v>
      </c>
      <c r="E22" s="3">
        <v>9.8209999999999997</v>
      </c>
      <c r="F22" s="3">
        <f t="shared" si="0"/>
        <v>0</v>
      </c>
      <c r="G22" s="3">
        <v>0</v>
      </c>
      <c r="H22" s="3">
        <v>-1.9219999999999899</v>
      </c>
      <c r="I22" s="3">
        <f t="shared" si="1"/>
        <v>-1.9219999999999899</v>
      </c>
      <c r="J22" s="3">
        <v>36.136000000000003</v>
      </c>
    </row>
    <row r="23" spans="1:10" x14ac:dyDescent="0.25">
      <c r="A23" t="s">
        <v>267</v>
      </c>
      <c r="B23" s="5" t="s">
        <v>482</v>
      </c>
      <c r="C23" t="s">
        <v>403</v>
      </c>
      <c r="D23" s="3">
        <v>0</v>
      </c>
      <c r="E23" s="3">
        <v>-6.4376340000000001</v>
      </c>
      <c r="F23" s="3">
        <f t="shared" si="0"/>
        <v>-6.4376340000000001</v>
      </c>
      <c r="G23" s="3">
        <v>0</v>
      </c>
      <c r="H23" s="3">
        <v>0</v>
      </c>
      <c r="I23" s="3">
        <f t="shared" si="1"/>
        <v>0</v>
      </c>
      <c r="J23" s="3">
        <v>-6.4376340000000001</v>
      </c>
    </row>
    <row r="24" spans="1:10" x14ac:dyDescent="0.25">
      <c r="A24" t="s">
        <v>268</v>
      </c>
      <c r="B24" s="5" t="s">
        <v>483</v>
      </c>
      <c r="C24" t="s">
        <v>403</v>
      </c>
      <c r="D24" s="3">
        <v>15.198</v>
      </c>
      <c r="E24" s="3">
        <v>-18.018999999999998</v>
      </c>
      <c r="F24" s="3">
        <f t="shared" si="0"/>
        <v>-18.018999999999998</v>
      </c>
      <c r="G24" s="3">
        <v>0</v>
      </c>
      <c r="H24" s="3">
        <v>-1.7763568394002501E-15</v>
      </c>
      <c r="I24" s="3">
        <f t="shared" si="1"/>
        <v>-1.7763568394002501E-15</v>
      </c>
      <c r="J24" s="3">
        <v>-2.8210000000000002</v>
      </c>
    </row>
    <row r="25" spans="1:10" x14ac:dyDescent="0.25">
      <c r="A25" t="s">
        <v>269</v>
      </c>
      <c r="B25" s="5" t="s">
        <v>484</v>
      </c>
      <c r="C25" t="s">
        <v>403</v>
      </c>
      <c r="D25" s="3">
        <v>719.01909999999998</v>
      </c>
      <c r="E25" s="3">
        <v>-398.7912</v>
      </c>
      <c r="F25" s="3">
        <f t="shared" si="0"/>
        <v>-398.7912</v>
      </c>
      <c r="G25" s="3">
        <v>0</v>
      </c>
      <c r="H25" s="3">
        <v>-1.63139999999999</v>
      </c>
      <c r="I25" s="3">
        <f t="shared" si="1"/>
        <v>-1.63139999999999</v>
      </c>
      <c r="J25" s="3">
        <v>318.59649999999999</v>
      </c>
    </row>
    <row r="26" spans="1:10" x14ac:dyDescent="0.25">
      <c r="A26" t="s">
        <v>270</v>
      </c>
      <c r="B26" s="5" t="s">
        <v>485</v>
      </c>
      <c r="C26" t="s">
        <v>403</v>
      </c>
      <c r="D26" s="3">
        <v>0.16020000000000001</v>
      </c>
      <c r="E26" s="3">
        <v>-2.8283659999999999</v>
      </c>
      <c r="F26" s="3">
        <f t="shared" si="0"/>
        <v>-2.8283659999999999</v>
      </c>
      <c r="G26" s="3">
        <v>0</v>
      </c>
      <c r="H26" s="3">
        <v>5.5511151231257799E-18</v>
      </c>
      <c r="I26" s="3">
        <f t="shared" si="1"/>
        <v>0</v>
      </c>
      <c r="J26" s="3">
        <v>-2.6681659999999998</v>
      </c>
    </row>
    <row r="27" spans="1:10" x14ac:dyDescent="0.25">
      <c r="A27" t="s">
        <v>271</v>
      </c>
      <c r="B27" s="5" t="s">
        <v>486</v>
      </c>
      <c r="C27" t="s">
        <v>403</v>
      </c>
      <c r="D27" s="3">
        <v>0.134891326469749</v>
      </c>
      <c r="E27" s="3">
        <v>-9.2374853211758907</v>
      </c>
      <c r="F27" s="3">
        <f t="shared" si="0"/>
        <v>-9.2374853211758907</v>
      </c>
      <c r="G27" s="3">
        <v>8.0627301700000001E-2</v>
      </c>
      <c r="H27" s="3">
        <v>-0.328656476337776</v>
      </c>
      <c r="I27" s="3">
        <f t="shared" si="1"/>
        <v>-0.328656476337776</v>
      </c>
      <c r="J27" s="3">
        <v>-9.3506231693439208</v>
      </c>
    </row>
    <row r="28" spans="1:10" x14ac:dyDescent="0.25">
      <c r="A28" t="s">
        <v>8</v>
      </c>
      <c r="B28" s="5" t="s">
        <v>487</v>
      </c>
      <c r="C28" t="s">
        <v>403</v>
      </c>
      <c r="D28" s="3">
        <v>8.4186999999999994</v>
      </c>
      <c r="E28" s="3">
        <v>33.199399999999997</v>
      </c>
      <c r="F28" s="3">
        <f t="shared" si="0"/>
        <v>0</v>
      </c>
      <c r="G28" s="3">
        <v>0</v>
      </c>
      <c r="H28" s="3">
        <v>5.3290705182007502E-16</v>
      </c>
      <c r="I28" s="3">
        <f t="shared" si="1"/>
        <v>0</v>
      </c>
      <c r="J28" s="3">
        <v>41.618099999999998</v>
      </c>
    </row>
    <row r="29" spans="1:10" x14ac:dyDescent="0.25">
      <c r="A29" t="s">
        <v>10</v>
      </c>
      <c r="B29" s="5" t="s">
        <v>488</v>
      </c>
      <c r="C29" t="s">
        <v>403</v>
      </c>
      <c r="D29" s="3">
        <v>0</v>
      </c>
      <c r="E29" s="3">
        <v>-0.95479999999999998</v>
      </c>
      <c r="F29" s="3">
        <f t="shared" si="0"/>
        <v>-0.95479999999999998</v>
      </c>
      <c r="G29" s="3">
        <v>0</v>
      </c>
      <c r="H29" s="3">
        <v>0</v>
      </c>
      <c r="I29" s="3">
        <f t="shared" si="1"/>
        <v>0</v>
      </c>
      <c r="J29" s="3">
        <v>-0.95479999999999998</v>
      </c>
    </row>
    <row r="30" spans="1:10" x14ac:dyDescent="0.25">
      <c r="A30" t="s">
        <v>12</v>
      </c>
      <c r="B30" s="5" t="s">
        <v>489</v>
      </c>
      <c r="C30" t="s">
        <v>403</v>
      </c>
      <c r="D30" s="3">
        <v>53.1812787</v>
      </c>
      <c r="E30" s="3">
        <v>-0.24457879999999999</v>
      </c>
      <c r="F30" s="3">
        <f t="shared" si="0"/>
        <v>-0.24457879999999999</v>
      </c>
      <c r="G30" s="3">
        <v>0</v>
      </c>
      <c r="H30" s="3">
        <v>-3.5527136788005001E-15</v>
      </c>
      <c r="I30" s="3">
        <f t="shared" si="1"/>
        <v>-3.5527136788005001E-15</v>
      </c>
      <c r="J30" s="3">
        <v>52.936699900000001</v>
      </c>
    </row>
    <row r="31" spans="1:10" x14ac:dyDescent="0.25">
      <c r="A31" t="s">
        <v>14</v>
      </c>
      <c r="B31" s="5" t="s">
        <v>490</v>
      </c>
      <c r="C31" t="s">
        <v>403</v>
      </c>
      <c r="D31" s="3">
        <v>21.234000000000002</v>
      </c>
      <c r="E31" s="3">
        <v>-107.672</v>
      </c>
      <c r="F31" s="3">
        <f t="shared" si="0"/>
        <v>-107.672</v>
      </c>
      <c r="G31" s="3">
        <v>0</v>
      </c>
      <c r="H31" s="3">
        <v>9.8359999999999914</v>
      </c>
      <c r="I31" s="3">
        <f t="shared" si="1"/>
        <v>0</v>
      </c>
      <c r="J31" s="3">
        <v>-76.602000000000004</v>
      </c>
    </row>
    <row r="32" spans="1:10" x14ac:dyDescent="0.25">
      <c r="A32" t="s">
        <v>3</v>
      </c>
      <c r="B32" s="5" t="s">
        <v>414</v>
      </c>
      <c r="C32" t="s">
        <v>403</v>
      </c>
      <c r="D32" s="3">
        <v>7.1453992030881404</v>
      </c>
      <c r="E32" s="3">
        <v>-1.89074803968538</v>
      </c>
      <c r="F32" s="3">
        <f t="shared" si="0"/>
        <v>-1.89074803968538</v>
      </c>
      <c r="G32" s="3">
        <v>0.29612293326</v>
      </c>
      <c r="H32" s="3">
        <v>-21.936716568903201</v>
      </c>
      <c r="I32" s="3">
        <f t="shared" si="1"/>
        <v>-21.936716568903201</v>
      </c>
      <c r="J32" s="3">
        <v>-16.385942472240398</v>
      </c>
    </row>
    <row r="33" spans="1:10" x14ac:dyDescent="0.25">
      <c r="A33" t="s">
        <v>16</v>
      </c>
      <c r="B33" s="5" t="s">
        <v>491</v>
      </c>
      <c r="C33" t="s">
        <v>403</v>
      </c>
      <c r="D33" s="3">
        <v>0</v>
      </c>
      <c r="E33" s="3">
        <v>-0.23599999999999999</v>
      </c>
      <c r="F33" s="3">
        <f t="shared" si="0"/>
        <v>-0.23599999999999999</v>
      </c>
      <c r="G33" s="3">
        <v>0</v>
      </c>
      <c r="H33" s="3">
        <v>0</v>
      </c>
      <c r="I33" s="3">
        <f t="shared" si="1"/>
        <v>0</v>
      </c>
      <c r="J33" s="3">
        <v>-0.23599999999999999</v>
      </c>
    </row>
    <row r="34" spans="1:10" x14ac:dyDescent="0.25">
      <c r="A34" t="s">
        <v>272</v>
      </c>
      <c r="B34" s="5" t="s">
        <v>492</v>
      </c>
      <c r="C34" t="s">
        <v>403</v>
      </c>
      <c r="D34" s="3">
        <v>104.029</v>
      </c>
      <c r="E34" s="3">
        <v>-333</v>
      </c>
      <c r="F34" s="3">
        <f t="shared" si="0"/>
        <v>-333</v>
      </c>
      <c r="G34" s="3">
        <v>0</v>
      </c>
      <c r="H34" s="3">
        <v>0</v>
      </c>
      <c r="I34" s="3">
        <f t="shared" si="1"/>
        <v>0</v>
      </c>
      <c r="J34" s="3">
        <v>-228.971</v>
      </c>
    </row>
    <row r="35" spans="1:10" x14ac:dyDescent="0.25">
      <c r="A35" t="s">
        <v>17</v>
      </c>
      <c r="B35" s="5" t="s">
        <v>493</v>
      </c>
      <c r="C35" t="s">
        <v>403</v>
      </c>
      <c r="D35" s="3">
        <v>0</v>
      </c>
      <c r="E35" s="3">
        <v>-2.21895</v>
      </c>
      <c r="F35" s="3">
        <f t="shared" si="0"/>
        <v>-2.21895</v>
      </c>
      <c r="G35" s="3">
        <v>0</v>
      </c>
      <c r="H35" s="3">
        <v>0</v>
      </c>
      <c r="I35" s="3">
        <f t="shared" si="1"/>
        <v>0</v>
      </c>
      <c r="J35" s="3">
        <v>-2.21895</v>
      </c>
    </row>
    <row r="36" spans="1:10" x14ac:dyDescent="0.25">
      <c r="A36" t="s">
        <v>18</v>
      </c>
      <c r="B36" s="5" t="s">
        <v>494</v>
      </c>
      <c r="C36" t="s">
        <v>403</v>
      </c>
      <c r="D36" s="3">
        <v>2.5674000000000001</v>
      </c>
      <c r="E36" s="3">
        <v>-66.099999999999994</v>
      </c>
      <c r="F36" s="3">
        <f t="shared" si="0"/>
        <v>-66.099999999999994</v>
      </c>
      <c r="G36" s="3">
        <v>0</v>
      </c>
      <c r="H36" s="3">
        <v>-0.193159999999998</v>
      </c>
      <c r="I36" s="3">
        <f t="shared" si="1"/>
        <v>-0.193159999999998</v>
      </c>
      <c r="J36" s="3">
        <v>-63.725760000000001</v>
      </c>
    </row>
    <row r="37" spans="1:10" x14ac:dyDescent="0.25">
      <c r="A37" t="s">
        <v>273</v>
      </c>
      <c r="B37" s="5" t="s">
        <v>495</v>
      </c>
      <c r="C37" t="s">
        <v>403</v>
      </c>
      <c r="D37" s="3">
        <v>0</v>
      </c>
      <c r="E37" s="3">
        <v>-851.58242886846097</v>
      </c>
      <c r="F37" s="3">
        <f t="shared" si="0"/>
        <v>-851.58242886846097</v>
      </c>
      <c r="G37" s="3">
        <v>0</v>
      </c>
      <c r="H37" s="3">
        <v>-178.286</v>
      </c>
      <c r="I37" s="3">
        <f t="shared" si="1"/>
        <v>-178.286</v>
      </c>
      <c r="J37" s="3">
        <v>-1029.8684288684601</v>
      </c>
    </row>
    <row r="38" spans="1:10" x14ac:dyDescent="0.25">
      <c r="A38" t="s">
        <v>19</v>
      </c>
      <c r="B38" s="5" t="s">
        <v>496</v>
      </c>
      <c r="C38" t="s">
        <v>403</v>
      </c>
      <c r="D38" s="3">
        <v>52.458799999999997</v>
      </c>
      <c r="E38" s="3">
        <v>32.318351999999997</v>
      </c>
      <c r="F38" s="3">
        <f t="shared" si="0"/>
        <v>0</v>
      </c>
      <c r="G38" s="3">
        <v>0</v>
      </c>
      <c r="H38" s="3">
        <v>-1.3848499999999999</v>
      </c>
      <c r="I38" s="3">
        <f t="shared" si="1"/>
        <v>-1.3848499999999999</v>
      </c>
      <c r="J38" s="3">
        <v>83.392302000000001</v>
      </c>
    </row>
    <row r="39" spans="1:10" x14ac:dyDescent="0.25">
      <c r="A39" t="s">
        <v>20</v>
      </c>
      <c r="B39" s="5" t="s">
        <v>497</v>
      </c>
      <c r="C39" t="s">
        <v>403</v>
      </c>
      <c r="D39" s="3">
        <v>0</v>
      </c>
      <c r="E39" s="3">
        <v>-1.97</v>
      </c>
      <c r="F39" s="3">
        <f t="shared" si="0"/>
        <v>-1.97</v>
      </c>
      <c r="G39" s="3">
        <v>0</v>
      </c>
      <c r="H39" s="3">
        <v>0</v>
      </c>
      <c r="I39" s="3">
        <f t="shared" si="1"/>
        <v>0</v>
      </c>
      <c r="J39" s="3">
        <v>-1.97</v>
      </c>
    </row>
    <row r="40" spans="1:10" x14ac:dyDescent="0.25">
      <c r="A40" t="s">
        <v>21</v>
      </c>
      <c r="B40" s="5" t="s">
        <v>498</v>
      </c>
      <c r="C40" t="s">
        <v>403</v>
      </c>
      <c r="D40" s="3">
        <v>3.0283000000000002</v>
      </c>
      <c r="E40" s="3">
        <v>-27.767499999999998</v>
      </c>
      <c r="F40" s="3">
        <f t="shared" si="0"/>
        <v>-27.767499999999998</v>
      </c>
      <c r="G40" s="3">
        <v>0</v>
      </c>
      <c r="H40" s="3">
        <v>-2.66453525910038E-16</v>
      </c>
      <c r="I40" s="3">
        <f t="shared" si="1"/>
        <v>-2.66453525910038E-16</v>
      </c>
      <c r="J40" s="3">
        <v>-24.7392</v>
      </c>
    </row>
    <row r="41" spans="1:10" x14ac:dyDescent="0.25">
      <c r="A41" t="s">
        <v>274</v>
      </c>
      <c r="B41" s="5" t="s">
        <v>499</v>
      </c>
      <c r="C41" t="s">
        <v>403</v>
      </c>
      <c r="D41" s="3">
        <v>0</v>
      </c>
      <c r="E41" s="3">
        <v>-0.16500000000000001</v>
      </c>
      <c r="F41" s="3">
        <f t="shared" si="0"/>
        <v>-0.16500000000000001</v>
      </c>
      <c r="G41" s="3">
        <v>0</v>
      </c>
      <c r="H41" s="3">
        <v>0</v>
      </c>
      <c r="I41" s="3">
        <f t="shared" si="1"/>
        <v>0</v>
      </c>
      <c r="J41" s="3">
        <v>-0.16500000000000001</v>
      </c>
    </row>
    <row r="42" spans="1:10" x14ac:dyDescent="0.25">
      <c r="A42" t="s">
        <v>275</v>
      </c>
      <c r="B42" s="5" t="s">
        <v>500</v>
      </c>
      <c r="C42" t="s">
        <v>403</v>
      </c>
      <c r="D42" s="3">
        <v>4.4000000000000004</v>
      </c>
      <c r="E42" s="3">
        <v>-4.5999999999999996</v>
      </c>
      <c r="F42" s="3">
        <f t="shared" si="0"/>
        <v>-4.5999999999999996</v>
      </c>
      <c r="G42" s="3">
        <v>0</v>
      </c>
      <c r="H42" s="3">
        <v>-3.1025E-2</v>
      </c>
      <c r="I42" s="3">
        <f t="shared" si="1"/>
        <v>-3.1025E-2</v>
      </c>
      <c r="J42" s="3">
        <v>-0.23102500000000001</v>
      </c>
    </row>
    <row r="43" spans="1:10" x14ac:dyDescent="0.25">
      <c r="A43" t="s">
        <v>276</v>
      </c>
      <c r="B43" s="5" t="s">
        <v>501</v>
      </c>
      <c r="C43" t="s">
        <v>403</v>
      </c>
      <c r="D43" s="3">
        <v>41.403705000000002</v>
      </c>
      <c r="E43" s="3">
        <v>-19.947445899999998</v>
      </c>
      <c r="F43" s="3">
        <f t="shared" si="0"/>
        <v>-19.947445899999998</v>
      </c>
      <c r="G43" s="3">
        <v>0</v>
      </c>
      <c r="H43" s="3">
        <v>0</v>
      </c>
      <c r="I43" s="3">
        <f t="shared" si="1"/>
        <v>0</v>
      </c>
      <c r="J43" s="3">
        <v>21.4562591</v>
      </c>
    </row>
    <row r="44" spans="1:10" x14ac:dyDescent="0.25">
      <c r="A44" t="s">
        <v>277</v>
      </c>
      <c r="B44" s="5" t="s">
        <v>502</v>
      </c>
      <c r="C44" t="s">
        <v>403</v>
      </c>
      <c r="D44" s="3">
        <v>3.5859642172298999E-2</v>
      </c>
      <c r="E44" s="3">
        <v>-6.48619422819477</v>
      </c>
      <c r="F44" s="3">
        <f t="shared" si="0"/>
        <v>-6.48619422819477</v>
      </c>
      <c r="G44" s="3">
        <v>9.2259473908326992E-2</v>
      </c>
      <c r="H44" s="3">
        <v>0.80688894759768404</v>
      </c>
      <c r="I44" s="3">
        <f t="shared" si="1"/>
        <v>0</v>
      </c>
      <c r="J44" s="3">
        <v>-5.5511861645164604</v>
      </c>
    </row>
    <row r="45" spans="1:10" x14ac:dyDescent="0.25">
      <c r="A45" t="s">
        <v>22</v>
      </c>
      <c r="B45" s="5" t="s">
        <v>503</v>
      </c>
      <c r="C45" t="s">
        <v>403</v>
      </c>
      <c r="D45" s="3">
        <v>0</v>
      </c>
      <c r="E45" s="3">
        <v>-25.609660000000002</v>
      </c>
      <c r="F45" s="3">
        <f t="shared" si="0"/>
        <v>-25.609660000000002</v>
      </c>
      <c r="G45" s="3">
        <v>0</v>
      </c>
      <c r="H45" s="3">
        <v>3.7400000000019401E-3</v>
      </c>
      <c r="I45" s="3">
        <f t="shared" si="1"/>
        <v>0</v>
      </c>
      <c r="J45" s="3">
        <v>-25.605920000000001</v>
      </c>
    </row>
    <row r="46" spans="1:10" x14ac:dyDescent="0.25">
      <c r="A46" t="s">
        <v>278</v>
      </c>
      <c r="B46" s="5" t="s">
        <v>504</v>
      </c>
      <c r="C46" t="s">
        <v>403</v>
      </c>
      <c r="D46" s="3">
        <v>9.9167724035443606E-4</v>
      </c>
      <c r="E46" s="3">
        <v>-7.4332269827944303E-2</v>
      </c>
      <c r="F46" s="3">
        <f t="shared" si="0"/>
        <v>-7.4332269827944303E-2</v>
      </c>
      <c r="G46" s="3">
        <v>0</v>
      </c>
      <c r="H46" s="3">
        <v>-0.24101510737414999</v>
      </c>
      <c r="I46" s="3">
        <f t="shared" si="1"/>
        <v>-0.24101510737414999</v>
      </c>
      <c r="J46" s="3">
        <v>-0.31435569996173901</v>
      </c>
    </row>
    <row r="47" spans="1:10" x14ac:dyDescent="0.25">
      <c r="A47" t="s">
        <v>279</v>
      </c>
      <c r="B47" s="5" t="s">
        <v>505</v>
      </c>
      <c r="C47" t="s">
        <v>403</v>
      </c>
      <c r="D47" s="3">
        <v>0.201726012650468</v>
      </c>
      <c r="E47" s="3">
        <v>-2.1466507365620702</v>
      </c>
      <c r="F47" s="3">
        <f t="shared" si="0"/>
        <v>-2.1466507365620702</v>
      </c>
      <c r="G47" s="3">
        <v>0</v>
      </c>
      <c r="H47" s="3">
        <v>-0.358231313749238</v>
      </c>
      <c r="I47" s="3">
        <f t="shared" si="1"/>
        <v>-0.358231313749238</v>
      </c>
      <c r="J47" s="3">
        <v>-2.3031560376608398</v>
      </c>
    </row>
    <row r="48" spans="1:10" x14ac:dyDescent="0.25">
      <c r="A48" t="s">
        <v>281</v>
      </c>
      <c r="B48" s="5" t="s">
        <v>506</v>
      </c>
      <c r="C48" t="s">
        <v>403</v>
      </c>
      <c r="D48" s="3">
        <v>649.75</v>
      </c>
      <c r="E48" s="3">
        <v>-459.96611000000001</v>
      </c>
      <c r="F48" s="3">
        <f t="shared" si="0"/>
        <v>-459.96611000000001</v>
      </c>
      <c r="G48" s="3">
        <v>0</v>
      </c>
      <c r="H48" s="3">
        <v>0</v>
      </c>
      <c r="I48" s="3">
        <f t="shared" si="1"/>
        <v>0</v>
      </c>
      <c r="J48" s="3">
        <v>189.78389000000001</v>
      </c>
    </row>
    <row r="49" spans="1:10" x14ac:dyDescent="0.25">
      <c r="A49" t="s">
        <v>280</v>
      </c>
      <c r="B49" s="5" t="s">
        <v>507</v>
      </c>
      <c r="C49" t="s">
        <v>403</v>
      </c>
      <c r="D49" s="3">
        <v>2.3029999999999999</v>
      </c>
      <c r="E49" s="3">
        <v>-19.309000000000001</v>
      </c>
      <c r="F49" s="3">
        <f t="shared" si="0"/>
        <v>-19.309000000000001</v>
      </c>
      <c r="G49" s="3">
        <v>0</v>
      </c>
      <c r="H49" s="3">
        <v>8.8817841970012504E-16</v>
      </c>
      <c r="I49" s="3">
        <f t="shared" si="1"/>
        <v>0</v>
      </c>
      <c r="J49" s="3">
        <v>-17.006</v>
      </c>
    </row>
    <row r="50" spans="1:10" x14ac:dyDescent="0.25">
      <c r="A50" t="s">
        <v>282</v>
      </c>
      <c r="B50" s="5" t="s">
        <v>508</v>
      </c>
      <c r="C50" t="s">
        <v>403</v>
      </c>
      <c r="D50" s="3">
        <v>0.11218523372512799</v>
      </c>
      <c r="E50" s="3">
        <v>-3.3803776746134102</v>
      </c>
      <c r="F50" s="3">
        <f t="shared" si="0"/>
        <v>-3.3803776746134102</v>
      </c>
      <c r="G50" s="3">
        <v>4.7308520735104906</v>
      </c>
      <c r="H50" s="3">
        <v>0.34915881623668898</v>
      </c>
      <c r="I50" s="3">
        <f t="shared" si="1"/>
        <v>0</v>
      </c>
      <c r="J50" s="3">
        <v>1.81181844885889</v>
      </c>
    </row>
    <row r="51" spans="1:10" x14ac:dyDescent="0.25">
      <c r="A51" t="s">
        <v>283</v>
      </c>
      <c r="B51" s="5" t="s">
        <v>509</v>
      </c>
      <c r="C51" t="s">
        <v>403</v>
      </c>
      <c r="D51" s="3">
        <v>0</v>
      </c>
      <c r="E51" s="3">
        <v>-7</v>
      </c>
      <c r="F51" s="3">
        <f t="shared" si="0"/>
        <v>-7</v>
      </c>
      <c r="G51" s="3">
        <v>0</v>
      </c>
      <c r="H51" s="3">
        <v>0</v>
      </c>
      <c r="I51" s="3">
        <f t="shared" si="1"/>
        <v>0</v>
      </c>
      <c r="J51" s="3">
        <v>-7</v>
      </c>
    </row>
    <row r="52" spans="1:10" x14ac:dyDescent="0.25">
      <c r="A52" t="s">
        <v>284</v>
      </c>
      <c r="B52" s="5" t="s">
        <v>510</v>
      </c>
      <c r="C52" t="s">
        <v>403</v>
      </c>
      <c r="D52" s="3">
        <v>0</v>
      </c>
      <c r="E52" s="3">
        <v>-1.9716800000000001</v>
      </c>
      <c r="F52" s="3">
        <f t="shared" si="0"/>
        <v>-1.9716800000000001</v>
      </c>
      <c r="G52" s="3">
        <v>0</v>
      </c>
      <c r="H52" s="3">
        <v>0</v>
      </c>
      <c r="I52" s="3">
        <f t="shared" si="1"/>
        <v>0</v>
      </c>
      <c r="J52" s="3">
        <v>-1.9716800000000001</v>
      </c>
    </row>
    <row r="53" spans="1:10" x14ac:dyDescent="0.25">
      <c r="A53" t="s">
        <v>285</v>
      </c>
      <c r="B53" s="5" t="s">
        <v>511</v>
      </c>
      <c r="C53" t="s">
        <v>403</v>
      </c>
      <c r="D53" s="3">
        <v>4.4495649999999998</v>
      </c>
      <c r="E53" s="3">
        <v>-2.2490709999999998</v>
      </c>
      <c r="F53" s="3">
        <f t="shared" si="0"/>
        <v>-2.2490709999999998</v>
      </c>
      <c r="G53" s="3">
        <v>0</v>
      </c>
      <c r="H53" s="3">
        <v>0</v>
      </c>
      <c r="I53" s="3">
        <f t="shared" si="1"/>
        <v>0</v>
      </c>
      <c r="J53" s="3">
        <v>2.200494</v>
      </c>
    </row>
    <row r="54" spans="1:10" x14ac:dyDescent="0.25">
      <c r="A54" t="s">
        <v>286</v>
      </c>
      <c r="B54" s="5" t="s">
        <v>512</v>
      </c>
      <c r="C54" t="s">
        <v>403</v>
      </c>
      <c r="D54" s="3">
        <v>38.724919999999997</v>
      </c>
      <c r="E54" s="3">
        <v>-18.913598879999999</v>
      </c>
      <c r="F54" s="3">
        <f t="shared" si="0"/>
        <v>-18.913598879999999</v>
      </c>
      <c r="G54" s="3">
        <v>0</v>
      </c>
      <c r="H54" s="3">
        <v>0</v>
      </c>
      <c r="I54" s="3">
        <f t="shared" si="1"/>
        <v>0</v>
      </c>
      <c r="J54" s="3">
        <v>19.811321120000002</v>
      </c>
    </row>
    <row r="55" spans="1:10" x14ac:dyDescent="0.25">
      <c r="A55" t="s">
        <v>287</v>
      </c>
      <c r="B55" s="5" t="s">
        <v>513</v>
      </c>
      <c r="C55" t="s">
        <v>403</v>
      </c>
      <c r="D55" s="3"/>
      <c r="E55" s="3"/>
      <c r="F55" s="3">
        <f t="shared" si="0"/>
        <v>0</v>
      </c>
      <c r="G55" s="3"/>
      <c r="H55" s="3"/>
      <c r="I55" s="3">
        <f t="shared" si="1"/>
        <v>0</v>
      </c>
      <c r="J55" s="3"/>
    </row>
    <row r="56" spans="1:10" x14ac:dyDescent="0.25">
      <c r="A56" t="s">
        <v>23</v>
      </c>
      <c r="B56" s="5" t="s">
        <v>514</v>
      </c>
      <c r="C56" t="s">
        <v>403</v>
      </c>
      <c r="D56" s="3">
        <v>1.374015</v>
      </c>
      <c r="E56" s="3">
        <v>-1.7180329999999999</v>
      </c>
      <c r="F56" s="3">
        <f t="shared" si="0"/>
        <v>-1.7180329999999999</v>
      </c>
      <c r="G56" s="3">
        <v>0</v>
      </c>
      <c r="H56" s="3">
        <v>-2.2204460492503099E-16</v>
      </c>
      <c r="I56" s="3">
        <f t="shared" si="1"/>
        <v>-2.2204460492503099E-16</v>
      </c>
      <c r="J56" s="3">
        <v>-0.34401799999999999</v>
      </c>
    </row>
    <row r="57" spans="1:10" x14ac:dyDescent="0.25">
      <c r="A57" t="s">
        <v>288</v>
      </c>
      <c r="B57" s="5" t="s">
        <v>515</v>
      </c>
      <c r="C57" t="s">
        <v>403</v>
      </c>
      <c r="D57" s="3">
        <v>3.377834</v>
      </c>
      <c r="E57" s="3">
        <v>5.1750660000000002</v>
      </c>
      <c r="F57" s="3">
        <f t="shared" si="0"/>
        <v>0</v>
      </c>
      <c r="G57" s="3">
        <v>0</v>
      </c>
      <c r="H57" s="3">
        <v>-8.8817841970012504E-16</v>
      </c>
      <c r="I57" s="3">
        <f t="shared" si="1"/>
        <v>-8.8817841970012504E-16</v>
      </c>
      <c r="J57" s="3">
        <v>8.5528999999999993</v>
      </c>
    </row>
    <row r="58" spans="1:10" x14ac:dyDescent="0.25">
      <c r="A58" t="s">
        <v>289</v>
      </c>
      <c r="B58" s="5" t="s">
        <v>516</v>
      </c>
      <c r="C58" t="s">
        <v>403</v>
      </c>
      <c r="D58" s="3">
        <v>0</v>
      </c>
      <c r="E58" s="3">
        <v>-0.21560000000000001</v>
      </c>
      <c r="F58" s="3">
        <f t="shared" si="0"/>
        <v>-0.21560000000000001</v>
      </c>
      <c r="G58" s="3">
        <v>0</v>
      </c>
      <c r="H58" s="3">
        <v>0</v>
      </c>
      <c r="I58" s="3">
        <f t="shared" si="1"/>
        <v>0</v>
      </c>
      <c r="J58" s="3">
        <v>-0.21560000000000001</v>
      </c>
    </row>
    <row r="59" spans="1:10" x14ac:dyDescent="0.25">
      <c r="A59" t="s">
        <v>290</v>
      </c>
      <c r="B59" s="5" t="s">
        <v>517</v>
      </c>
      <c r="C59" t="s">
        <v>403</v>
      </c>
      <c r="D59" s="3">
        <v>0.54477988806245692</v>
      </c>
      <c r="E59" s="3">
        <v>-4.4781491304996299</v>
      </c>
      <c r="F59" s="3">
        <f t="shared" si="0"/>
        <v>-4.4781491304996299</v>
      </c>
      <c r="G59" s="3">
        <v>1.0228649877010099</v>
      </c>
      <c r="H59" s="3">
        <v>0.73325515453143997</v>
      </c>
      <c r="I59" s="3">
        <f t="shared" si="1"/>
        <v>0</v>
      </c>
      <c r="J59" s="3">
        <v>-2.1772491002047301</v>
      </c>
    </row>
    <row r="60" spans="1:10" x14ac:dyDescent="0.25">
      <c r="A60" t="s">
        <v>25</v>
      </c>
      <c r="B60" s="5" t="s">
        <v>417</v>
      </c>
      <c r="C60" t="s">
        <v>403</v>
      </c>
      <c r="D60" s="3">
        <v>126.24996148000001</v>
      </c>
      <c r="E60" s="3">
        <v>-86.915713999999994</v>
      </c>
      <c r="F60" s="3">
        <f t="shared" si="0"/>
        <v>-86.915713999999994</v>
      </c>
      <c r="G60" s="3">
        <v>0</v>
      </c>
      <c r="H60" s="3">
        <v>-1.13686837721616E-14</v>
      </c>
      <c r="I60" s="3">
        <f t="shared" si="1"/>
        <v>-1.13686837721616E-14</v>
      </c>
      <c r="J60" s="3">
        <v>39.334247479999995</v>
      </c>
    </row>
    <row r="61" spans="1:10" x14ac:dyDescent="0.25">
      <c r="A61" t="s">
        <v>291</v>
      </c>
      <c r="B61" s="5" t="s">
        <v>519</v>
      </c>
      <c r="C61" t="s">
        <v>403</v>
      </c>
      <c r="D61" s="3">
        <v>0</v>
      </c>
      <c r="E61" s="3">
        <v>0.56000000000000005</v>
      </c>
      <c r="F61" s="3">
        <f t="shared" si="0"/>
        <v>0</v>
      </c>
      <c r="G61" s="3">
        <v>0</v>
      </c>
      <c r="H61" s="3">
        <v>0</v>
      </c>
      <c r="I61" s="3">
        <f t="shared" si="1"/>
        <v>0</v>
      </c>
      <c r="J61" s="3">
        <v>0.56000000000000005</v>
      </c>
    </row>
    <row r="62" spans="1:10" x14ac:dyDescent="0.25">
      <c r="A62" t="s">
        <v>292</v>
      </c>
      <c r="B62" s="5" t="s">
        <v>520</v>
      </c>
      <c r="C62" t="s">
        <v>403</v>
      </c>
      <c r="D62" s="3">
        <v>3.1925389237511497</v>
      </c>
      <c r="E62" s="3">
        <v>-37.461334166666703</v>
      </c>
      <c r="F62" s="3">
        <f t="shared" si="0"/>
        <v>-37.461334166666703</v>
      </c>
      <c r="G62" s="3">
        <v>12.472364300000001</v>
      </c>
      <c r="H62" s="3">
        <v>1.27466751811553</v>
      </c>
      <c r="I62" s="3">
        <f t="shared" si="1"/>
        <v>0</v>
      </c>
      <c r="J62" s="3">
        <v>-20.5217634248</v>
      </c>
    </row>
    <row r="63" spans="1:10" x14ac:dyDescent="0.25">
      <c r="A63" t="s">
        <v>293</v>
      </c>
      <c r="B63" s="5" t="s">
        <v>521</v>
      </c>
      <c r="C63" t="s">
        <v>403</v>
      </c>
      <c r="D63" s="3">
        <v>10.311847510166601</v>
      </c>
      <c r="E63" s="3">
        <v>-46.568795441138796</v>
      </c>
      <c r="F63" s="3">
        <f t="shared" si="0"/>
        <v>-46.568795441138796</v>
      </c>
      <c r="G63" s="3">
        <v>0</v>
      </c>
      <c r="H63" s="3">
        <v>4.4950547289545</v>
      </c>
      <c r="I63" s="3">
        <f t="shared" si="1"/>
        <v>0</v>
      </c>
      <c r="J63" s="3">
        <v>-31.761893202017603</v>
      </c>
    </row>
    <row r="64" spans="1:10" x14ac:dyDescent="0.25">
      <c r="A64" t="s">
        <v>294</v>
      </c>
      <c r="B64" s="5" t="s">
        <v>522</v>
      </c>
      <c r="C64" t="s">
        <v>403</v>
      </c>
      <c r="D64" s="3">
        <v>11.4148</v>
      </c>
      <c r="E64" s="3">
        <v>-123.9936</v>
      </c>
      <c r="F64" s="3">
        <f t="shared" si="0"/>
        <v>-123.9936</v>
      </c>
      <c r="G64" s="3">
        <v>0</v>
      </c>
      <c r="H64" s="3">
        <v>-5.6843418860808002E-15</v>
      </c>
      <c r="I64" s="3">
        <f t="shared" si="1"/>
        <v>-5.6843418860808002E-15</v>
      </c>
      <c r="J64" s="3">
        <v>-112.5788</v>
      </c>
    </row>
    <row r="65" spans="1:10" x14ac:dyDescent="0.25">
      <c r="A65" t="s">
        <v>26</v>
      </c>
      <c r="B65" s="5" t="s">
        <v>423</v>
      </c>
      <c r="C65" t="s">
        <v>403</v>
      </c>
      <c r="D65" s="3">
        <v>2.3010000000000002</v>
      </c>
      <c r="E65" s="3">
        <v>-1.109</v>
      </c>
      <c r="F65" s="3">
        <f t="shared" si="0"/>
        <v>-1.109</v>
      </c>
      <c r="G65" s="3">
        <v>0</v>
      </c>
      <c r="H65" s="3">
        <v>0</v>
      </c>
      <c r="I65" s="3">
        <f t="shared" si="1"/>
        <v>0</v>
      </c>
      <c r="J65" s="3">
        <v>1.1919999999999999</v>
      </c>
    </row>
    <row r="66" spans="1:10" x14ac:dyDescent="0.25">
      <c r="A66" t="s">
        <v>295</v>
      </c>
      <c r="B66" s="5" t="s">
        <v>523</v>
      </c>
      <c r="C66" t="s">
        <v>403</v>
      </c>
      <c r="D66" s="3">
        <v>0</v>
      </c>
      <c r="E66" s="3">
        <v>-5.6060299999999996</v>
      </c>
      <c r="F66" s="3">
        <f t="shared" si="0"/>
        <v>-5.6060299999999996</v>
      </c>
      <c r="G66" s="3">
        <v>0</v>
      </c>
      <c r="H66" s="3">
        <v>0.78954000000000002</v>
      </c>
      <c r="I66" s="3">
        <f t="shared" si="1"/>
        <v>0</v>
      </c>
      <c r="J66" s="3">
        <v>-4.8164899999999999</v>
      </c>
    </row>
    <row r="67" spans="1:10" x14ac:dyDescent="0.25">
      <c r="A67" t="s">
        <v>296</v>
      </c>
      <c r="B67" s="5" t="s">
        <v>524</v>
      </c>
      <c r="C67" t="s">
        <v>403</v>
      </c>
      <c r="D67" s="3">
        <v>0.69099403292626704</v>
      </c>
      <c r="E67" s="3">
        <v>-65.311299323058591</v>
      </c>
      <c r="F67" s="3">
        <f t="shared" ref="F67:F130" si="2">IF(E67&gt;0,0,E67)</f>
        <v>-65.311299323058591</v>
      </c>
      <c r="G67" s="3">
        <v>40.952192646046598</v>
      </c>
      <c r="H67" s="3">
        <v>0.47898961795454403</v>
      </c>
      <c r="I67" s="3">
        <f t="shared" ref="I67:I130" si="3">IF(H67&gt;0,0,H67)</f>
        <v>0</v>
      </c>
      <c r="J67" s="3">
        <v>-23.189123026131202</v>
      </c>
    </row>
    <row r="68" spans="1:10" x14ac:dyDescent="0.25">
      <c r="A68" t="s">
        <v>297</v>
      </c>
      <c r="B68" s="5" t="s">
        <v>525</v>
      </c>
      <c r="C68" t="s">
        <v>403</v>
      </c>
      <c r="D68" s="3">
        <v>17.585000000000001</v>
      </c>
      <c r="E68" s="3">
        <v>-4.5999999999999996</v>
      </c>
      <c r="F68" s="3">
        <f t="shared" si="2"/>
        <v>-4.5999999999999996</v>
      </c>
      <c r="G68" s="3">
        <v>0</v>
      </c>
      <c r="H68" s="3">
        <v>0</v>
      </c>
      <c r="I68" s="3">
        <f t="shared" si="3"/>
        <v>0</v>
      </c>
      <c r="J68" s="3">
        <v>12.984999999999999</v>
      </c>
    </row>
    <row r="69" spans="1:10" x14ac:dyDescent="0.25">
      <c r="A69" t="s">
        <v>298</v>
      </c>
      <c r="B69" s="5" t="s">
        <v>526</v>
      </c>
      <c r="C69" t="s">
        <v>403</v>
      </c>
      <c r="D69" s="3">
        <v>0.245890575896896</v>
      </c>
      <c r="E69" s="3">
        <v>-2.1658337532503302</v>
      </c>
      <c r="F69" s="3">
        <f t="shared" si="2"/>
        <v>-2.1658337532503302</v>
      </c>
      <c r="G69" s="3">
        <v>0.244365</v>
      </c>
      <c r="H69" s="3">
        <v>-1.3093203331744501</v>
      </c>
      <c r="I69" s="3">
        <f t="shared" si="3"/>
        <v>-1.3093203331744501</v>
      </c>
      <c r="J69" s="3">
        <v>-2.98489851052789</v>
      </c>
    </row>
    <row r="70" spans="1:10" x14ac:dyDescent="0.25">
      <c r="A70" t="s">
        <v>299</v>
      </c>
      <c r="B70" s="5" t="s">
        <v>527</v>
      </c>
      <c r="C70" t="s">
        <v>403</v>
      </c>
      <c r="D70" s="3">
        <v>0</v>
      </c>
      <c r="E70" s="3">
        <v>-0.17699999999999999</v>
      </c>
      <c r="F70" s="3">
        <f t="shared" si="2"/>
        <v>-0.17699999999999999</v>
      </c>
      <c r="G70" s="3">
        <v>0</v>
      </c>
      <c r="H70" s="3">
        <v>0</v>
      </c>
      <c r="I70" s="3">
        <f t="shared" si="3"/>
        <v>0</v>
      </c>
      <c r="J70" s="3">
        <v>-0.17699999999999999</v>
      </c>
    </row>
    <row r="71" spans="1:10" x14ac:dyDescent="0.25">
      <c r="A71" t="s">
        <v>300</v>
      </c>
      <c r="B71" s="5" t="s">
        <v>528</v>
      </c>
      <c r="C71" t="s">
        <v>403</v>
      </c>
      <c r="D71" s="3">
        <v>11.7989</v>
      </c>
      <c r="E71" s="3">
        <v>-9.6962100000000007</v>
      </c>
      <c r="F71" s="3">
        <f t="shared" si="2"/>
        <v>-9.6962100000000007</v>
      </c>
      <c r="G71" s="3">
        <v>0</v>
      </c>
      <c r="H71" s="3">
        <v>0</v>
      </c>
      <c r="I71" s="3">
        <f t="shared" si="3"/>
        <v>0</v>
      </c>
      <c r="J71" s="3">
        <v>2.1026899999999999</v>
      </c>
    </row>
    <row r="72" spans="1:10" x14ac:dyDescent="0.25">
      <c r="A72" t="s">
        <v>301</v>
      </c>
      <c r="B72" s="5" t="s">
        <v>529</v>
      </c>
      <c r="C72" t="s">
        <v>403</v>
      </c>
      <c r="D72" s="3">
        <v>19</v>
      </c>
      <c r="E72" s="3">
        <v>14.6</v>
      </c>
      <c r="F72" s="3">
        <f t="shared" si="2"/>
        <v>0</v>
      </c>
      <c r="G72" s="3">
        <v>0</v>
      </c>
      <c r="H72" s="3">
        <v>0</v>
      </c>
      <c r="I72" s="3">
        <f t="shared" si="3"/>
        <v>0</v>
      </c>
      <c r="J72" s="3">
        <v>33.6</v>
      </c>
    </row>
    <row r="73" spans="1:10" x14ac:dyDescent="0.25">
      <c r="A73" t="s">
        <v>27</v>
      </c>
      <c r="B73" s="5" t="s">
        <v>530</v>
      </c>
      <c r="C73" t="s">
        <v>403</v>
      </c>
      <c r="D73" s="3">
        <v>0</v>
      </c>
      <c r="E73" s="3">
        <v>-19.821999999999999</v>
      </c>
      <c r="F73" s="3">
        <f t="shared" si="2"/>
        <v>-19.821999999999999</v>
      </c>
      <c r="G73" s="3">
        <v>0</v>
      </c>
      <c r="H73" s="3">
        <v>19.251999999999999</v>
      </c>
      <c r="I73" s="3">
        <f t="shared" si="3"/>
        <v>0</v>
      </c>
      <c r="J73" s="3">
        <v>-0.56999999999999995</v>
      </c>
    </row>
    <row r="74" spans="1:10" x14ac:dyDescent="0.25">
      <c r="A74" t="s">
        <v>302</v>
      </c>
      <c r="B74" s="5" t="s">
        <v>531</v>
      </c>
      <c r="C74" t="s">
        <v>403</v>
      </c>
      <c r="D74" s="3">
        <v>46.301251000000001</v>
      </c>
      <c r="E74" s="3">
        <v>0</v>
      </c>
      <c r="F74" s="3">
        <f t="shared" si="2"/>
        <v>0</v>
      </c>
      <c r="G74" s="3">
        <v>0</v>
      </c>
      <c r="H74" s="3">
        <v>0</v>
      </c>
      <c r="I74" s="3">
        <f t="shared" si="3"/>
        <v>0</v>
      </c>
      <c r="J74" s="3">
        <v>46.301251000000001</v>
      </c>
    </row>
    <row r="75" spans="1:10" x14ac:dyDescent="0.25">
      <c r="A75" t="s">
        <v>303</v>
      </c>
      <c r="B75" s="5" t="s">
        <v>532</v>
      </c>
      <c r="C75" t="s">
        <v>403</v>
      </c>
      <c r="D75" s="3">
        <v>0.37143999999999999</v>
      </c>
      <c r="E75" s="3">
        <v>0.77776000000000001</v>
      </c>
      <c r="F75" s="3">
        <f t="shared" si="2"/>
        <v>0</v>
      </c>
      <c r="G75" s="3">
        <v>0</v>
      </c>
      <c r="H75" s="3">
        <v>0</v>
      </c>
      <c r="I75" s="3">
        <f t="shared" si="3"/>
        <v>0</v>
      </c>
      <c r="J75" s="3">
        <v>1.1492</v>
      </c>
    </row>
    <row r="76" spans="1:10" x14ac:dyDescent="0.25">
      <c r="A76" t="s">
        <v>304</v>
      </c>
      <c r="B76" s="5" t="s">
        <v>533</v>
      </c>
      <c r="C76" t="s">
        <v>403</v>
      </c>
      <c r="D76" s="3">
        <v>7.2198000000000002</v>
      </c>
      <c r="E76" s="3">
        <v>-12.513859999999999</v>
      </c>
      <c r="F76" s="3">
        <f t="shared" si="2"/>
        <v>-12.513859999999999</v>
      </c>
      <c r="G76" s="3">
        <v>0</v>
      </c>
      <c r="H76" s="3">
        <v>1.7763568394002501E-16</v>
      </c>
      <c r="I76" s="3">
        <f t="shared" si="3"/>
        <v>0</v>
      </c>
      <c r="J76" s="3">
        <v>-5.29406</v>
      </c>
    </row>
    <row r="77" spans="1:10" x14ac:dyDescent="0.25">
      <c r="A77" t="s">
        <v>305</v>
      </c>
      <c r="B77" s="5" t="s">
        <v>534</v>
      </c>
      <c r="C77" t="s">
        <v>403</v>
      </c>
      <c r="D77" s="3">
        <v>0.73415767206867</v>
      </c>
      <c r="E77" s="3">
        <v>-4.7557381609976703</v>
      </c>
      <c r="F77" s="3">
        <f t="shared" si="2"/>
        <v>-4.7557381609976703</v>
      </c>
      <c r="G77" s="3">
        <v>6.1623466666666703E-2</v>
      </c>
      <c r="H77" s="3">
        <v>-0.99173184959622596</v>
      </c>
      <c r="I77" s="3">
        <f t="shared" si="3"/>
        <v>-0.99173184959622596</v>
      </c>
      <c r="J77" s="3">
        <v>-4.9516888718585594</v>
      </c>
    </row>
    <row r="78" spans="1:10" x14ac:dyDescent="0.25">
      <c r="A78" t="s">
        <v>306</v>
      </c>
      <c r="B78" s="5" t="s">
        <v>535</v>
      </c>
      <c r="C78" t="s">
        <v>403</v>
      </c>
      <c r="D78" s="3">
        <v>-0.308360901632242</v>
      </c>
      <c r="E78" s="3">
        <v>-0.42285694443779198</v>
      </c>
      <c r="F78" s="3">
        <f t="shared" si="2"/>
        <v>-0.42285694443779198</v>
      </c>
      <c r="G78" s="3">
        <v>7.7267482536006895</v>
      </c>
      <c r="H78" s="3">
        <v>-1.27133653075304</v>
      </c>
      <c r="I78" s="3">
        <f t="shared" si="3"/>
        <v>-1.27133653075304</v>
      </c>
      <c r="J78" s="3">
        <v>5.7241938767776102</v>
      </c>
    </row>
    <row r="79" spans="1:10" x14ac:dyDescent="0.25">
      <c r="A79" t="s">
        <v>307</v>
      </c>
      <c r="B79" s="5" t="s">
        <v>424</v>
      </c>
      <c r="C79" t="s">
        <v>403</v>
      </c>
      <c r="D79" s="3">
        <v>0</v>
      </c>
      <c r="E79" s="3">
        <v>-72.706100000000006</v>
      </c>
      <c r="F79" s="3">
        <f t="shared" si="2"/>
        <v>-72.706100000000006</v>
      </c>
      <c r="G79" s="3">
        <v>0</v>
      </c>
      <c r="H79" s="3">
        <v>-234.9023</v>
      </c>
      <c r="I79" s="3">
        <f t="shared" si="3"/>
        <v>-234.9023</v>
      </c>
      <c r="J79" s="3">
        <v>-307.60840000000002</v>
      </c>
    </row>
    <row r="80" spans="1:10" x14ac:dyDescent="0.25">
      <c r="A80" t="s">
        <v>28</v>
      </c>
      <c r="B80" s="5" t="s">
        <v>536</v>
      </c>
      <c r="C80" t="s">
        <v>403</v>
      </c>
      <c r="D80" s="3">
        <v>415.28359999999998</v>
      </c>
      <c r="E80" s="3">
        <v>-344.48630000000003</v>
      </c>
      <c r="F80" s="3">
        <f t="shared" si="2"/>
        <v>-344.48630000000003</v>
      </c>
      <c r="G80" s="3">
        <v>694.24159999999995</v>
      </c>
      <c r="H80" s="3">
        <v>-24.520399999999999</v>
      </c>
      <c r="I80" s="3">
        <f t="shared" si="3"/>
        <v>-24.520399999999999</v>
      </c>
      <c r="J80" s="3">
        <v>740.51850000000002</v>
      </c>
    </row>
    <row r="81" spans="1:10" x14ac:dyDescent="0.25">
      <c r="A81" t="s">
        <v>308</v>
      </c>
      <c r="B81" s="5" t="s">
        <v>537</v>
      </c>
      <c r="C81" t="s">
        <v>403</v>
      </c>
      <c r="D81" s="3">
        <v>89.171999999999997</v>
      </c>
      <c r="E81" s="3">
        <v>-67.643000000000001</v>
      </c>
      <c r="F81" s="3">
        <f t="shared" si="2"/>
        <v>-67.643000000000001</v>
      </c>
      <c r="G81" s="3">
        <v>0</v>
      </c>
      <c r="H81" s="3">
        <v>0</v>
      </c>
      <c r="I81" s="3">
        <f t="shared" si="3"/>
        <v>0</v>
      </c>
      <c r="J81" s="3">
        <v>21.529</v>
      </c>
    </row>
    <row r="82" spans="1:10" x14ac:dyDescent="0.25">
      <c r="A82" t="s">
        <v>309</v>
      </c>
      <c r="B82" s="5" t="s">
        <v>538</v>
      </c>
      <c r="C82" t="s">
        <v>403</v>
      </c>
      <c r="D82" s="3"/>
      <c r="E82" s="3"/>
      <c r="F82" s="3">
        <f t="shared" si="2"/>
        <v>0</v>
      </c>
      <c r="G82" s="3"/>
      <c r="H82" s="3"/>
      <c r="I82" s="3">
        <f t="shared" si="3"/>
        <v>0</v>
      </c>
      <c r="J82" s="3"/>
    </row>
    <row r="83" spans="1:10" x14ac:dyDescent="0.25">
      <c r="A83" t="s">
        <v>310</v>
      </c>
      <c r="B83" s="5" t="s">
        <v>420</v>
      </c>
      <c r="C83" t="s">
        <v>403</v>
      </c>
      <c r="D83" s="3">
        <v>0.125141698096494</v>
      </c>
      <c r="E83" s="3">
        <v>-6.18453322426301</v>
      </c>
      <c r="F83" s="3">
        <f t="shared" si="2"/>
        <v>-6.18453322426301</v>
      </c>
      <c r="G83" s="3">
        <v>10.579414388416399</v>
      </c>
      <c r="H83" s="3">
        <v>1.3797698979008901</v>
      </c>
      <c r="I83" s="3">
        <f t="shared" si="3"/>
        <v>0</v>
      </c>
      <c r="J83" s="3">
        <v>5.8997927601507207</v>
      </c>
    </row>
    <row r="84" spans="1:10" x14ac:dyDescent="0.25">
      <c r="A84" t="s">
        <v>311</v>
      </c>
      <c r="B84" s="5" t="s">
        <v>539</v>
      </c>
      <c r="C84" t="s">
        <v>403</v>
      </c>
      <c r="D84" s="3">
        <v>0</v>
      </c>
      <c r="E84" s="3">
        <v>-0.248605282091348</v>
      </c>
      <c r="F84" s="3">
        <f t="shared" si="2"/>
        <v>-0.248605282091348</v>
      </c>
      <c r="G84" s="3">
        <v>0</v>
      </c>
      <c r="H84" s="3">
        <v>0</v>
      </c>
      <c r="I84" s="3">
        <f t="shared" si="3"/>
        <v>0</v>
      </c>
      <c r="J84" s="3">
        <v>-0.248605282091348</v>
      </c>
    </row>
    <row r="85" spans="1:10" x14ac:dyDescent="0.25">
      <c r="A85" t="s">
        <v>312</v>
      </c>
      <c r="B85" s="5" t="s">
        <v>540</v>
      </c>
      <c r="C85" t="s">
        <v>403</v>
      </c>
      <c r="D85" s="3">
        <v>1.9812473207701</v>
      </c>
      <c r="E85" s="3">
        <v>-33.215866182013201</v>
      </c>
      <c r="F85" s="3">
        <f t="shared" si="2"/>
        <v>-33.215866182013201</v>
      </c>
      <c r="G85" s="3">
        <v>0.75688030760833291</v>
      </c>
      <c r="H85" s="3">
        <v>-5.4497388638783502</v>
      </c>
      <c r="I85" s="3">
        <f t="shared" si="3"/>
        <v>-5.4497388638783502</v>
      </c>
      <c r="J85" s="3">
        <v>-35.927477417513103</v>
      </c>
    </row>
    <row r="86" spans="1:10" x14ac:dyDescent="0.25">
      <c r="A86" t="s">
        <v>313</v>
      </c>
      <c r="B86" s="5" t="s">
        <v>541</v>
      </c>
      <c r="C86" t="s">
        <v>403</v>
      </c>
      <c r="D86" s="3">
        <v>0.15090000000000001</v>
      </c>
      <c r="E86" s="3">
        <v>-1.7759</v>
      </c>
      <c r="F86" s="3">
        <f t="shared" si="2"/>
        <v>-1.7759</v>
      </c>
      <c r="G86" s="3">
        <v>0</v>
      </c>
      <c r="H86" s="3">
        <v>1.6653345369377298E-17</v>
      </c>
      <c r="I86" s="3">
        <f t="shared" si="3"/>
        <v>0</v>
      </c>
      <c r="J86" s="3">
        <v>-1.625</v>
      </c>
    </row>
    <row r="87" spans="1:10" x14ac:dyDescent="0.25">
      <c r="A87" t="s">
        <v>5</v>
      </c>
      <c r="B87" s="5" t="s">
        <v>542</v>
      </c>
      <c r="C87" t="s">
        <v>403</v>
      </c>
      <c r="D87" s="3">
        <v>1.9578711632492001</v>
      </c>
      <c r="E87" s="3">
        <v>-65.425279891887698</v>
      </c>
      <c r="F87" s="3">
        <f t="shared" si="2"/>
        <v>-65.425279891887698</v>
      </c>
      <c r="G87" s="3">
        <v>1.19818117464582</v>
      </c>
      <c r="H87" s="3">
        <v>3.41721116250398</v>
      </c>
      <c r="I87" s="3">
        <f t="shared" si="3"/>
        <v>0</v>
      </c>
      <c r="J87" s="3">
        <v>-58.852016391488704</v>
      </c>
    </row>
    <row r="88" spans="1:10" x14ac:dyDescent="0.25">
      <c r="A88" t="s">
        <v>314</v>
      </c>
      <c r="B88" s="5" t="s">
        <v>543</v>
      </c>
      <c r="C88" t="s">
        <v>403</v>
      </c>
      <c r="D88" s="3">
        <v>0</v>
      </c>
      <c r="E88" s="3">
        <v>-0.92200000000000004</v>
      </c>
      <c r="F88" s="3">
        <f t="shared" si="2"/>
        <v>-0.92200000000000004</v>
      </c>
      <c r="G88" s="3">
        <v>0</v>
      </c>
      <c r="H88" s="3">
        <v>0</v>
      </c>
      <c r="I88" s="3">
        <f t="shared" si="3"/>
        <v>0</v>
      </c>
      <c r="J88" s="3">
        <v>-0.92200000000000004</v>
      </c>
    </row>
    <row r="89" spans="1:10" x14ac:dyDescent="0.25">
      <c r="A89" t="s">
        <v>315</v>
      </c>
      <c r="B89" s="5" t="s">
        <v>544</v>
      </c>
      <c r="C89" t="s">
        <v>403</v>
      </c>
      <c r="D89" s="3">
        <v>4.0522873837788194E-2</v>
      </c>
      <c r="E89" s="3">
        <v>-5.6874399999999996</v>
      </c>
      <c r="F89" s="3">
        <f t="shared" si="2"/>
        <v>-5.6874399999999996</v>
      </c>
      <c r="G89" s="3">
        <v>0</v>
      </c>
      <c r="H89" s="3">
        <v>12.2504334594956</v>
      </c>
      <c r="I89" s="3">
        <f t="shared" si="3"/>
        <v>0</v>
      </c>
      <c r="J89" s="3">
        <v>6.6035163333333395</v>
      </c>
    </row>
    <row r="90" spans="1:10" x14ac:dyDescent="0.25">
      <c r="A90" t="s">
        <v>316</v>
      </c>
      <c r="B90" s="5" t="s">
        <v>545</v>
      </c>
      <c r="C90" t="s">
        <v>403</v>
      </c>
      <c r="D90" s="3">
        <v>49.644144600000004</v>
      </c>
      <c r="E90" s="3">
        <v>5.7027514000000004</v>
      </c>
      <c r="F90" s="3">
        <f t="shared" si="2"/>
        <v>0</v>
      </c>
      <c r="G90" s="3">
        <v>0</v>
      </c>
      <c r="H90" s="3">
        <v>-2.1316282072803001E-15</v>
      </c>
      <c r="I90" s="3">
        <f t="shared" si="3"/>
        <v>-2.1316282072803001E-15</v>
      </c>
      <c r="J90" s="3">
        <v>55.346896000000001</v>
      </c>
    </row>
    <row r="91" spans="1:10" x14ac:dyDescent="0.25">
      <c r="A91" t="s">
        <v>317</v>
      </c>
      <c r="B91" s="5" t="s">
        <v>546</v>
      </c>
      <c r="C91" t="s">
        <v>403</v>
      </c>
      <c r="D91" s="3"/>
      <c r="E91" s="3"/>
      <c r="F91" s="3">
        <f t="shared" si="2"/>
        <v>0</v>
      </c>
      <c r="G91" s="3"/>
      <c r="H91" s="3"/>
      <c r="I91" s="3">
        <f t="shared" si="3"/>
        <v>0</v>
      </c>
      <c r="J91" s="3"/>
    </row>
    <row r="92" spans="1:10" x14ac:dyDescent="0.25">
      <c r="A92" t="s">
        <v>318</v>
      </c>
      <c r="B92" s="5" t="s">
        <v>547</v>
      </c>
      <c r="C92" t="s">
        <v>403</v>
      </c>
      <c r="D92" s="3">
        <v>0</v>
      </c>
      <c r="E92" s="3">
        <v>0.13392000000000001</v>
      </c>
      <c r="F92" s="3">
        <f t="shared" si="2"/>
        <v>0</v>
      </c>
      <c r="G92" s="3">
        <v>0</v>
      </c>
      <c r="H92" s="3">
        <v>0</v>
      </c>
      <c r="I92" s="3">
        <f t="shared" si="3"/>
        <v>0</v>
      </c>
      <c r="J92" s="3">
        <v>0.13392000000000001</v>
      </c>
    </row>
    <row r="93" spans="1:10" x14ac:dyDescent="0.25">
      <c r="A93" t="s">
        <v>29</v>
      </c>
      <c r="B93" s="5" t="s">
        <v>548</v>
      </c>
      <c r="C93" t="s">
        <v>403</v>
      </c>
      <c r="D93" s="3">
        <v>0</v>
      </c>
      <c r="E93" s="3">
        <v>-10.367000000000001</v>
      </c>
      <c r="F93" s="3">
        <f t="shared" si="2"/>
        <v>-10.367000000000001</v>
      </c>
      <c r="G93" s="3">
        <v>0</v>
      </c>
      <c r="H93" s="3">
        <v>0</v>
      </c>
      <c r="I93" s="3">
        <f t="shared" si="3"/>
        <v>0</v>
      </c>
      <c r="J93" s="3">
        <v>-10.367000000000001</v>
      </c>
    </row>
    <row r="94" spans="1:10" x14ac:dyDescent="0.25">
      <c r="A94" t="s">
        <v>319</v>
      </c>
      <c r="B94" s="5" t="s">
        <v>549</v>
      </c>
      <c r="C94" t="s">
        <v>403</v>
      </c>
      <c r="D94" s="3">
        <v>41.012999999999998</v>
      </c>
      <c r="E94" s="3">
        <v>-7.5330000000000004</v>
      </c>
      <c r="F94" s="3">
        <f t="shared" si="2"/>
        <v>-7.5330000000000004</v>
      </c>
      <c r="G94" s="3">
        <v>0</v>
      </c>
      <c r="H94" s="3">
        <v>0</v>
      </c>
      <c r="I94" s="3">
        <f t="shared" si="3"/>
        <v>0</v>
      </c>
      <c r="J94" s="3">
        <v>33.479999999999997</v>
      </c>
    </row>
    <row r="95" spans="1:10" x14ac:dyDescent="0.25">
      <c r="A95" t="s">
        <v>320</v>
      </c>
      <c r="B95" s="5" t="s">
        <v>550</v>
      </c>
      <c r="C95" t="s">
        <v>403</v>
      </c>
      <c r="D95" s="3">
        <v>0.83015893141606689</v>
      </c>
      <c r="E95" s="3">
        <v>-7.3174037071526703</v>
      </c>
      <c r="F95" s="3">
        <f t="shared" si="2"/>
        <v>-7.3174037071526703</v>
      </c>
      <c r="G95" s="3">
        <v>3.2340429220329998</v>
      </c>
      <c r="H95" s="3">
        <v>0.60987774674360196</v>
      </c>
      <c r="I95" s="3">
        <f t="shared" si="3"/>
        <v>0</v>
      </c>
      <c r="J95" s="3">
        <v>-2.6433241069600002</v>
      </c>
    </row>
    <row r="96" spans="1:10" x14ac:dyDescent="0.25">
      <c r="A96" t="s">
        <v>321</v>
      </c>
      <c r="B96" s="5" t="s">
        <v>551</v>
      </c>
      <c r="C96" t="s">
        <v>403</v>
      </c>
      <c r="D96" s="3">
        <v>0.66373000000000004</v>
      </c>
      <c r="E96" s="3">
        <v>-2.021957</v>
      </c>
      <c r="F96" s="3">
        <f t="shared" si="2"/>
        <v>-2.021957</v>
      </c>
      <c r="G96" s="3">
        <v>0</v>
      </c>
      <c r="H96" s="3">
        <v>-1.074732</v>
      </c>
      <c r="I96" s="3">
        <f t="shared" si="3"/>
        <v>-1.074732</v>
      </c>
      <c r="J96" s="3">
        <v>-2.4329589999999999</v>
      </c>
    </row>
    <row r="97" spans="1:10" x14ac:dyDescent="0.25">
      <c r="A97" t="s">
        <v>322</v>
      </c>
      <c r="B97" s="5" t="s">
        <v>552</v>
      </c>
      <c r="C97" t="s">
        <v>403</v>
      </c>
      <c r="D97" s="3">
        <v>0</v>
      </c>
      <c r="E97" s="3">
        <v>4.8689999999999998</v>
      </c>
      <c r="F97" s="3">
        <f t="shared" si="2"/>
        <v>0</v>
      </c>
      <c r="G97" s="3">
        <v>0</v>
      </c>
      <c r="H97" s="3">
        <v>2.621</v>
      </c>
      <c r="I97" s="3">
        <f t="shared" si="3"/>
        <v>0</v>
      </c>
      <c r="J97" s="3">
        <v>7.49</v>
      </c>
    </row>
    <row r="98" spans="1:10" x14ac:dyDescent="0.25">
      <c r="A98" t="s">
        <v>323</v>
      </c>
      <c r="B98" s="5" t="s">
        <v>553</v>
      </c>
      <c r="C98" t="s">
        <v>403</v>
      </c>
      <c r="D98" s="3">
        <v>0.96299999999999997</v>
      </c>
      <c r="E98" s="3">
        <v>-21.466999999999999</v>
      </c>
      <c r="F98" s="3">
        <f t="shared" si="2"/>
        <v>-21.466999999999999</v>
      </c>
      <c r="G98" s="3">
        <v>0</v>
      </c>
      <c r="H98" s="3">
        <v>-2.55351295663786E-15</v>
      </c>
      <c r="I98" s="3">
        <f t="shared" si="3"/>
        <v>-2.55351295663786E-15</v>
      </c>
      <c r="J98" s="3">
        <v>-20.504000000000001</v>
      </c>
    </row>
    <row r="99" spans="1:10" x14ac:dyDescent="0.25">
      <c r="A99" t="s">
        <v>324</v>
      </c>
      <c r="B99" s="5" t="s">
        <v>554</v>
      </c>
      <c r="C99" t="s">
        <v>403</v>
      </c>
      <c r="D99" s="3"/>
      <c r="E99" s="3"/>
      <c r="F99" s="3">
        <f t="shared" si="2"/>
        <v>0</v>
      </c>
      <c r="G99" s="3"/>
      <c r="H99" s="3"/>
      <c r="I99" s="3">
        <f t="shared" si="3"/>
        <v>0</v>
      </c>
      <c r="J99" s="3"/>
    </row>
    <row r="100" spans="1:10" x14ac:dyDescent="0.25">
      <c r="A100" t="s">
        <v>325</v>
      </c>
      <c r="B100" s="5" t="s">
        <v>555</v>
      </c>
      <c r="C100" t="s">
        <v>403</v>
      </c>
      <c r="D100" s="3">
        <v>0.19495826753821299</v>
      </c>
      <c r="E100" s="3">
        <v>2.43143424321428E-3</v>
      </c>
      <c r="F100" s="3">
        <f t="shared" si="2"/>
        <v>0</v>
      </c>
      <c r="G100" s="3">
        <v>6.0724713603159701E-3</v>
      </c>
      <c r="H100" s="3">
        <v>-0.18800244144532299</v>
      </c>
      <c r="I100" s="3">
        <f t="shared" si="3"/>
        <v>-0.18800244144532299</v>
      </c>
      <c r="J100" s="3">
        <v>1.5459731696420301E-2</v>
      </c>
    </row>
    <row r="101" spans="1:10" x14ac:dyDescent="0.25">
      <c r="A101" t="s">
        <v>326</v>
      </c>
      <c r="B101" s="5" t="s">
        <v>556</v>
      </c>
      <c r="C101" t="s">
        <v>403</v>
      </c>
      <c r="D101" s="3">
        <v>7.7188459050454405E-2</v>
      </c>
      <c r="E101" s="3">
        <v>-9.6536362710211492</v>
      </c>
      <c r="F101" s="3">
        <f t="shared" si="2"/>
        <v>-9.6536362710211492</v>
      </c>
      <c r="G101" s="3">
        <v>0</v>
      </c>
      <c r="H101" s="3">
        <v>1.7123798714831</v>
      </c>
      <c r="I101" s="3">
        <f t="shared" si="3"/>
        <v>0</v>
      </c>
      <c r="J101" s="3">
        <v>-7.8640679404876002</v>
      </c>
    </row>
    <row r="102" spans="1:10" x14ac:dyDescent="0.25">
      <c r="A102" t="s">
        <v>327</v>
      </c>
      <c r="B102" s="5" t="s">
        <v>557</v>
      </c>
      <c r="C102" t="s">
        <v>403</v>
      </c>
      <c r="D102" s="3">
        <v>2.19704787720389E-2</v>
      </c>
      <c r="E102" s="3">
        <v>-0.38618607625155804</v>
      </c>
      <c r="F102" s="3">
        <f t="shared" si="2"/>
        <v>-0.38618607625155804</v>
      </c>
      <c r="G102" s="3">
        <v>0</v>
      </c>
      <c r="H102" s="3">
        <v>2.7086218967395003E-2</v>
      </c>
      <c r="I102" s="3">
        <f t="shared" si="3"/>
        <v>0</v>
      </c>
      <c r="J102" s="3">
        <v>-0.33712937851212399</v>
      </c>
    </row>
    <row r="103" spans="1:10" x14ac:dyDescent="0.25">
      <c r="A103" t="s">
        <v>384</v>
      </c>
      <c r="B103" s="5" t="s">
        <v>558</v>
      </c>
      <c r="C103" t="s">
        <v>403</v>
      </c>
      <c r="D103" s="3">
        <v>0</v>
      </c>
      <c r="E103" s="3">
        <v>-1.96</v>
      </c>
      <c r="F103" s="3">
        <f t="shared" si="2"/>
        <v>-1.96</v>
      </c>
      <c r="G103" s="3">
        <v>0</v>
      </c>
      <c r="H103" s="3">
        <v>0</v>
      </c>
      <c r="I103" s="3">
        <f t="shared" si="3"/>
        <v>0</v>
      </c>
      <c r="J103" s="3">
        <v>-1.96</v>
      </c>
    </row>
    <row r="104" spans="1:10" x14ac:dyDescent="0.25">
      <c r="A104" t="s">
        <v>328</v>
      </c>
      <c r="B104" s="5" t="s">
        <v>559</v>
      </c>
      <c r="C104" t="s">
        <v>403</v>
      </c>
      <c r="D104" s="3">
        <v>34.342326999999997</v>
      </c>
      <c r="E104" s="3">
        <v>0</v>
      </c>
      <c r="F104" s="3">
        <f t="shared" si="2"/>
        <v>0</v>
      </c>
      <c r="G104" s="3">
        <v>0</v>
      </c>
      <c r="H104" s="3">
        <v>0</v>
      </c>
      <c r="I104" s="3">
        <f t="shared" si="3"/>
        <v>0</v>
      </c>
      <c r="J104" s="3">
        <v>34.342326999999997</v>
      </c>
    </row>
    <row r="105" spans="1:10" x14ac:dyDescent="0.25">
      <c r="A105" t="s">
        <v>329</v>
      </c>
      <c r="B105" s="5" t="s">
        <v>560</v>
      </c>
      <c r="C105" t="s">
        <v>403</v>
      </c>
      <c r="D105" s="3">
        <v>2.0649999999999999</v>
      </c>
      <c r="E105" s="3">
        <v>-2.6269999999999998</v>
      </c>
      <c r="F105" s="3">
        <f t="shared" si="2"/>
        <v>-2.6269999999999998</v>
      </c>
      <c r="G105" s="3">
        <v>0</v>
      </c>
      <c r="H105" s="3">
        <v>-4.4408920985006301E-16</v>
      </c>
      <c r="I105" s="3">
        <f t="shared" si="3"/>
        <v>-4.4408920985006301E-16</v>
      </c>
      <c r="J105" s="3">
        <v>-0.56200000000000006</v>
      </c>
    </row>
    <row r="106" spans="1:10" x14ac:dyDescent="0.25">
      <c r="A106" t="s">
        <v>330</v>
      </c>
      <c r="B106" s="5" t="s">
        <v>561</v>
      </c>
      <c r="C106" t="s">
        <v>403</v>
      </c>
      <c r="D106" s="3">
        <v>12.056281999999999</v>
      </c>
      <c r="E106" s="3">
        <v>-259.05150317423499</v>
      </c>
      <c r="F106" s="3">
        <f t="shared" si="2"/>
        <v>-259.05150317423499</v>
      </c>
      <c r="G106" s="3">
        <v>0</v>
      </c>
      <c r="H106" s="3">
        <v>-5.9952043329758501E-15</v>
      </c>
      <c r="I106" s="3">
        <f t="shared" si="3"/>
        <v>-5.9952043329758501E-15</v>
      </c>
      <c r="J106" s="3">
        <v>-246.99522117423498</v>
      </c>
    </row>
    <row r="107" spans="1:10" x14ac:dyDescent="0.25">
      <c r="A107" t="s">
        <v>331</v>
      </c>
      <c r="B107" s="5" t="s">
        <v>562</v>
      </c>
      <c r="C107" t="s">
        <v>403</v>
      </c>
      <c r="D107" s="3"/>
      <c r="E107" s="3"/>
      <c r="F107" s="3">
        <f t="shared" si="2"/>
        <v>0</v>
      </c>
      <c r="G107" s="3"/>
      <c r="H107" s="3"/>
      <c r="I107" s="3">
        <f t="shared" si="3"/>
        <v>0</v>
      </c>
      <c r="J107" s="3"/>
    </row>
    <row r="108" spans="1:10" x14ac:dyDescent="0.25">
      <c r="A108" t="s">
        <v>332</v>
      </c>
      <c r="B108" s="5" t="s">
        <v>563</v>
      </c>
      <c r="C108" t="s">
        <v>403</v>
      </c>
      <c r="D108" s="3">
        <v>17.600000000000001</v>
      </c>
      <c r="E108" s="3">
        <v>-203.35429999999999</v>
      </c>
      <c r="F108" s="3">
        <f t="shared" si="2"/>
        <v>-203.35429999999999</v>
      </c>
      <c r="G108" s="3">
        <v>0</v>
      </c>
      <c r="H108" s="3">
        <v>-1.4210854715202001E-15</v>
      </c>
      <c r="I108" s="3">
        <f t="shared" si="3"/>
        <v>-1.4210854715202001E-15</v>
      </c>
      <c r="J108" s="3">
        <v>-185.7543</v>
      </c>
    </row>
    <row r="109" spans="1:10" x14ac:dyDescent="0.25">
      <c r="A109" t="s">
        <v>333</v>
      </c>
      <c r="B109" s="5" t="s">
        <v>564</v>
      </c>
      <c r="C109" t="s">
        <v>403</v>
      </c>
      <c r="D109" s="3">
        <v>4.6445266384000095E-3</v>
      </c>
      <c r="E109" s="3">
        <v>-5.9526700199999999E-6</v>
      </c>
      <c r="F109" s="3">
        <f t="shared" si="2"/>
        <v>-5.9526700199999999E-6</v>
      </c>
      <c r="G109" s="3">
        <v>0</v>
      </c>
      <c r="H109" s="3">
        <v>-7.1561737098720397E-3</v>
      </c>
      <c r="I109" s="3">
        <f t="shared" si="3"/>
        <v>-7.1561737098720397E-3</v>
      </c>
      <c r="J109" s="3">
        <v>-2.5175997414920398E-3</v>
      </c>
    </row>
    <row r="110" spans="1:10" x14ac:dyDescent="0.25">
      <c r="A110" t="s">
        <v>334</v>
      </c>
      <c r="B110" s="5" t="s">
        <v>565</v>
      </c>
      <c r="C110" t="s">
        <v>403</v>
      </c>
      <c r="D110" s="3"/>
      <c r="E110" s="3"/>
      <c r="F110" s="3">
        <f t="shared" si="2"/>
        <v>0</v>
      </c>
      <c r="G110" s="3"/>
      <c r="H110" s="3"/>
      <c r="I110" s="3">
        <f t="shared" si="3"/>
        <v>0</v>
      </c>
      <c r="J110" s="3"/>
    </row>
    <row r="111" spans="1:10" x14ac:dyDescent="0.25">
      <c r="A111" t="s">
        <v>335</v>
      </c>
      <c r="B111" s="5" t="s">
        <v>566</v>
      </c>
      <c r="C111" t="s">
        <v>403</v>
      </c>
      <c r="D111" s="3">
        <v>0</v>
      </c>
      <c r="E111" s="3">
        <v>-0.84799999999999998</v>
      </c>
      <c r="F111" s="3">
        <f t="shared" si="2"/>
        <v>-0.84799999999999998</v>
      </c>
      <c r="G111" s="3">
        <v>0</v>
      </c>
      <c r="H111" s="3">
        <v>0</v>
      </c>
      <c r="I111" s="3">
        <f t="shared" si="3"/>
        <v>0</v>
      </c>
      <c r="J111" s="3">
        <v>-0.84799999999999998</v>
      </c>
    </row>
    <row r="112" spans="1:10" x14ac:dyDescent="0.25">
      <c r="A112" t="s">
        <v>30</v>
      </c>
      <c r="B112" s="5" t="s">
        <v>567</v>
      </c>
      <c r="C112" t="s">
        <v>403</v>
      </c>
      <c r="D112" s="3">
        <v>0</v>
      </c>
      <c r="E112" s="3">
        <v>-0.26927870000000004</v>
      </c>
      <c r="F112" s="3">
        <f t="shared" si="2"/>
        <v>-0.26927870000000004</v>
      </c>
      <c r="G112" s="3">
        <v>0</v>
      </c>
      <c r="H112" s="3">
        <v>-9.9999999999999516E-3</v>
      </c>
      <c r="I112" s="3">
        <f t="shared" si="3"/>
        <v>-9.9999999999999516E-3</v>
      </c>
      <c r="J112" s="3">
        <v>-0.27927869999999999</v>
      </c>
    </row>
    <row r="113" spans="1:10" x14ac:dyDescent="0.25">
      <c r="A113" t="s">
        <v>31</v>
      </c>
      <c r="B113" s="5" t="s">
        <v>568</v>
      </c>
      <c r="C113" t="s">
        <v>403</v>
      </c>
      <c r="D113" s="3">
        <v>21.502300000000002</v>
      </c>
      <c r="E113" s="3">
        <v>-193.85856000000001</v>
      </c>
      <c r="F113" s="3">
        <f t="shared" si="2"/>
        <v>-193.85856000000001</v>
      </c>
      <c r="G113" s="3">
        <v>0</v>
      </c>
      <c r="H113" s="3">
        <v>2.4243999999999999</v>
      </c>
      <c r="I113" s="3">
        <f t="shared" si="3"/>
        <v>0</v>
      </c>
      <c r="J113" s="3">
        <v>-169.93186</v>
      </c>
    </row>
    <row r="114" spans="1:10" x14ac:dyDescent="0.25">
      <c r="A114" t="s">
        <v>336</v>
      </c>
      <c r="B114" s="5" t="s">
        <v>569</v>
      </c>
      <c r="C114" t="s">
        <v>403</v>
      </c>
      <c r="D114" s="3">
        <v>0</v>
      </c>
      <c r="E114" s="3">
        <v>-0.56799999999999995</v>
      </c>
      <c r="F114" s="3">
        <f t="shared" si="2"/>
        <v>-0.56799999999999995</v>
      </c>
      <c r="G114" s="3">
        <v>0</v>
      </c>
      <c r="H114" s="3">
        <v>0</v>
      </c>
      <c r="I114" s="3">
        <f t="shared" si="3"/>
        <v>0</v>
      </c>
      <c r="J114" s="3">
        <v>-0.56799999999999995</v>
      </c>
    </row>
    <row r="115" spans="1:10" x14ac:dyDescent="0.25">
      <c r="A115" t="s">
        <v>337</v>
      </c>
      <c r="B115" s="5" t="s">
        <v>570</v>
      </c>
      <c r="C115" t="s">
        <v>403</v>
      </c>
      <c r="D115" s="3">
        <v>0</v>
      </c>
      <c r="E115" s="3">
        <v>0</v>
      </c>
      <c r="F115" s="3">
        <f t="shared" si="2"/>
        <v>0</v>
      </c>
      <c r="G115" s="3">
        <v>0</v>
      </c>
      <c r="H115" s="3">
        <v>-6.1187962067162002E-5</v>
      </c>
      <c r="I115" s="3">
        <f t="shared" si="3"/>
        <v>-6.1187962067162002E-5</v>
      </c>
      <c r="J115" s="3">
        <v>-6.1187962067162002E-5</v>
      </c>
    </row>
    <row r="116" spans="1:10" x14ac:dyDescent="0.25">
      <c r="A116" t="s">
        <v>338</v>
      </c>
      <c r="B116" s="5" t="s">
        <v>571</v>
      </c>
      <c r="C116" t="s">
        <v>403</v>
      </c>
      <c r="D116" s="3">
        <v>0</v>
      </c>
      <c r="E116" s="3">
        <v>-24.632715999999999</v>
      </c>
      <c r="F116" s="3">
        <f t="shared" si="2"/>
        <v>-24.632715999999999</v>
      </c>
      <c r="G116" s="3">
        <v>0</v>
      </c>
      <c r="H116" s="3">
        <v>0</v>
      </c>
      <c r="I116" s="3">
        <f t="shared" si="3"/>
        <v>0</v>
      </c>
      <c r="J116" s="3">
        <v>-24.632715999999999</v>
      </c>
    </row>
    <row r="117" spans="1:10" x14ac:dyDescent="0.25">
      <c r="A117" t="s">
        <v>339</v>
      </c>
      <c r="B117" s="5" t="s">
        <v>572</v>
      </c>
      <c r="C117" t="s">
        <v>403</v>
      </c>
      <c r="D117" s="3">
        <v>0</v>
      </c>
      <c r="E117" s="3">
        <v>-2.1731419999999999</v>
      </c>
      <c r="F117" s="3">
        <f t="shared" si="2"/>
        <v>-2.1731419999999999</v>
      </c>
      <c r="G117" s="3">
        <v>0</v>
      </c>
      <c r="H117" s="3">
        <v>0</v>
      </c>
      <c r="I117" s="3">
        <f t="shared" si="3"/>
        <v>0</v>
      </c>
      <c r="J117" s="3">
        <v>-2.1731419999999999</v>
      </c>
    </row>
    <row r="118" spans="1:10" x14ac:dyDescent="0.25">
      <c r="A118" t="s">
        <v>340</v>
      </c>
      <c r="B118" s="5" t="s">
        <v>573</v>
      </c>
      <c r="C118" t="s">
        <v>403</v>
      </c>
      <c r="D118" s="3">
        <v>0</v>
      </c>
      <c r="E118" s="3">
        <v>-1.845</v>
      </c>
      <c r="F118" s="3">
        <f t="shared" si="2"/>
        <v>-1.845</v>
      </c>
      <c r="G118" s="3">
        <v>0</v>
      </c>
      <c r="H118" s="3">
        <v>0</v>
      </c>
      <c r="I118" s="3">
        <f t="shared" si="3"/>
        <v>0</v>
      </c>
      <c r="J118" s="3">
        <v>-1.845</v>
      </c>
    </row>
    <row r="119" spans="1:10" x14ac:dyDescent="0.25">
      <c r="A119" t="s">
        <v>341</v>
      </c>
      <c r="B119" s="5" t="s">
        <v>574</v>
      </c>
      <c r="C119" t="s">
        <v>403</v>
      </c>
      <c r="D119" s="3">
        <v>38.956426</v>
      </c>
      <c r="E119" s="3">
        <v>0</v>
      </c>
      <c r="F119" s="3">
        <f t="shared" si="2"/>
        <v>0</v>
      </c>
      <c r="G119" s="3">
        <v>0</v>
      </c>
      <c r="H119" s="3">
        <v>0</v>
      </c>
      <c r="I119" s="3">
        <f t="shared" si="3"/>
        <v>0</v>
      </c>
      <c r="J119" s="3">
        <v>38.956426</v>
      </c>
    </row>
    <row r="120" spans="1:10" x14ac:dyDescent="0.25">
      <c r="A120" t="s">
        <v>32</v>
      </c>
      <c r="B120" s="5" t="s">
        <v>575</v>
      </c>
      <c r="C120" t="s">
        <v>403</v>
      </c>
      <c r="D120" s="3">
        <v>53.807462999999998</v>
      </c>
      <c r="E120" s="3">
        <v>-4.7002687000000005</v>
      </c>
      <c r="F120" s="3">
        <f t="shared" si="2"/>
        <v>-4.7002687000000005</v>
      </c>
      <c r="G120" s="3">
        <v>0</v>
      </c>
      <c r="H120" s="3">
        <v>-5.6843418860808002E-15</v>
      </c>
      <c r="I120" s="3">
        <f t="shared" si="3"/>
        <v>-5.6843418860808002E-15</v>
      </c>
      <c r="J120" s="3">
        <v>49.107194299999996</v>
      </c>
    </row>
    <row r="121" spans="1:10" x14ac:dyDescent="0.25">
      <c r="A121" t="s">
        <v>33</v>
      </c>
      <c r="B121" s="5" t="s">
        <v>576</v>
      </c>
      <c r="C121" t="s">
        <v>403</v>
      </c>
      <c r="D121" s="3">
        <v>9.7689000000000004</v>
      </c>
      <c r="E121" s="3">
        <v>-120.8516</v>
      </c>
      <c r="F121" s="3">
        <f t="shared" si="2"/>
        <v>-120.8516</v>
      </c>
      <c r="G121" s="3">
        <v>0</v>
      </c>
      <c r="H121" s="3">
        <v>5.3290705182007502E-16</v>
      </c>
      <c r="I121" s="3">
        <f t="shared" si="3"/>
        <v>0</v>
      </c>
      <c r="J121" s="3">
        <v>-111.0827</v>
      </c>
    </row>
    <row r="122" spans="1:10" x14ac:dyDescent="0.25">
      <c r="A122" t="s">
        <v>342</v>
      </c>
      <c r="B122" s="5" t="s">
        <v>577</v>
      </c>
      <c r="C122" t="s">
        <v>403</v>
      </c>
      <c r="D122" s="3"/>
      <c r="E122" s="3"/>
      <c r="F122" s="3">
        <f t="shared" si="2"/>
        <v>0</v>
      </c>
      <c r="G122" s="3"/>
      <c r="H122" s="3"/>
      <c r="I122" s="3">
        <f t="shared" si="3"/>
        <v>0</v>
      </c>
      <c r="J122" s="3"/>
    </row>
    <row r="123" spans="1:10" x14ac:dyDescent="0.25">
      <c r="A123" t="s">
        <v>343</v>
      </c>
      <c r="B123" s="5" t="s">
        <v>578</v>
      </c>
      <c r="C123" t="s">
        <v>403</v>
      </c>
      <c r="D123" s="3">
        <v>0</v>
      </c>
      <c r="E123" s="3">
        <v>-16.231999999999999</v>
      </c>
      <c r="F123" s="3">
        <f t="shared" si="2"/>
        <v>-16.231999999999999</v>
      </c>
      <c r="G123" s="3">
        <v>0</v>
      </c>
      <c r="H123" s="3">
        <v>0</v>
      </c>
      <c r="I123" s="3">
        <f t="shared" si="3"/>
        <v>0</v>
      </c>
      <c r="J123" s="3">
        <v>-16.231999999999999</v>
      </c>
    </row>
    <row r="124" spans="1:10" x14ac:dyDescent="0.25">
      <c r="A124" t="s">
        <v>344</v>
      </c>
      <c r="B124" s="5" t="s">
        <v>579</v>
      </c>
      <c r="C124" t="s">
        <v>403</v>
      </c>
      <c r="D124" s="3">
        <v>0.99692764668941403</v>
      </c>
      <c r="E124" s="3">
        <v>-2.2792946767034401</v>
      </c>
      <c r="F124" s="3">
        <f t="shared" si="2"/>
        <v>-2.2792946767034401</v>
      </c>
      <c r="G124" s="3">
        <v>5.2293301090594699</v>
      </c>
      <c r="H124" s="3">
        <v>0.20485439821663101</v>
      </c>
      <c r="I124" s="3">
        <f t="shared" si="3"/>
        <v>0</v>
      </c>
      <c r="J124" s="3">
        <v>4.1518174772620799</v>
      </c>
    </row>
    <row r="125" spans="1:10" x14ac:dyDescent="0.25">
      <c r="A125" t="s">
        <v>7</v>
      </c>
      <c r="B125" s="5" t="s">
        <v>580</v>
      </c>
      <c r="C125" t="s">
        <v>403</v>
      </c>
      <c r="D125" s="3">
        <v>5.1070137876969905</v>
      </c>
      <c r="E125" s="3">
        <v>-32.885657006983102</v>
      </c>
      <c r="F125" s="3">
        <f t="shared" si="2"/>
        <v>-32.885657006983102</v>
      </c>
      <c r="G125" s="3">
        <v>1.7636843485979901</v>
      </c>
      <c r="H125" s="3">
        <v>-0.11129166597099101</v>
      </c>
      <c r="I125" s="3">
        <f t="shared" si="3"/>
        <v>-0.11129166597099101</v>
      </c>
      <c r="J125" s="3">
        <v>-26.1262505366591</v>
      </c>
    </row>
    <row r="126" spans="1:10" x14ac:dyDescent="0.25">
      <c r="A126" t="s">
        <v>345</v>
      </c>
      <c r="B126" s="5" t="s">
        <v>581</v>
      </c>
      <c r="C126" t="s">
        <v>403</v>
      </c>
      <c r="D126" s="3">
        <v>14.450074000000001</v>
      </c>
      <c r="E126" s="3">
        <v>-1.6563369999999999</v>
      </c>
      <c r="F126" s="3">
        <f t="shared" si="2"/>
        <v>-1.6563369999999999</v>
      </c>
      <c r="G126" s="3">
        <v>0</v>
      </c>
      <c r="H126" s="3">
        <v>3.5527136788005001E-16</v>
      </c>
      <c r="I126" s="3">
        <f t="shared" si="3"/>
        <v>0</v>
      </c>
      <c r="J126" s="3">
        <v>12.793737</v>
      </c>
    </row>
    <row r="127" spans="1:10" x14ac:dyDescent="0.25">
      <c r="A127" t="s">
        <v>34</v>
      </c>
      <c r="B127" s="5" t="s">
        <v>582</v>
      </c>
      <c r="C127" t="s">
        <v>403</v>
      </c>
      <c r="D127" s="3">
        <v>1.7769999999999999</v>
      </c>
      <c r="E127" s="3">
        <v>-55.581000000000003</v>
      </c>
      <c r="F127" s="3">
        <f t="shared" si="2"/>
        <v>-55.581000000000003</v>
      </c>
      <c r="G127" s="3">
        <v>0</v>
      </c>
      <c r="H127" s="3">
        <v>19.233000000000001</v>
      </c>
      <c r="I127" s="3">
        <f t="shared" si="3"/>
        <v>0</v>
      </c>
      <c r="J127" s="3">
        <v>-34.570999999999998</v>
      </c>
    </row>
    <row r="128" spans="1:10" x14ac:dyDescent="0.25">
      <c r="A128" t="s">
        <v>35</v>
      </c>
      <c r="B128" s="5" t="s">
        <v>583</v>
      </c>
      <c r="C128" t="s">
        <v>403</v>
      </c>
      <c r="D128" s="3">
        <v>311.51010000000002</v>
      </c>
      <c r="E128" s="3">
        <v>-4.7771999999999997</v>
      </c>
      <c r="F128" s="3">
        <f t="shared" si="2"/>
        <v>-4.7771999999999997</v>
      </c>
      <c r="G128" s="3">
        <v>0</v>
      </c>
      <c r="H128" s="3">
        <v>5.6843418860808002E-15</v>
      </c>
      <c r="I128" s="3">
        <f t="shared" si="3"/>
        <v>0</v>
      </c>
      <c r="J128" s="3">
        <v>306.73289999999997</v>
      </c>
    </row>
    <row r="129" spans="1:10" x14ac:dyDescent="0.25">
      <c r="A129" t="s">
        <v>346</v>
      </c>
      <c r="B129" s="5" t="s">
        <v>584</v>
      </c>
      <c r="C129" t="s">
        <v>403</v>
      </c>
      <c r="D129" s="3">
        <v>0</v>
      </c>
      <c r="E129" s="3">
        <v>-0.14399999999999999</v>
      </c>
      <c r="F129" s="3">
        <f t="shared" si="2"/>
        <v>-0.14399999999999999</v>
      </c>
      <c r="G129" s="3">
        <v>0</v>
      </c>
      <c r="H129" s="3">
        <v>0</v>
      </c>
      <c r="I129" s="3">
        <f t="shared" si="3"/>
        <v>0</v>
      </c>
      <c r="J129" s="3">
        <v>-0.14399999999999999</v>
      </c>
    </row>
    <row r="130" spans="1:10" x14ac:dyDescent="0.25">
      <c r="A130" t="s">
        <v>9</v>
      </c>
      <c r="B130" s="5" t="s">
        <v>585</v>
      </c>
      <c r="C130" t="s">
        <v>403</v>
      </c>
      <c r="D130" s="3">
        <v>5.2281597387931003</v>
      </c>
      <c r="E130" s="3">
        <v>-24.185443743225399</v>
      </c>
      <c r="F130" s="3">
        <f t="shared" si="2"/>
        <v>-24.185443743225399</v>
      </c>
      <c r="G130" s="3">
        <v>3.1490242776666699</v>
      </c>
      <c r="H130" s="3">
        <v>-2.38775722145976</v>
      </c>
      <c r="I130" s="3">
        <f t="shared" si="3"/>
        <v>-2.38775722145976</v>
      </c>
      <c r="J130" s="3">
        <v>-18.196016948225402</v>
      </c>
    </row>
    <row r="131" spans="1:10" x14ac:dyDescent="0.25">
      <c r="A131" t="s">
        <v>347</v>
      </c>
      <c r="B131" s="5" t="s">
        <v>421</v>
      </c>
      <c r="C131" t="s">
        <v>403</v>
      </c>
      <c r="D131" s="3"/>
      <c r="E131" s="3"/>
      <c r="F131" s="3">
        <f t="shared" ref="F131:F194" si="4">IF(E131&gt;0,0,E131)</f>
        <v>0</v>
      </c>
      <c r="G131" s="3"/>
      <c r="H131" s="3"/>
      <c r="I131" s="3">
        <f t="shared" ref="I131:I194" si="5">IF(H131&gt;0,0,H131)</f>
        <v>0</v>
      </c>
      <c r="J131" s="3"/>
    </row>
    <row r="132" spans="1:10" x14ac:dyDescent="0.25">
      <c r="A132" t="s">
        <v>348</v>
      </c>
      <c r="B132" s="5" t="s">
        <v>586</v>
      </c>
      <c r="C132" t="s">
        <v>403</v>
      </c>
      <c r="D132" s="3">
        <v>0</v>
      </c>
      <c r="E132" s="3">
        <v>24.86</v>
      </c>
      <c r="F132" s="3">
        <f t="shared" si="4"/>
        <v>0</v>
      </c>
      <c r="G132" s="3">
        <v>0</v>
      </c>
      <c r="H132" s="3">
        <v>3.43</v>
      </c>
      <c r="I132" s="3">
        <f t="shared" si="5"/>
        <v>0</v>
      </c>
      <c r="J132" s="3">
        <v>28.29</v>
      </c>
    </row>
    <row r="133" spans="1:10" x14ac:dyDescent="0.25">
      <c r="A133" t="s">
        <v>349</v>
      </c>
      <c r="B133" s="5" t="s">
        <v>587</v>
      </c>
      <c r="C133" t="s">
        <v>403</v>
      </c>
      <c r="D133" s="3">
        <v>0</v>
      </c>
      <c r="E133" s="3">
        <v>-9.9000000000000005E-2</v>
      </c>
      <c r="F133" s="3">
        <f t="shared" si="4"/>
        <v>-9.9000000000000005E-2</v>
      </c>
      <c r="G133" s="3">
        <v>0</v>
      </c>
      <c r="H133" s="3">
        <v>0</v>
      </c>
      <c r="I133" s="3">
        <f t="shared" si="5"/>
        <v>0</v>
      </c>
      <c r="J133" s="3">
        <v>-9.9000000000000005E-2</v>
      </c>
    </row>
    <row r="134" spans="1:10" x14ac:dyDescent="0.25">
      <c r="A134" t="s">
        <v>350</v>
      </c>
      <c r="B134" s="5" t="s">
        <v>588</v>
      </c>
      <c r="C134" t="s">
        <v>403</v>
      </c>
      <c r="D134" s="3">
        <v>8.9252603000000015</v>
      </c>
      <c r="E134" s="3">
        <v>-31.1579482</v>
      </c>
      <c r="F134" s="3">
        <f t="shared" si="4"/>
        <v>-31.1579482</v>
      </c>
      <c r="G134" s="3">
        <v>0</v>
      </c>
      <c r="H134" s="3">
        <v>-2.4868995751603497E-15</v>
      </c>
      <c r="I134" s="3">
        <f t="shared" si="5"/>
        <v>-2.4868995751603497E-15</v>
      </c>
      <c r="J134" s="3">
        <v>-22.232687899999998</v>
      </c>
    </row>
    <row r="135" spans="1:10" x14ac:dyDescent="0.25">
      <c r="A135" t="s">
        <v>36</v>
      </c>
      <c r="B135" s="5" t="s">
        <v>589</v>
      </c>
      <c r="C135" t="s">
        <v>403</v>
      </c>
      <c r="D135" s="3">
        <v>10.999727</v>
      </c>
      <c r="E135" s="3">
        <v>-16.965623000000001</v>
      </c>
      <c r="F135" s="3">
        <f t="shared" si="4"/>
        <v>-16.965623000000001</v>
      </c>
      <c r="G135" s="3">
        <v>1.7192799999999999</v>
      </c>
      <c r="H135" s="3">
        <v>-0.18934299999999901</v>
      </c>
      <c r="I135" s="3">
        <f t="shared" si="5"/>
        <v>-0.18934299999999901</v>
      </c>
      <c r="J135" s="3">
        <v>-4.4359590000000004</v>
      </c>
    </row>
    <row r="136" spans="1:10" x14ac:dyDescent="0.25">
      <c r="A136" t="s">
        <v>37</v>
      </c>
      <c r="B136" s="5" t="s">
        <v>590</v>
      </c>
      <c r="C136" t="s">
        <v>403</v>
      </c>
      <c r="D136" s="3">
        <v>45.365886000000003</v>
      </c>
      <c r="E136" s="3">
        <v>-22.587783000000002</v>
      </c>
      <c r="F136" s="3">
        <f t="shared" si="4"/>
        <v>-22.587783000000002</v>
      </c>
      <c r="G136" s="3">
        <v>0</v>
      </c>
      <c r="H136" s="3">
        <v>1.4210854715202001E-15</v>
      </c>
      <c r="I136" s="3">
        <f t="shared" si="5"/>
        <v>0</v>
      </c>
      <c r="J136" s="3">
        <v>22.778103000000002</v>
      </c>
    </row>
    <row r="137" spans="1:10" x14ac:dyDescent="0.25">
      <c r="A137" t="s">
        <v>351</v>
      </c>
      <c r="B137" s="5" t="s">
        <v>591</v>
      </c>
      <c r="C137" t="s">
        <v>403</v>
      </c>
      <c r="D137" s="3">
        <v>67.325109999999995</v>
      </c>
      <c r="E137" s="3">
        <v>11.459160499999999</v>
      </c>
      <c r="F137" s="3">
        <f t="shared" si="4"/>
        <v>0</v>
      </c>
      <c r="G137" s="3">
        <v>0</v>
      </c>
      <c r="H137" s="3">
        <v>0</v>
      </c>
      <c r="I137" s="3">
        <f t="shared" si="5"/>
        <v>0</v>
      </c>
      <c r="J137" s="3">
        <v>78.784270500000005</v>
      </c>
    </row>
    <row r="138" spans="1:10" x14ac:dyDescent="0.25">
      <c r="A138" t="s">
        <v>352</v>
      </c>
      <c r="B138" s="5" t="s">
        <v>592</v>
      </c>
      <c r="C138" t="s">
        <v>403</v>
      </c>
      <c r="D138" s="3">
        <v>0</v>
      </c>
      <c r="E138" s="3">
        <v>-105.11136999999999</v>
      </c>
      <c r="F138" s="3">
        <f t="shared" si="4"/>
        <v>-105.11136999999999</v>
      </c>
      <c r="G138" s="3">
        <v>0</v>
      </c>
      <c r="H138" s="3">
        <v>0</v>
      </c>
      <c r="I138" s="3">
        <f t="shared" si="5"/>
        <v>0</v>
      </c>
      <c r="J138" s="3">
        <v>-105.11136999999999</v>
      </c>
    </row>
    <row r="139" spans="1:10" x14ac:dyDescent="0.25">
      <c r="A139" t="s">
        <v>353</v>
      </c>
      <c r="B139" s="5" t="s">
        <v>593</v>
      </c>
      <c r="C139" t="s">
        <v>403</v>
      </c>
      <c r="D139" s="3">
        <v>0.74000694538553802</v>
      </c>
      <c r="E139" s="3">
        <v>-40.7585105839755</v>
      </c>
      <c r="F139" s="3">
        <f t="shared" si="4"/>
        <v>-40.7585105839755</v>
      </c>
      <c r="G139" s="3">
        <v>2.1645993190066699</v>
      </c>
      <c r="H139" s="3">
        <v>1.3449606710498998</v>
      </c>
      <c r="I139" s="3">
        <f t="shared" si="5"/>
        <v>0</v>
      </c>
      <c r="J139" s="3">
        <v>-36.508943648533396</v>
      </c>
    </row>
    <row r="140" spans="1:10" x14ac:dyDescent="0.25">
      <c r="A140" t="s">
        <v>354</v>
      </c>
      <c r="B140" s="5" t="s">
        <v>594</v>
      </c>
      <c r="C140" t="s">
        <v>403</v>
      </c>
      <c r="D140" s="3">
        <v>1.7474662886923</v>
      </c>
      <c r="E140" s="3">
        <v>-9.0440550396003889</v>
      </c>
      <c r="F140" s="3">
        <f t="shared" si="4"/>
        <v>-9.0440550396003889</v>
      </c>
      <c r="G140" s="3">
        <v>0</v>
      </c>
      <c r="H140" s="3">
        <v>0.55705175253661399</v>
      </c>
      <c r="I140" s="3">
        <f t="shared" si="5"/>
        <v>0</v>
      </c>
      <c r="J140" s="3">
        <v>-6.7395369983714799</v>
      </c>
    </row>
    <row r="141" spans="1:10" x14ac:dyDescent="0.25">
      <c r="A141" t="s">
        <v>355</v>
      </c>
      <c r="B141" s="5" t="s">
        <v>595</v>
      </c>
      <c r="C141" t="s">
        <v>403</v>
      </c>
      <c r="D141" s="3"/>
      <c r="E141" s="3"/>
      <c r="F141" s="3">
        <f t="shared" si="4"/>
        <v>0</v>
      </c>
      <c r="G141" s="3"/>
      <c r="H141" s="3"/>
      <c r="I141" s="3">
        <f t="shared" si="5"/>
        <v>0</v>
      </c>
      <c r="J141" s="3"/>
    </row>
    <row r="142" spans="1:10" x14ac:dyDescent="0.25">
      <c r="A142" t="s">
        <v>356</v>
      </c>
      <c r="B142" s="5" t="s">
        <v>596</v>
      </c>
      <c r="C142" t="s">
        <v>403</v>
      </c>
      <c r="D142" s="3">
        <v>0</v>
      </c>
      <c r="E142" s="3">
        <v>-49.9087155</v>
      </c>
      <c r="F142" s="3">
        <f t="shared" si="4"/>
        <v>-49.9087155</v>
      </c>
      <c r="G142" s="3">
        <v>0</v>
      </c>
      <c r="H142" s="3">
        <v>3.9331420000000001</v>
      </c>
      <c r="I142" s="3">
        <f t="shared" si="5"/>
        <v>0</v>
      </c>
      <c r="J142" s="3">
        <v>-45.975573500000003</v>
      </c>
    </row>
    <row r="143" spans="1:10" x14ac:dyDescent="0.25">
      <c r="A143" t="s">
        <v>357</v>
      </c>
      <c r="B143" s="5" t="s">
        <v>597</v>
      </c>
      <c r="C143" t="s">
        <v>403</v>
      </c>
      <c r="D143" s="3">
        <v>1.9352</v>
      </c>
      <c r="E143" s="3">
        <v>-1.5669</v>
      </c>
      <c r="F143" s="3">
        <f t="shared" si="4"/>
        <v>-1.5669</v>
      </c>
      <c r="G143" s="3">
        <v>0</v>
      </c>
      <c r="H143" s="3">
        <v>2.044</v>
      </c>
      <c r="I143" s="3">
        <f t="shared" si="5"/>
        <v>0</v>
      </c>
      <c r="J143" s="3">
        <v>2.4123000000000001</v>
      </c>
    </row>
    <row r="144" spans="1:10" x14ac:dyDescent="0.25">
      <c r="A144" t="s">
        <v>358</v>
      </c>
      <c r="B144" s="5" t="s">
        <v>598</v>
      </c>
      <c r="C144" t="s">
        <v>403</v>
      </c>
      <c r="D144" s="3">
        <v>1.94990458725282</v>
      </c>
      <c r="E144" s="3">
        <v>-29.335006440447199</v>
      </c>
      <c r="F144" s="3">
        <f t="shared" si="4"/>
        <v>-29.335006440447199</v>
      </c>
      <c r="G144" s="3">
        <v>0.16205256443566898</v>
      </c>
      <c r="H144" s="3">
        <v>-4.4066096041208098</v>
      </c>
      <c r="I144" s="3">
        <f t="shared" si="5"/>
        <v>-4.4066096041208098</v>
      </c>
      <c r="J144" s="3">
        <v>-31.629658892879601</v>
      </c>
    </row>
    <row r="145" spans="1:10" x14ac:dyDescent="0.25">
      <c r="A145" t="s">
        <v>11</v>
      </c>
      <c r="B145" s="5" t="s">
        <v>599</v>
      </c>
      <c r="C145" t="s">
        <v>403</v>
      </c>
      <c r="D145" s="3">
        <v>5.5646636357523898</v>
      </c>
      <c r="E145" s="3">
        <v>-695.12916595128706</v>
      </c>
      <c r="F145" s="3">
        <f t="shared" si="4"/>
        <v>-695.12916595128706</v>
      </c>
      <c r="G145" s="3">
        <v>115.950612428604</v>
      </c>
      <c r="H145" s="3">
        <v>-80.814662671337601</v>
      </c>
      <c r="I145" s="3">
        <f t="shared" si="5"/>
        <v>-80.814662671337601</v>
      </c>
      <c r="J145" s="3">
        <v>-654.42855255826794</v>
      </c>
    </row>
    <row r="146" spans="1:10" x14ac:dyDescent="0.25">
      <c r="A146" t="s">
        <v>359</v>
      </c>
      <c r="B146" s="5" t="s">
        <v>600</v>
      </c>
      <c r="C146" t="s">
        <v>403</v>
      </c>
      <c r="D146" s="3">
        <v>0</v>
      </c>
      <c r="E146" s="3">
        <v>-6.6993999999999998</v>
      </c>
      <c r="F146" s="3">
        <f t="shared" si="4"/>
        <v>-6.6993999999999998</v>
      </c>
      <c r="G146" s="3">
        <v>0</v>
      </c>
      <c r="H146" s="3">
        <v>0</v>
      </c>
      <c r="I146" s="3">
        <f t="shared" si="5"/>
        <v>0</v>
      </c>
      <c r="J146" s="3">
        <v>-6.6993999999999998</v>
      </c>
    </row>
    <row r="147" spans="1:10" x14ac:dyDescent="0.25">
      <c r="A147" t="s">
        <v>360</v>
      </c>
      <c r="B147" s="5" t="s">
        <v>601</v>
      </c>
      <c r="C147" t="s">
        <v>403</v>
      </c>
      <c r="D147" s="3">
        <v>0</v>
      </c>
      <c r="E147" s="3">
        <v>-0.13700000000000001</v>
      </c>
      <c r="F147" s="3">
        <f t="shared" si="4"/>
        <v>-0.13700000000000001</v>
      </c>
      <c r="G147" s="3">
        <v>0</v>
      </c>
      <c r="H147" s="3">
        <v>0</v>
      </c>
      <c r="I147" s="3">
        <f t="shared" si="5"/>
        <v>0</v>
      </c>
      <c r="J147" s="3">
        <v>-0.13700000000000001</v>
      </c>
    </row>
    <row r="148" spans="1:10" x14ac:dyDescent="0.25">
      <c r="A148" t="s">
        <v>361</v>
      </c>
      <c r="B148" s="5" t="s">
        <v>602</v>
      </c>
      <c r="C148" t="s">
        <v>403</v>
      </c>
      <c r="D148" s="3">
        <v>2.3137999999999999E-2</v>
      </c>
      <c r="E148" s="3">
        <v>-1.5918399999999999E-2</v>
      </c>
      <c r="F148" s="3">
        <f t="shared" si="4"/>
        <v>-1.5918399999999999E-2</v>
      </c>
      <c r="G148" s="3">
        <v>0</v>
      </c>
      <c r="H148" s="3">
        <v>4.0007060164715097E-18</v>
      </c>
      <c r="I148" s="3">
        <f t="shared" si="5"/>
        <v>0</v>
      </c>
      <c r="J148" s="3">
        <v>7.2196000000000005E-3</v>
      </c>
    </row>
    <row r="149" spans="1:10" x14ac:dyDescent="0.25">
      <c r="A149" t="s">
        <v>362</v>
      </c>
      <c r="B149" s="5" t="s">
        <v>603</v>
      </c>
      <c r="C149" t="s">
        <v>403</v>
      </c>
      <c r="D149" s="3">
        <v>0</v>
      </c>
      <c r="E149" s="3">
        <v>-5.5599999999999997E-2</v>
      </c>
      <c r="F149" s="3">
        <f t="shared" si="4"/>
        <v>-5.5599999999999997E-2</v>
      </c>
      <c r="G149" s="3">
        <v>0</v>
      </c>
      <c r="H149" s="3">
        <v>0</v>
      </c>
      <c r="I149" s="3">
        <f t="shared" si="5"/>
        <v>0</v>
      </c>
      <c r="J149" s="3">
        <v>-5.5599999999999997E-2</v>
      </c>
    </row>
    <row r="150" spans="1:10" x14ac:dyDescent="0.25">
      <c r="A150" t="s">
        <v>38</v>
      </c>
      <c r="B150" s="5" t="s">
        <v>604</v>
      </c>
      <c r="C150" t="s">
        <v>403</v>
      </c>
      <c r="D150" s="3">
        <v>0</v>
      </c>
      <c r="E150" s="3">
        <v>-0.75700000000000001</v>
      </c>
      <c r="F150" s="3">
        <f t="shared" si="4"/>
        <v>-0.75700000000000001</v>
      </c>
      <c r="G150" s="3">
        <v>0</v>
      </c>
      <c r="H150" s="3">
        <v>0</v>
      </c>
      <c r="I150" s="3">
        <f t="shared" si="5"/>
        <v>0</v>
      </c>
      <c r="J150" s="3">
        <v>-0.75700000000000001</v>
      </c>
    </row>
    <row r="151" spans="1:10" x14ac:dyDescent="0.25">
      <c r="A151" t="s">
        <v>363</v>
      </c>
      <c r="B151" s="5" t="s">
        <v>605</v>
      </c>
      <c r="C151" t="s">
        <v>403</v>
      </c>
      <c r="D151" s="3">
        <v>0</v>
      </c>
      <c r="E151" s="3">
        <v>-1.048E-2</v>
      </c>
      <c r="F151" s="3">
        <f t="shared" si="4"/>
        <v>-1.048E-2</v>
      </c>
      <c r="G151" s="3">
        <v>0</v>
      </c>
      <c r="H151" s="3">
        <v>0</v>
      </c>
      <c r="I151" s="3">
        <f t="shared" si="5"/>
        <v>0</v>
      </c>
      <c r="J151" s="3">
        <v>-1.048E-2</v>
      </c>
    </row>
    <row r="152" spans="1:10" x14ac:dyDescent="0.25">
      <c r="A152" t="s">
        <v>364</v>
      </c>
      <c r="B152" s="5" t="s">
        <v>606</v>
      </c>
      <c r="C152" t="s">
        <v>403</v>
      </c>
      <c r="D152" s="3">
        <v>0</v>
      </c>
      <c r="E152" s="3">
        <v>-0.33279999999999998</v>
      </c>
      <c r="F152" s="3">
        <f t="shared" si="4"/>
        <v>-0.33279999999999998</v>
      </c>
      <c r="G152" s="3">
        <v>0</v>
      </c>
      <c r="H152" s="3">
        <v>0</v>
      </c>
      <c r="I152" s="3">
        <f t="shared" si="5"/>
        <v>0</v>
      </c>
      <c r="J152" s="3">
        <v>-0.33279999999999998</v>
      </c>
    </row>
    <row r="153" spans="1:10" x14ac:dyDescent="0.25">
      <c r="A153" t="s">
        <v>365</v>
      </c>
      <c r="B153" s="5" t="s">
        <v>607</v>
      </c>
      <c r="C153" t="s">
        <v>403</v>
      </c>
      <c r="D153" s="3">
        <v>0</v>
      </c>
      <c r="E153" s="3">
        <v>-8.9697580000000006</v>
      </c>
      <c r="F153" s="3">
        <f t="shared" si="4"/>
        <v>-8.9697580000000006</v>
      </c>
      <c r="G153" s="3">
        <v>0</v>
      </c>
      <c r="H153" s="3">
        <v>0</v>
      </c>
      <c r="I153" s="3">
        <f t="shared" si="5"/>
        <v>0</v>
      </c>
      <c r="J153" s="3">
        <v>-8.9697580000000006</v>
      </c>
    </row>
    <row r="154" spans="1:10" x14ac:dyDescent="0.25">
      <c r="A154" t="s">
        <v>39</v>
      </c>
      <c r="B154" s="5" t="s">
        <v>608</v>
      </c>
      <c r="C154" t="s">
        <v>403</v>
      </c>
      <c r="D154" s="3">
        <v>0</v>
      </c>
      <c r="E154" s="3">
        <v>-12.2</v>
      </c>
      <c r="F154" s="3">
        <f t="shared" si="4"/>
        <v>-12.2</v>
      </c>
      <c r="G154" s="3">
        <v>0</v>
      </c>
      <c r="H154" s="3">
        <v>0</v>
      </c>
      <c r="I154" s="3">
        <f t="shared" si="5"/>
        <v>0</v>
      </c>
      <c r="J154" s="3">
        <v>-12.2</v>
      </c>
    </row>
    <row r="155" spans="1:10" x14ac:dyDescent="0.25">
      <c r="A155" t="s">
        <v>366</v>
      </c>
      <c r="B155" s="5" t="s">
        <v>609</v>
      </c>
      <c r="C155" t="s">
        <v>403</v>
      </c>
      <c r="D155" s="3">
        <v>0</v>
      </c>
      <c r="E155" s="3">
        <v>-17.219436000000002</v>
      </c>
      <c r="F155" s="3">
        <f t="shared" si="4"/>
        <v>-17.219436000000002</v>
      </c>
      <c r="G155" s="3">
        <v>0</v>
      </c>
      <c r="H155" s="3">
        <v>0</v>
      </c>
      <c r="I155" s="3">
        <f t="shared" si="5"/>
        <v>0</v>
      </c>
      <c r="J155" s="3">
        <v>-17.219436000000002</v>
      </c>
    </row>
    <row r="156" spans="1:10" x14ac:dyDescent="0.25">
      <c r="A156" t="s">
        <v>367</v>
      </c>
      <c r="B156" s="5" t="s">
        <v>610</v>
      </c>
      <c r="C156" t="s">
        <v>403</v>
      </c>
      <c r="D156" s="3">
        <v>0</v>
      </c>
      <c r="E156" s="3">
        <v>-0.82483799999999996</v>
      </c>
      <c r="F156" s="3">
        <f t="shared" si="4"/>
        <v>-0.82483799999999996</v>
      </c>
      <c r="G156" s="3">
        <v>0</v>
      </c>
      <c r="H156" s="3">
        <v>0</v>
      </c>
      <c r="I156" s="3">
        <f t="shared" si="5"/>
        <v>0</v>
      </c>
      <c r="J156" s="3">
        <v>-0.82483799999999996</v>
      </c>
    </row>
    <row r="157" spans="1:10" x14ac:dyDescent="0.25">
      <c r="A157" t="s">
        <v>368</v>
      </c>
      <c r="B157" s="5" t="s">
        <v>611</v>
      </c>
      <c r="C157" t="s">
        <v>403</v>
      </c>
      <c r="D157" s="3"/>
      <c r="E157" s="3"/>
      <c r="F157" s="3">
        <f t="shared" si="4"/>
        <v>0</v>
      </c>
      <c r="G157" s="3"/>
      <c r="H157" s="3"/>
      <c r="I157" s="3">
        <f t="shared" si="5"/>
        <v>0</v>
      </c>
      <c r="J157" s="3"/>
    </row>
    <row r="158" spans="1:10" x14ac:dyDescent="0.25">
      <c r="A158" t="s">
        <v>369</v>
      </c>
      <c r="B158" s="5" t="s">
        <v>612</v>
      </c>
      <c r="C158" t="s">
        <v>403</v>
      </c>
      <c r="D158" s="3">
        <v>0</v>
      </c>
      <c r="E158" s="3">
        <v>-0.23923</v>
      </c>
      <c r="F158" s="3">
        <f t="shared" si="4"/>
        <v>-0.23923</v>
      </c>
      <c r="G158" s="3">
        <v>0</v>
      </c>
      <c r="H158" s="3">
        <v>0</v>
      </c>
      <c r="I158" s="3">
        <f t="shared" si="5"/>
        <v>0</v>
      </c>
      <c r="J158" s="3">
        <v>-0.23923</v>
      </c>
    </row>
    <row r="159" spans="1:10" x14ac:dyDescent="0.25">
      <c r="A159" t="s">
        <v>370</v>
      </c>
      <c r="B159" s="5" t="s">
        <v>613</v>
      </c>
      <c r="C159" t="s">
        <v>403</v>
      </c>
      <c r="D159" s="3">
        <v>7.9139689684836811E-2</v>
      </c>
      <c r="E159" s="3">
        <v>-6.3499549535308706</v>
      </c>
      <c r="F159" s="3">
        <f t="shared" si="4"/>
        <v>-6.3499549535308706</v>
      </c>
      <c r="G159" s="3">
        <v>0</v>
      </c>
      <c r="H159" s="3">
        <v>-1.14713222106486</v>
      </c>
      <c r="I159" s="3">
        <f t="shared" si="5"/>
        <v>-1.14713222106486</v>
      </c>
      <c r="J159" s="3">
        <v>-7.4179474849108908</v>
      </c>
    </row>
    <row r="160" spans="1:10" x14ac:dyDescent="0.25">
      <c r="A160" t="s">
        <v>371</v>
      </c>
      <c r="B160" s="5" t="s">
        <v>614</v>
      </c>
      <c r="C160" t="s">
        <v>403</v>
      </c>
      <c r="D160" s="3">
        <v>0.23295998660070399</v>
      </c>
      <c r="E160" s="3">
        <v>-2.4820265381819402</v>
      </c>
      <c r="F160" s="3">
        <f t="shared" si="4"/>
        <v>-2.4820265381819402</v>
      </c>
      <c r="G160" s="3">
        <v>8.8851516874999995E-2</v>
      </c>
      <c r="H160" s="3">
        <v>-0.36546322811679799</v>
      </c>
      <c r="I160" s="3">
        <f t="shared" si="5"/>
        <v>-0.36546322811679799</v>
      </c>
      <c r="J160" s="3">
        <v>-2.5256782628230301</v>
      </c>
    </row>
    <row r="161" spans="1:10" x14ac:dyDescent="0.25">
      <c r="A161" t="s">
        <v>372</v>
      </c>
      <c r="B161" s="5" t="s">
        <v>615</v>
      </c>
      <c r="C161" t="s">
        <v>403</v>
      </c>
      <c r="D161" s="3">
        <v>0.19723320000000003</v>
      </c>
      <c r="E161" s="3">
        <v>12.9838644</v>
      </c>
      <c r="F161" s="3">
        <f t="shared" si="4"/>
        <v>0</v>
      </c>
      <c r="G161" s="3">
        <v>0</v>
      </c>
      <c r="H161" s="3">
        <v>0</v>
      </c>
      <c r="I161" s="3">
        <f t="shared" si="5"/>
        <v>0</v>
      </c>
      <c r="J161" s="3">
        <v>13.181097599999999</v>
      </c>
    </row>
    <row r="162" spans="1:10" x14ac:dyDescent="0.25">
      <c r="A162" t="s">
        <v>40</v>
      </c>
      <c r="B162" s="5" t="s">
        <v>616</v>
      </c>
      <c r="C162" t="s">
        <v>403</v>
      </c>
      <c r="D162" s="3">
        <v>34.931713999999999</v>
      </c>
      <c r="E162" s="3">
        <v>-2.1366040000000002</v>
      </c>
      <c r="F162" s="3">
        <f t="shared" si="4"/>
        <v>-2.1366040000000002</v>
      </c>
      <c r="G162" s="3">
        <v>0</v>
      </c>
      <c r="H162" s="3">
        <v>7.1054273576010003E-16</v>
      </c>
      <c r="I162" s="3">
        <f t="shared" si="5"/>
        <v>0</v>
      </c>
      <c r="J162" s="3">
        <v>32.795110000000001</v>
      </c>
    </row>
    <row r="163" spans="1:10" x14ac:dyDescent="0.25">
      <c r="A163" t="s">
        <v>373</v>
      </c>
      <c r="B163" s="5" t="s">
        <v>617</v>
      </c>
      <c r="C163" t="s">
        <v>403</v>
      </c>
      <c r="D163" s="3">
        <v>15.54186</v>
      </c>
      <c r="E163" s="3">
        <v>-24.37669</v>
      </c>
      <c r="F163" s="3">
        <f t="shared" si="4"/>
        <v>-24.37669</v>
      </c>
      <c r="G163" s="3">
        <v>0</v>
      </c>
      <c r="H163" s="3">
        <v>-14.976419999999999</v>
      </c>
      <c r="I163" s="3">
        <f t="shared" si="5"/>
        <v>-14.976419999999999</v>
      </c>
      <c r="J163" s="3">
        <v>-23.811250000000001</v>
      </c>
    </row>
    <row r="164" spans="1:10" x14ac:dyDescent="0.25">
      <c r="A164" t="s">
        <v>374</v>
      </c>
      <c r="B164" s="5" t="s">
        <v>618</v>
      </c>
      <c r="C164" t="s">
        <v>403</v>
      </c>
      <c r="D164" s="3">
        <v>2.8</v>
      </c>
      <c r="E164" s="3">
        <v>0</v>
      </c>
      <c r="F164" s="3">
        <f t="shared" si="4"/>
        <v>0</v>
      </c>
      <c r="G164" s="3">
        <v>0</v>
      </c>
      <c r="H164" s="3">
        <v>0</v>
      </c>
      <c r="I164" s="3">
        <f t="shared" si="5"/>
        <v>0</v>
      </c>
      <c r="J164" s="3">
        <v>2.8</v>
      </c>
    </row>
    <row r="165" spans="1:10" x14ac:dyDescent="0.25">
      <c r="A165" t="s">
        <v>375</v>
      </c>
      <c r="B165" s="5" t="s">
        <v>619</v>
      </c>
      <c r="C165" t="s">
        <v>403</v>
      </c>
      <c r="D165" s="3">
        <v>0.58269617598839496</v>
      </c>
      <c r="E165" s="3">
        <v>-35.693693414745397</v>
      </c>
      <c r="F165" s="3">
        <f t="shared" si="4"/>
        <v>-35.693693414745397</v>
      </c>
      <c r="G165" s="3">
        <v>0</v>
      </c>
      <c r="H165" s="3">
        <v>-1.8487117282326899</v>
      </c>
      <c r="I165" s="3">
        <f t="shared" si="5"/>
        <v>-1.8487117282326899</v>
      </c>
      <c r="J165" s="3">
        <v>-36.959708966989702</v>
      </c>
    </row>
    <row r="166" spans="1:10" x14ac:dyDescent="0.25">
      <c r="A166" t="s">
        <v>41</v>
      </c>
      <c r="B166" s="5" t="s">
        <v>418</v>
      </c>
      <c r="C166" t="s">
        <v>403</v>
      </c>
      <c r="D166" s="3">
        <v>4.3650000000000002</v>
      </c>
      <c r="E166" s="3">
        <v>-7.1999999999999995E-2</v>
      </c>
      <c r="F166" s="3">
        <f t="shared" si="4"/>
        <v>-7.1999999999999995E-2</v>
      </c>
      <c r="G166" s="3">
        <v>0</v>
      </c>
      <c r="H166" s="3">
        <v>0</v>
      </c>
      <c r="I166" s="3">
        <f t="shared" si="5"/>
        <v>0</v>
      </c>
      <c r="J166" s="3">
        <v>4.2930000000000001</v>
      </c>
    </row>
    <row r="167" spans="1:10" x14ac:dyDescent="0.25">
      <c r="A167" t="s">
        <v>376</v>
      </c>
      <c r="B167" s="5" t="s">
        <v>620</v>
      </c>
      <c r="C167" t="s">
        <v>403</v>
      </c>
      <c r="D167" s="3">
        <v>23.923999999999999</v>
      </c>
      <c r="E167" s="3">
        <v>-13.780799999999999</v>
      </c>
      <c r="F167" s="3">
        <f t="shared" si="4"/>
        <v>-13.780799999999999</v>
      </c>
      <c r="G167" s="3">
        <v>0</v>
      </c>
      <c r="H167" s="3">
        <v>0</v>
      </c>
      <c r="I167" s="3">
        <f t="shared" si="5"/>
        <v>0</v>
      </c>
      <c r="J167" s="3">
        <v>10.1432</v>
      </c>
    </row>
    <row r="168" spans="1:10" x14ac:dyDescent="0.25">
      <c r="A168" t="s">
        <v>377</v>
      </c>
      <c r="B168" s="5" t="s">
        <v>621</v>
      </c>
      <c r="C168" t="s">
        <v>403</v>
      </c>
      <c r="D168" s="3">
        <v>7.0598519839999998</v>
      </c>
      <c r="E168" s="3">
        <v>5.4573975999999993</v>
      </c>
      <c r="F168" s="3">
        <f t="shared" si="4"/>
        <v>0</v>
      </c>
      <c r="G168" s="3">
        <v>0</v>
      </c>
      <c r="H168" s="3">
        <v>1.06581410364015E-15</v>
      </c>
      <c r="I168" s="3">
        <f t="shared" si="5"/>
        <v>0</v>
      </c>
      <c r="J168" s="3">
        <v>12.517249584</v>
      </c>
    </row>
    <row r="169" spans="1:10" x14ac:dyDescent="0.25">
      <c r="A169" t="s">
        <v>378</v>
      </c>
      <c r="B169" s="5" t="s">
        <v>622</v>
      </c>
      <c r="C169" t="s">
        <v>403</v>
      </c>
      <c r="D169" s="3">
        <v>0.40300000000000002</v>
      </c>
      <c r="E169" s="3">
        <v>-4.0359790000000002</v>
      </c>
      <c r="F169" s="3">
        <f t="shared" si="4"/>
        <v>-4.0359790000000002</v>
      </c>
      <c r="G169" s="3">
        <v>0</v>
      </c>
      <c r="H169" s="3">
        <v>0.14823</v>
      </c>
      <c r="I169" s="3">
        <f t="shared" si="5"/>
        <v>0</v>
      </c>
      <c r="J169" s="3">
        <v>-3.4847489999999999</v>
      </c>
    </row>
    <row r="170" spans="1:10" x14ac:dyDescent="0.25">
      <c r="A170" t="s">
        <v>379</v>
      </c>
      <c r="B170" s="5" t="s">
        <v>623</v>
      </c>
      <c r="C170" t="s">
        <v>403</v>
      </c>
      <c r="D170" s="3">
        <v>2.7264335749200002</v>
      </c>
      <c r="E170" s="3">
        <v>-53.183895037933901</v>
      </c>
      <c r="F170" s="3">
        <f t="shared" si="4"/>
        <v>-53.183895037933901</v>
      </c>
      <c r="G170" s="3">
        <v>8.75083525543333</v>
      </c>
      <c r="H170" s="3">
        <v>0.86932735574667297</v>
      </c>
      <c r="I170" s="3">
        <f t="shared" si="5"/>
        <v>0</v>
      </c>
      <c r="J170" s="3">
        <v>-40.8372988518339</v>
      </c>
    </row>
    <row r="171" spans="1:10" x14ac:dyDescent="0.25">
      <c r="A171" t="s">
        <v>380</v>
      </c>
      <c r="B171" s="5" t="s">
        <v>624</v>
      </c>
      <c r="C171" t="s">
        <v>403</v>
      </c>
      <c r="D171" s="3">
        <v>0.65671012893962699</v>
      </c>
      <c r="E171" s="3">
        <v>-3.0489159740114999</v>
      </c>
      <c r="F171" s="3">
        <f t="shared" si="4"/>
        <v>-3.0489159740114999</v>
      </c>
      <c r="G171" s="3">
        <v>0.59351026438880006</v>
      </c>
      <c r="H171" s="3">
        <v>3.8142310926940801E-2</v>
      </c>
      <c r="I171" s="3">
        <f t="shared" si="5"/>
        <v>0</v>
      </c>
      <c r="J171" s="3">
        <v>-1.7605532697561299</v>
      </c>
    </row>
    <row r="172" spans="1:10" x14ac:dyDescent="0.25">
      <c r="A172" t="s">
        <v>381</v>
      </c>
      <c r="B172" s="5" t="s">
        <v>625</v>
      </c>
      <c r="C172" t="s">
        <v>403</v>
      </c>
      <c r="D172" s="3">
        <v>0</v>
      </c>
      <c r="E172" s="3">
        <v>-4.2999999999999997E-2</v>
      </c>
      <c r="F172" s="3">
        <f t="shared" si="4"/>
        <v>-4.2999999999999997E-2</v>
      </c>
      <c r="G172" s="3">
        <v>0</v>
      </c>
      <c r="H172" s="3">
        <v>0</v>
      </c>
      <c r="I172" s="3">
        <f t="shared" si="5"/>
        <v>0</v>
      </c>
      <c r="J172" s="3">
        <v>-4.2999999999999997E-2</v>
      </c>
    </row>
    <row r="173" spans="1:10" x14ac:dyDescent="0.25">
      <c r="A173" t="s">
        <v>382</v>
      </c>
      <c r="B173" s="5" t="s">
        <v>626</v>
      </c>
      <c r="C173" t="s">
        <v>403</v>
      </c>
      <c r="D173" s="3">
        <v>0</v>
      </c>
      <c r="E173" s="3">
        <v>-1.82</v>
      </c>
      <c r="F173" s="3">
        <f t="shared" si="4"/>
        <v>-1.82</v>
      </c>
      <c r="G173" s="3">
        <v>0</v>
      </c>
      <c r="H173" s="3">
        <v>0</v>
      </c>
      <c r="I173" s="3">
        <f t="shared" si="5"/>
        <v>0</v>
      </c>
      <c r="J173" s="3">
        <v>-1.82</v>
      </c>
    </row>
    <row r="174" spans="1:10" x14ac:dyDescent="0.25">
      <c r="A174" t="s">
        <v>383</v>
      </c>
      <c r="B174" s="5" t="s">
        <v>415</v>
      </c>
      <c r="C174" t="s">
        <v>403</v>
      </c>
      <c r="D174" s="3">
        <v>15.326055999999999</v>
      </c>
      <c r="E174" s="3">
        <v>-31.511648999999998</v>
      </c>
      <c r="F174" s="3">
        <f t="shared" si="4"/>
        <v>-31.511648999999998</v>
      </c>
      <c r="G174" s="3">
        <v>0</v>
      </c>
      <c r="H174" s="3">
        <v>0</v>
      </c>
      <c r="I174" s="3">
        <f t="shared" si="5"/>
        <v>0</v>
      </c>
      <c r="J174" s="3">
        <v>-16.185593000000001</v>
      </c>
    </row>
    <row r="175" spans="1:10" x14ac:dyDescent="0.25">
      <c r="A175" t="s">
        <v>385</v>
      </c>
      <c r="B175" s="5" t="s">
        <v>627</v>
      </c>
      <c r="C175" t="s">
        <v>403</v>
      </c>
      <c r="D175" s="3">
        <v>0.56399999999999995</v>
      </c>
      <c r="E175" s="3">
        <v>-1.6357999999999999</v>
      </c>
      <c r="F175" s="3">
        <f t="shared" si="4"/>
        <v>-1.6357999999999999</v>
      </c>
      <c r="G175" s="3">
        <v>0</v>
      </c>
      <c r="H175" s="3">
        <v>4.4408920985006301E-17</v>
      </c>
      <c r="I175" s="3">
        <f t="shared" si="5"/>
        <v>0</v>
      </c>
      <c r="J175" s="3">
        <v>-1.0718000000000001</v>
      </c>
    </row>
    <row r="176" spans="1:10" x14ac:dyDescent="0.25">
      <c r="A176" t="s">
        <v>42</v>
      </c>
      <c r="B176" s="5" t="s">
        <v>628</v>
      </c>
      <c r="C176" t="s">
        <v>403</v>
      </c>
      <c r="D176" s="3">
        <v>0.84503399999999995</v>
      </c>
      <c r="E176" s="3">
        <v>-0.11551400000000001</v>
      </c>
      <c r="F176" s="3">
        <f t="shared" si="4"/>
        <v>-0.11551400000000001</v>
      </c>
      <c r="G176" s="3">
        <v>0</v>
      </c>
      <c r="H176" s="3">
        <v>0</v>
      </c>
      <c r="I176" s="3">
        <f t="shared" si="5"/>
        <v>0</v>
      </c>
      <c r="J176" s="3">
        <v>0.72951999999999995</v>
      </c>
    </row>
    <row r="177" spans="1:10" x14ac:dyDescent="0.25">
      <c r="A177" t="s">
        <v>386</v>
      </c>
      <c r="B177" s="5" t="s">
        <v>629</v>
      </c>
      <c r="C177" t="s">
        <v>403</v>
      </c>
      <c r="D177" s="3">
        <v>0</v>
      </c>
      <c r="E177" s="3">
        <v>-1.9970000000000001</v>
      </c>
      <c r="F177" s="3">
        <f t="shared" si="4"/>
        <v>-1.9970000000000001</v>
      </c>
      <c r="G177" s="3">
        <v>0</v>
      </c>
      <c r="H177" s="3">
        <v>0</v>
      </c>
      <c r="I177" s="3">
        <f t="shared" si="5"/>
        <v>0</v>
      </c>
      <c r="J177" s="3">
        <v>-1.9970000000000001</v>
      </c>
    </row>
    <row r="178" spans="1:10" x14ac:dyDescent="0.25">
      <c r="A178" t="s">
        <v>387</v>
      </c>
      <c r="B178" s="5" t="s">
        <v>630</v>
      </c>
      <c r="C178" t="s">
        <v>403</v>
      </c>
      <c r="D178" s="3">
        <v>0</v>
      </c>
      <c r="E178" s="3">
        <v>-2.188221</v>
      </c>
      <c r="F178" s="3">
        <f t="shared" si="4"/>
        <v>-2.188221</v>
      </c>
      <c r="G178" s="3">
        <v>0</v>
      </c>
      <c r="H178" s="3">
        <v>0</v>
      </c>
      <c r="I178" s="3">
        <f t="shared" si="5"/>
        <v>0</v>
      </c>
      <c r="J178" s="3">
        <v>-2.188221</v>
      </c>
    </row>
    <row r="179" spans="1:10" x14ac:dyDescent="0.25">
      <c r="A179" t="s">
        <v>388</v>
      </c>
      <c r="B179" s="5" t="s">
        <v>425</v>
      </c>
      <c r="C179" t="s">
        <v>403</v>
      </c>
      <c r="D179" s="3">
        <v>11.108700000000001</v>
      </c>
      <c r="E179" s="3">
        <v>-2.9018000000000002</v>
      </c>
      <c r="F179" s="3">
        <f t="shared" si="4"/>
        <v>-2.9018000000000002</v>
      </c>
      <c r="G179" s="3">
        <v>0</v>
      </c>
      <c r="H179" s="3">
        <v>-4.38</v>
      </c>
      <c r="I179" s="3">
        <f t="shared" si="5"/>
        <v>-4.38</v>
      </c>
      <c r="J179" s="3">
        <v>3.8269000000000002</v>
      </c>
    </row>
    <row r="180" spans="1:10" x14ac:dyDescent="0.25">
      <c r="A180" t="s">
        <v>13</v>
      </c>
      <c r="B180" s="5" t="s">
        <v>631</v>
      </c>
      <c r="C180" t="s">
        <v>403</v>
      </c>
      <c r="D180" s="3">
        <v>1.6839508562626999</v>
      </c>
      <c r="E180" s="3">
        <v>-86.05018815694099</v>
      </c>
      <c r="F180" s="3">
        <f t="shared" si="4"/>
        <v>-86.05018815694099</v>
      </c>
      <c r="G180" s="3">
        <v>7.1802499999999996E-4</v>
      </c>
      <c r="H180" s="3">
        <v>0.59637910487284806</v>
      </c>
      <c r="I180" s="3">
        <f t="shared" si="5"/>
        <v>0</v>
      </c>
      <c r="J180" s="3">
        <v>-83.7691401708054</v>
      </c>
    </row>
    <row r="181" spans="1:10" x14ac:dyDescent="0.25">
      <c r="A181" t="s">
        <v>389</v>
      </c>
      <c r="B181" s="5" t="s">
        <v>632</v>
      </c>
      <c r="C181" t="s">
        <v>403</v>
      </c>
      <c r="D181" s="3">
        <v>0</v>
      </c>
      <c r="E181" s="3">
        <v>-0.86651599999999995</v>
      </c>
      <c r="F181" s="3">
        <f t="shared" si="4"/>
        <v>-0.86651599999999995</v>
      </c>
      <c r="G181" s="3">
        <v>0</v>
      </c>
      <c r="H181" s="3">
        <v>0</v>
      </c>
      <c r="I181" s="3">
        <f t="shared" si="5"/>
        <v>0</v>
      </c>
      <c r="J181" s="3">
        <v>-0.86651599999999995</v>
      </c>
    </row>
    <row r="182" spans="1:10" x14ac:dyDescent="0.25">
      <c r="A182" t="s">
        <v>390</v>
      </c>
      <c r="B182" s="5" t="s">
        <v>633</v>
      </c>
      <c r="C182" t="s">
        <v>403</v>
      </c>
      <c r="D182" s="3">
        <v>0</v>
      </c>
      <c r="E182" s="3">
        <v>-3.4E-5</v>
      </c>
      <c r="F182" s="3">
        <f t="shared" si="4"/>
        <v>-3.4E-5</v>
      </c>
      <c r="G182" s="3">
        <v>0</v>
      </c>
      <c r="H182" s="3">
        <v>0</v>
      </c>
      <c r="I182" s="3">
        <f t="shared" si="5"/>
        <v>0</v>
      </c>
      <c r="J182" s="3">
        <v>-3.4E-5</v>
      </c>
    </row>
    <row r="183" spans="1:10" x14ac:dyDescent="0.25">
      <c r="A183" t="s">
        <v>391</v>
      </c>
      <c r="B183" s="5" t="s">
        <v>634</v>
      </c>
      <c r="C183" t="s">
        <v>403</v>
      </c>
      <c r="D183" s="3">
        <v>13</v>
      </c>
      <c r="E183" s="3">
        <v>37.6</v>
      </c>
      <c r="F183" s="3">
        <f t="shared" si="4"/>
        <v>0</v>
      </c>
      <c r="G183" s="3">
        <v>0</v>
      </c>
      <c r="H183" s="3">
        <v>0</v>
      </c>
      <c r="I183" s="3">
        <f t="shared" si="5"/>
        <v>0</v>
      </c>
      <c r="J183" s="3">
        <v>50.6</v>
      </c>
    </row>
    <row r="184" spans="1:10" x14ac:dyDescent="0.25">
      <c r="A184" t="s">
        <v>392</v>
      </c>
      <c r="B184" s="5" t="s">
        <v>635</v>
      </c>
      <c r="C184" t="s">
        <v>403</v>
      </c>
      <c r="D184" s="3">
        <v>0.13787832310804099</v>
      </c>
      <c r="E184" s="3">
        <v>-27.178130026294298</v>
      </c>
      <c r="F184" s="3">
        <f t="shared" si="4"/>
        <v>-27.178130026294298</v>
      </c>
      <c r="G184" s="3">
        <v>2.8111410451902699</v>
      </c>
      <c r="H184" s="3">
        <v>40.289649766889404</v>
      </c>
      <c r="I184" s="3">
        <f t="shared" si="5"/>
        <v>0</v>
      </c>
      <c r="J184" s="3">
        <v>16.060539108893501</v>
      </c>
    </row>
    <row r="185" spans="1:10" x14ac:dyDescent="0.25">
      <c r="A185" t="s">
        <v>393</v>
      </c>
      <c r="B185" s="5" t="s">
        <v>636</v>
      </c>
      <c r="C185" t="s">
        <v>403</v>
      </c>
      <c r="D185" s="3">
        <v>0</v>
      </c>
      <c r="E185" s="3">
        <v>-8.7542805333333398</v>
      </c>
      <c r="F185" s="3">
        <f t="shared" si="4"/>
        <v>-8.7542805333333398</v>
      </c>
      <c r="G185" s="3">
        <v>0</v>
      </c>
      <c r="H185" s="3">
        <v>0</v>
      </c>
      <c r="I185" s="3">
        <f t="shared" si="5"/>
        <v>0</v>
      </c>
      <c r="J185" s="3">
        <v>-8.7542805333333398</v>
      </c>
    </row>
    <row r="186" spans="1:10" x14ac:dyDescent="0.25">
      <c r="A186" t="s">
        <v>394</v>
      </c>
      <c r="B186" s="5" t="s">
        <v>637</v>
      </c>
      <c r="C186" t="s">
        <v>403</v>
      </c>
      <c r="D186" s="3">
        <v>1.14131630950448</v>
      </c>
      <c r="E186" s="3">
        <v>-21.220982908480302</v>
      </c>
      <c r="F186" s="3">
        <f t="shared" si="4"/>
        <v>-21.220982908480302</v>
      </c>
      <c r="G186" s="3">
        <v>11.996866664394901</v>
      </c>
      <c r="H186" s="3">
        <v>4.8113790719578597</v>
      </c>
      <c r="I186" s="3">
        <f t="shared" si="5"/>
        <v>0</v>
      </c>
      <c r="J186" s="3">
        <v>-3.2714208626229899</v>
      </c>
    </row>
    <row r="187" spans="1:10" x14ac:dyDescent="0.25">
      <c r="A187" t="s">
        <v>395</v>
      </c>
      <c r="B187" s="5" t="s">
        <v>638</v>
      </c>
      <c r="C187" t="s">
        <v>403</v>
      </c>
      <c r="D187" s="3">
        <v>76.66</v>
      </c>
      <c r="E187" s="3">
        <v>0</v>
      </c>
      <c r="F187" s="3">
        <f t="shared" si="4"/>
        <v>0</v>
      </c>
      <c r="G187" s="3">
        <v>0</v>
      </c>
      <c r="H187" s="3">
        <v>0</v>
      </c>
      <c r="I187" s="3">
        <f t="shared" si="5"/>
        <v>0</v>
      </c>
      <c r="J187" s="3">
        <v>76.66</v>
      </c>
    </row>
    <row r="188" spans="1:10" x14ac:dyDescent="0.25">
      <c r="A188" t="s">
        <v>15</v>
      </c>
      <c r="B188" s="5" t="s">
        <v>416</v>
      </c>
      <c r="C188" t="s">
        <v>403</v>
      </c>
      <c r="D188" s="3">
        <v>126.523448074101</v>
      </c>
      <c r="E188" s="3">
        <v>-778.06597434488003</v>
      </c>
      <c r="F188" s="3">
        <f t="shared" si="4"/>
        <v>-778.06597434488003</v>
      </c>
      <c r="G188" s="3">
        <v>44.649819561406595</v>
      </c>
      <c r="H188" s="3">
        <v>-204.36088323662202</v>
      </c>
      <c r="I188" s="3">
        <f t="shared" si="5"/>
        <v>-204.36088323662202</v>
      </c>
      <c r="J188" s="3">
        <v>-811.25358994599401</v>
      </c>
    </row>
    <row r="189" spans="1:10" x14ac:dyDescent="0.25">
      <c r="A189" t="s">
        <v>396</v>
      </c>
      <c r="B189" s="5" t="s">
        <v>639</v>
      </c>
      <c r="C189" t="s">
        <v>403</v>
      </c>
      <c r="D189" s="3">
        <v>3.6776</v>
      </c>
      <c r="E189" s="3">
        <v>-17.377558000000001</v>
      </c>
      <c r="F189" s="3">
        <f t="shared" si="4"/>
        <v>-17.377558000000001</v>
      </c>
      <c r="G189" s="3">
        <v>0</v>
      </c>
      <c r="H189" s="3">
        <v>-0.22939999999999999</v>
      </c>
      <c r="I189" s="3">
        <f t="shared" si="5"/>
        <v>-0.22939999999999999</v>
      </c>
      <c r="J189" s="3">
        <v>-13.929358000000001</v>
      </c>
    </row>
    <row r="190" spans="1:10" x14ac:dyDescent="0.25">
      <c r="A190" t="s">
        <v>397</v>
      </c>
      <c r="B190" s="5" t="s">
        <v>640</v>
      </c>
      <c r="C190" t="s">
        <v>403</v>
      </c>
      <c r="D190" s="3">
        <v>4.9904999999999999</v>
      </c>
      <c r="E190" s="3">
        <v>-15.7723</v>
      </c>
      <c r="F190" s="3">
        <f t="shared" si="4"/>
        <v>-15.7723</v>
      </c>
      <c r="G190" s="3">
        <v>0</v>
      </c>
      <c r="H190" s="3">
        <v>-4.4408920985006301E-17</v>
      </c>
      <c r="I190" s="3">
        <f t="shared" si="5"/>
        <v>-4.4408920985006301E-17</v>
      </c>
      <c r="J190" s="3">
        <v>-10.7818</v>
      </c>
    </row>
    <row r="191" spans="1:10" x14ac:dyDescent="0.25">
      <c r="A191" t="s">
        <v>398</v>
      </c>
      <c r="B191" s="5" t="s">
        <v>419</v>
      </c>
      <c r="C191" t="s">
        <v>403</v>
      </c>
      <c r="D191" s="3">
        <v>0</v>
      </c>
      <c r="E191" s="3">
        <v>-6.9370000000000003</v>
      </c>
      <c r="F191" s="3">
        <f t="shared" si="4"/>
        <v>-6.9370000000000003</v>
      </c>
      <c r="G191" s="3">
        <v>0</v>
      </c>
      <c r="H191" s="3">
        <v>0</v>
      </c>
      <c r="I191" s="3">
        <f t="shared" si="5"/>
        <v>0</v>
      </c>
      <c r="J191" s="3">
        <v>-6.9370000000000003</v>
      </c>
    </row>
    <row r="192" spans="1:10" x14ac:dyDescent="0.25">
      <c r="A192" t="s">
        <v>399</v>
      </c>
      <c r="B192" s="5" t="s">
        <v>641</v>
      </c>
      <c r="C192" t="s">
        <v>403</v>
      </c>
      <c r="D192" s="3">
        <v>59.738</v>
      </c>
      <c r="E192" s="3">
        <v>-89.977000000000004</v>
      </c>
      <c r="F192" s="3">
        <f t="shared" si="4"/>
        <v>-89.977000000000004</v>
      </c>
      <c r="G192" s="3">
        <v>0</v>
      </c>
      <c r="H192" s="3">
        <v>0</v>
      </c>
      <c r="I192" s="3">
        <f t="shared" si="5"/>
        <v>0</v>
      </c>
      <c r="J192" s="3">
        <v>-30.239000000000001</v>
      </c>
    </row>
    <row r="193" spans="1:10" x14ac:dyDescent="0.25">
      <c r="A193" t="s">
        <v>43</v>
      </c>
      <c r="B193" s="5" t="s">
        <v>642</v>
      </c>
      <c r="C193" t="s">
        <v>403</v>
      </c>
      <c r="D193" s="3">
        <v>16.192589999999999</v>
      </c>
      <c r="E193" s="3">
        <v>-54.657789999999999</v>
      </c>
      <c r="F193" s="3">
        <f t="shared" si="4"/>
        <v>-54.657789999999999</v>
      </c>
      <c r="G193" s="3">
        <v>0</v>
      </c>
      <c r="H193" s="3">
        <v>-0.706039999999998</v>
      </c>
      <c r="I193" s="3">
        <f t="shared" si="5"/>
        <v>-0.706039999999998</v>
      </c>
      <c r="J193" s="3">
        <v>-39.171239999999997</v>
      </c>
    </row>
    <row r="194" spans="1:10" x14ac:dyDescent="0.25">
      <c r="A194" t="s">
        <v>400</v>
      </c>
      <c r="B194" s="5" t="s">
        <v>644</v>
      </c>
      <c r="C194" t="s">
        <v>403</v>
      </c>
      <c r="D194" s="3">
        <v>9.8559999999999999</v>
      </c>
      <c r="E194" s="3">
        <v>-11.743</v>
      </c>
      <c r="F194" s="3">
        <f t="shared" si="4"/>
        <v>-11.743</v>
      </c>
      <c r="G194" s="3">
        <v>0</v>
      </c>
      <c r="H194" s="3">
        <v>0</v>
      </c>
      <c r="I194" s="3">
        <f t="shared" si="5"/>
        <v>0</v>
      </c>
      <c r="J194" s="3">
        <v>-1.887</v>
      </c>
    </row>
    <row r="195" spans="1:10" x14ac:dyDescent="0.25">
      <c r="A195" t="s">
        <v>401</v>
      </c>
      <c r="B195" s="5" t="s">
        <v>645</v>
      </c>
      <c r="C195" t="s">
        <v>403</v>
      </c>
      <c r="D195" s="3">
        <v>116.14296</v>
      </c>
      <c r="E195" s="3">
        <v>-70.766000000000005</v>
      </c>
      <c r="F195" s="3">
        <f t="shared" ref="F195:F198" si="6">IF(E195&gt;0,0,E195)</f>
        <v>-70.766000000000005</v>
      </c>
      <c r="G195" s="3">
        <v>0</v>
      </c>
      <c r="H195" s="3">
        <v>1.4210854715202001E-15</v>
      </c>
      <c r="I195" s="3">
        <f t="shared" ref="I195:I198" si="7">IF(H195&gt;0,0,H195)</f>
        <v>0</v>
      </c>
      <c r="J195" s="3">
        <v>45.376959999999997</v>
      </c>
    </row>
    <row r="196" spans="1:10" x14ac:dyDescent="0.25">
      <c r="A196" t="s">
        <v>44</v>
      </c>
      <c r="B196" s="5" t="s">
        <v>426</v>
      </c>
      <c r="C196" t="s">
        <v>403</v>
      </c>
      <c r="D196" s="3">
        <v>27.75</v>
      </c>
      <c r="E196" s="3">
        <v>-11.478999999999999</v>
      </c>
      <c r="F196" s="3">
        <f t="shared" si="6"/>
        <v>-11.478999999999999</v>
      </c>
      <c r="G196" s="3">
        <v>0</v>
      </c>
      <c r="H196" s="3">
        <v>0</v>
      </c>
      <c r="I196" s="3">
        <f t="shared" si="7"/>
        <v>0</v>
      </c>
      <c r="J196" s="3">
        <v>16.271000000000001</v>
      </c>
    </row>
    <row r="197" spans="1:10" x14ac:dyDescent="0.25">
      <c r="B197" s="5"/>
      <c r="D197" s="3"/>
      <c r="E197" s="3"/>
      <c r="F197" s="3"/>
      <c r="G197" s="3"/>
      <c r="H197" s="3"/>
      <c r="I197" s="3"/>
      <c r="J197" s="3"/>
    </row>
    <row r="198" spans="1:10" x14ac:dyDescent="0.25">
      <c r="A198" t="s">
        <v>518</v>
      </c>
      <c r="B198" s="5" t="s">
        <v>518</v>
      </c>
      <c r="C198" t="s">
        <v>403</v>
      </c>
      <c r="D198" s="3">
        <v>29.4805124173776</v>
      </c>
      <c r="E198" s="3">
        <v>-424.01376894356503</v>
      </c>
      <c r="F198" s="3">
        <f t="shared" si="6"/>
        <v>-424.01376894356503</v>
      </c>
      <c r="G198" s="3">
        <v>91.002579327600898</v>
      </c>
      <c r="H198" s="3">
        <v>-0.65059404324964498</v>
      </c>
      <c r="I198" s="3">
        <f t="shared" si="7"/>
        <v>-0.65059404324964498</v>
      </c>
      <c r="J198" s="3">
        <v>-304.18127124183599</v>
      </c>
    </row>
    <row r="199" spans="1:10" x14ac:dyDescent="0.25">
      <c r="A199" t="s">
        <v>24</v>
      </c>
      <c r="B199" s="5" t="s">
        <v>643</v>
      </c>
      <c r="C199" t="s">
        <v>403</v>
      </c>
      <c r="D199" s="3">
        <v>4071.51201214201</v>
      </c>
      <c r="E199" s="3">
        <f>SUM(E2:E196)</f>
        <v>-6872.6231123555463</v>
      </c>
      <c r="F199" s="3">
        <f>SUM(F2:F196)</f>
        <v>-7079.8210906897912</v>
      </c>
      <c r="G199" s="3">
        <f t="shared" ref="G199:I199" si="8">SUM(G2:G196)</f>
        <v>996.12587622548665</v>
      </c>
      <c r="H199" s="3">
        <f t="shared" si="8"/>
        <v>-650.32422739168214</v>
      </c>
      <c r="I199" s="3">
        <f t="shared" si="8"/>
        <v>-802.66436432443436</v>
      </c>
      <c r="J199" s="3">
        <v>-2455.30945137973</v>
      </c>
    </row>
    <row r="201" spans="1:10" x14ac:dyDescent="0.25">
      <c r="F201">
        <f>(E204/E203)*F199</f>
        <v>-2207.6325750845999</v>
      </c>
    </row>
    <row r="202" spans="1:10" x14ac:dyDescent="0.25">
      <c r="E202" t="s">
        <v>456</v>
      </c>
    </row>
    <row r="203" spans="1:10" x14ac:dyDescent="0.25">
      <c r="E203" s="2">
        <v>-6365.8441280613406</v>
      </c>
    </row>
    <row r="204" spans="1:10" x14ac:dyDescent="0.25">
      <c r="E204">
        <v>-1985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A16" workbookViewId="0">
      <selection activeCell="B22" sqref="B22"/>
    </sheetView>
  </sheetViews>
  <sheetFormatPr baseColWidth="10" defaultRowHeight="15" x14ac:dyDescent="0.25"/>
  <cols>
    <col min="2" max="2" width="96.140625" customWidth="1"/>
    <col min="8" max="8" width="16.7109375" customWidth="1"/>
    <col min="11" max="11" width="16" customWidth="1"/>
    <col min="12" max="12" width="18.140625" customWidth="1"/>
    <col min="13" max="13" width="145" customWidth="1"/>
    <col min="14" max="14" width="12.42578125" customWidth="1"/>
  </cols>
  <sheetData>
    <row r="1" spans="1:13" x14ac:dyDescent="0.25">
      <c r="A1" t="s">
        <v>45</v>
      </c>
      <c r="B1" t="s">
        <v>46</v>
      </c>
      <c r="C1" t="s">
        <v>47</v>
      </c>
      <c r="D1" t="s">
        <v>48</v>
      </c>
      <c r="E1" t="s">
        <v>49</v>
      </c>
      <c r="F1" t="s">
        <v>50</v>
      </c>
      <c r="G1" t="s">
        <v>409</v>
      </c>
      <c r="H1" t="s">
        <v>51</v>
      </c>
      <c r="I1" t="s">
        <v>52</v>
      </c>
      <c r="J1" t="s">
        <v>53</v>
      </c>
      <c r="K1" t="s">
        <v>54</v>
      </c>
      <c r="L1" t="s">
        <v>55</v>
      </c>
      <c r="M1" t="s">
        <v>56</v>
      </c>
    </row>
    <row r="2" spans="1:13" x14ac:dyDescent="0.25">
      <c r="A2">
        <v>1</v>
      </c>
      <c r="B2" t="s">
        <v>57</v>
      </c>
      <c r="C2" t="s">
        <v>58</v>
      </c>
      <c r="D2" t="s">
        <v>59</v>
      </c>
      <c r="E2" t="s">
        <v>60</v>
      </c>
      <c r="F2" t="s">
        <v>60</v>
      </c>
      <c r="G2" t="s">
        <v>410</v>
      </c>
      <c r="H2">
        <v>2700</v>
      </c>
      <c r="I2" t="s">
        <v>61</v>
      </c>
      <c r="J2">
        <v>2022</v>
      </c>
      <c r="K2" t="s">
        <v>62</v>
      </c>
      <c r="L2" t="s">
        <v>63</v>
      </c>
      <c r="M2" t="s">
        <v>64</v>
      </c>
    </row>
    <row r="3" spans="1:13" x14ac:dyDescent="0.25">
      <c r="A3">
        <v>2</v>
      </c>
      <c r="B3" t="s">
        <v>65</v>
      </c>
      <c r="C3" t="s">
        <v>58</v>
      </c>
      <c r="D3" t="s">
        <v>59</v>
      </c>
      <c r="E3" t="s">
        <v>60</v>
      </c>
      <c r="F3" t="s">
        <v>60</v>
      </c>
      <c r="G3" t="s">
        <v>410</v>
      </c>
      <c r="H3">
        <v>1245</v>
      </c>
      <c r="I3" t="s">
        <v>61</v>
      </c>
      <c r="J3">
        <v>2022</v>
      </c>
      <c r="K3" t="s">
        <v>62</v>
      </c>
      <c r="L3" t="s">
        <v>66</v>
      </c>
      <c r="M3" t="s">
        <v>67</v>
      </c>
    </row>
    <row r="4" spans="1:13" x14ac:dyDescent="0.25">
      <c r="A4">
        <v>3</v>
      </c>
      <c r="B4" t="s">
        <v>68</v>
      </c>
      <c r="C4" t="s">
        <v>58</v>
      </c>
      <c r="D4" t="s">
        <v>59</v>
      </c>
      <c r="E4" t="s">
        <v>60</v>
      </c>
      <c r="F4" t="s">
        <v>60</v>
      </c>
      <c r="G4" t="s">
        <v>410</v>
      </c>
      <c r="H4">
        <v>250</v>
      </c>
      <c r="I4" t="s">
        <v>61</v>
      </c>
      <c r="J4">
        <v>2022</v>
      </c>
      <c r="K4" t="s">
        <v>62</v>
      </c>
      <c r="L4" t="s">
        <v>63</v>
      </c>
      <c r="M4" t="s">
        <v>69</v>
      </c>
    </row>
    <row r="5" spans="1:13" x14ac:dyDescent="0.25">
      <c r="A5">
        <v>4</v>
      </c>
      <c r="B5" t="s">
        <v>70</v>
      </c>
      <c r="C5" t="s">
        <v>58</v>
      </c>
      <c r="D5" t="s">
        <v>59</v>
      </c>
      <c r="E5" t="s">
        <v>60</v>
      </c>
      <c r="F5" t="s">
        <v>60</v>
      </c>
      <c r="G5" t="s">
        <v>410</v>
      </c>
      <c r="H5">
        <v>100</v>
      </c>
      <c r="I5" t="s">
        <v>61</v>
      </c>
      <c r="J5">
        <v>2022</v>
      </c>
      <c r="K5" t="s">
        <v>62</v>
      </c>
      <c r="L5" t="s">
        <v>71</v>
      </c>
      <c r="M5" t="s">
        <v>72</v>
      </c>
    </row>
    <row r="6" spans="1:13" x14ac:dyDescent="0.25">
      <c r="A6">
        <v>5</v>
      </c>
      <c r="B6" t="s">
        <v>73</v>
      </c>
      <c r="C6" t="s">
        <v>74</v>
      </c>
      <c r="D6" t="s">
        <v>75</v>
      </c>
      <c r="E6" t="s">
        <v>60</v>
      </c>
      <c r="F6" t="s">
        <v>60</v>
      </c>
      <c r="G6" t="s">
        <v>75</v>
      </c>
      <c r="H6">
        <v>100000</v>
      </c>
      <c r="I6" t="s">
        <v>61</v>
      </c>
      <c r="J6">
        <v>2022</v>
      </c>
      <c r="K6" t="s">
        <v>62</v>
      </c>
      <c r="L6" t="s">
        <v>76</v>
      </c>
      <c r="M6" t="s">
        <v>77</v>
      </c>
    </row>
    <row r="7" spans="1:13" x14ac:dyDescent="0.25">
      <c r="A7">
        <v>6</v>
      </c>
      <c r="B7" t="s">
        <v>78</v>
      </c>
      <c r="C7" t="s">
        <v>74</v>
      </c>
      <c r="D7" t="s">
        <v>75</v>
      </c>
      <c r="E7" t="s">
        <v>60</v>
      </c>
      <c r="F7" t="s">
        <v>60</v>
      </c>
      <c r="G7" t="s">
        <v>75</v>
      </c>
      <c r="H7">
        <f>45000*2.35</f>
        <v>105750</v>
      </c>
      <c r="I7" t="s">
        <v>61</v>
      </c>
      <c r="J7">
        <v>2022</v>
      </c>
      <c r="K7" t="s">
        <v>62</v>
      </c>
      <c r="L7" t="s">
        <v>79</v>
      </c>
      <c r="M7" t="s">
        <v>80</v>
      </c>
    </row>
    <row r="8" spans="1:13" x14ac:dyDescent="0.25">
      <c r="A8">
        <v>7</v>
      </c>
      <c r="B8" t="s">
        <v>81</v>
      </c>
      <c r="C8" t="s">
        <v>74</v>
      </c>
      <c r="D8" t="s">
        <v>82</v>
      </c>
      <c r="E8" t="s">
        <v>83</v>
      </c>
      <c r="F8" t="s">
        <v>60</v>
      </c>
      <c r="G8" t="s">
        <v>411</v>
      </c>
      <c r="H8">
        <v>50000</v>
      </c>
      <c r="I8" t="s">
        <v>61</v>
      </c>
      <c r="J8">
        <v>2022</v>
      </c>
      <c r="K8" t="s">
        <v>62</v>
      </c>
      <c r="L8" t="s">
        <v>84</v>
      </c>
      <c r="M8" t="s">
        <v>85</v>
      </c>
    </row>
    <row r="9" spans="1:13" x14ac:dyDescent="0.25">
      <c r="A9">
        <v>8</v>
      </c>
      <c r="B9" t="s">
        <v>86</v>
      </c>
      <c r="C9" t="s">
        <v>74</v>
      </c>
      <c r="D9" t="s">
        <v>82</v>
      </c>
      <c r="E9" t="s">
        <v>83</v>
      </c>
      <c r="F9" t="s">
        <v>60</v>
      </c>
      <c r="G9" t="s">
        <v>411</v>
      </c>
      <c r="H9">
        <v>80000</v>
      </c>
      <c r="I9" t="s">
        <v>61</v>
      </c>
      <c r="J9">
        <v>2022</v>
      </c>
      <c r="K9" t="s">
        <v>62</v>
      </c>
      <c r="L9" t="s">
        <v>87</v>
      </c>
      <c r="M9" t="s">
        <v>88</v>
      </c>
    </row>
    <row r="10" spans="1:13" x14ac:dyDescent="0.25">
      <c r="A10">
        <v>9</v>
      </c>
      <c r="B10" t="s">
        <v>89</v>
      </c>
      <c r="C10" t="s">
        <v>74</v>
      </c>
      <c r="D10" t="s">
        <v>82</v>
      </c>
      <c r="E10" t="s">
        <v>83</v>
      </c>
      <c r="F10" t="s">
        <v>60</v>
      </c>
      <c r="G10" t="s">
        <v>411</v>
      </c>
      <c r="H10">
        <v>1000000</v>
      </c>
      <c r="I10" t="s">
        <v>61</v>
      </c>
      <c r="J10">
        <v>2022</v>
      </c>
      <c r="K10" t="s">
        <v>62</v>
      </c>
      <c r="L10" t="s">
        <v>90</v>
      </c>
      <c r="M10" t="s">
        <v>91</v>
      </c>
    </row>
    <row r="11" spans="1:13" x14ac:dyDescent="0.25">
      <c r="A11">
        <v>10</v>
      </c>
      <c r="B11" t="s">
        <v>92</v>
      </c>
      <c r="C11" t="s">
        <v>74</v>
      </c>
      <c r="D11" t="s">
        <v>82</v>
      </c>
      <c r="E11" t="s">
        <v>83</v>
      </c>
      <c r="F11" t="s">
        <v>60</v>
      </c>
      <c r="G11" t="s">
        <v>411</v>
      </c>
      <c r="H11">
        <v>7300</v>
      </c>
      <c r="I11" t="s">
        <v>61</v>
      </c>
      <c r="J11">
        <v>2022</v>
      </c>
      <c r="K11" t="s">
        <v>62</v>
      </c>
      <c r="L11" t="s">
        <v>93</v>
      </c>
      <c r="M11" t="s">
        <v>94</v>
      </c>
    </row>
    <row r="12" spans="1:13" x14ac:dyDescent="0.25">
      <c r="A12">
        <v>11</v>
      </c>
      <c r="B12" t="s">
        <v>95</v>
      </c>
      <c r="C12" t="s">
        <v>74</v>
      </c>
      <c r="D12" t="s">
        <v>82</v>
      </c>
      <c r="E12" t="s">
        <v>83</v>
      </c>
      <c r="F12" t="s">
        <v>60</v>
      </c>
      <c r="G12" t="s">
        <v>411</v>
      </c>
      <c r="H12">
        <v>230000</v>
      </c>
      <c r="I12" t="s">
        <v>61</v>
      </c>
      <c r="J12">
        <v>2022</v>
      </c>
      <c r="K12" t="s">
        <v>62</v>
      </c>
      <c r="L12" t="s">
        <v>96</v>
      </c>
      <c r="M12" t="s">
        <v>88</v>
      </c>
    </row>
    <row r="13" spans="1:13" x14ac:dyDescent="0.25">
      <c r="A13">
        <v>12</v>
      </c>
      <c r="B13" t="s">
        <v>97</v>
      </c>
      <c r="C13" t="s">
        <v>74</v>
      </c>
      <c r="D13" t="s">
        <v>82</v>
      </c>
      <c r="E13" t="s">
        <v>83</v>
      </c>
      <c r="F13" t="s">
        <v>60</v>
      </c>
      <c r="G13" t="s">
        <v>411</v>
      </c>
      <c r="H13">
        <v>350000</v>
      </c>
      <c r="I13" t="s">
        <v>61</v>
      </c>
      <c r="J13">
        <v>2022</v>
      </c>
      <c r="K13" t="s">
        <v>62</v>
      </c>
      <c r="L13" t="s">
        <v>98</v>
      </c>
      <c r="M13" t="s">
        <v>88</v>
      </c>
    </row>
    <row r="14" spans="1:13" x14ac:dyDescent="0.25">
      <c r="A14">
        <v>13</v>
      </c>
      <c r="B14" t="s">
        <v>99</v>
      </c>
      <c r="C14" t="s">
        <v>74</v>
      </c>
      <c r="D14" t="s">
        <v>82</v>
      </c>
      <c r="E14" t="s">
        <v>83</v>
      </c>
      <c r="F14" t="s">
        <v>60</v>
      </c>
      <c r="G14" t="s">
        <v>411</v>
      </c>
      <c r="H14">
        <v>100000</v>
      </c>
      <c r="I14" t="s">
        <v>61</v>
      </c>
      <c r="J14">
        <v>2022</v>
      </c>
      <c r="K14" t="s">
        <v>62</v>
      </c>
      <c r="L14" t="s">
        <v>100</v>
      </c>
      <c r="M14" t="s">
        <v>101</v>
      </c>
    </row>
    <row r="15" spans="1:13" x14ac:dyDescent="0.25">
      <c r="A15">
        <v>14</v>
      </c>
      <c r="B15" t="s">
        <v>102</v>
      </c>
      <c r="C15" t="s">
        <v>74</v>
      </c>
      <c r="D15" t="s">
        <v>103</v>
      </c>
      <c r="E15" t="s">
        <v>83</v>
      </c>
      <c r="F15" t="s">
        <v>60</v>
      </c>
      <c r="G15" t="s">
        <v>411</v>
      </c>
      <c r="H15">
        <v>2000</v>
      </c>
      <c r="I15" t="s">
        <v>61</v>
      </c>
      <c r="J15">
        <v>2022</v>
      </c>
      <c r="K15" t="s">
        <v>62</v>
      </c>
      <c r="L15" t="s">
        <v>104</v>
      </c>
      <c r="M15" t="s">
        <v>105</v>
      </c>
    </row>
    <row r="16" spans="1:13" x14ac:dyDescent="0.25">
      <c r="A16">
        <v>15</v>
      </c>
      <c r="B16" t="s">
        <v>106</v>
      </c>
      <c r="C16" t="s">
        <v>82</v>
      </c>
      <c r="D16" t="s">
        <v>83</v>
      </c>
      <c r="E16" t="s">
        <v>60</v>
      </c>
      <c r="F16" t="s">
        <v>60</v>
      </c>
      <c r="G16" t="s">
        <v>412</v>
      </c>
      <c r="H16">
        <f>500*8</f>
        <v>4000</v>
      </c>
      <c r="I16" t="s">
        <v>61</v>
      </c>
      <c r="J16">
        <v>2022</v>
      </c>
      <c r="K16" t="s">
        <v>62</v>
      </c>
      <c r="L16" t="s">
        <v>107</v>
      </c>
      <c r="M16" t="s">
        <v>108</v>
      </c>
    </row>
    <row r="17" spans="1:13" ht="15.75" customHeight="1" x14ac:dyDescent="0.25">
      <c r="A17">
        <v>16</v>
      </c>
      <c r="B17" t="s">
        <v>109</v>
      </c>
      <c r="C17" t="s">
        <v>82</v>
      </c>
      <c r="D17" t="s">
        <v>83</v>
      </c>
      <c r="E17" t="s">
        <v>60</v>
      </c>
      <c r="F17" t="s">
        <v>60</v>
      </c>
      <c r="G17" t="s">
        <v>412</v>
      </c>
      <c r="H17">
        <v>365</v>
      </c>
      <c r="I17" t="s">
        <v>61</v>
      </c>
      <c r="J17">
        <v>2022</v>
      </c>
      <c r="K17" t="s">
        <v>62</v>
      </c>
      <c r="L17" t="s">
        <v>109</v>
      </c>
      <c r="M17" t="s">
        <v>88</v>
      </c>
    </row>
    <row r="18" spans="1:13" ht="15.75" customHeight="1" x14ac:dyDescent="0.25">
      <c r="A18">
        <v>17</v>
      </c>
      <c r="B18" t="s">
        <v>110</v>
      </c>
      <c r="C18" t="s">
        <v>82</v>
      </c>
      <c r="D18" t="s">
        <v>83</v>
      </c>
      <c r="E18" t="s">
        <v>60</v>
      </c>
      <c r="F18" t="s">
        <v>60</v>
      </c>
      <c r="G18" t="s">
        <v>412</v>
      </c>
      <c r="H18">
        <v>100</v>
      </c>
      <c r="I18" t="s">
        <v>61</v>
      </c>
      <c r="J18">
        <v>2022</v>
      </c>
      <c r="K18" t="s">
        <v>62</v>
      </c>
      <c r="L18" t="s">
        <v>111</v>
      </c>
      <c r="M18" t="s">
        <v>112</v>
      </c>
    </row>
    <row r="19" spans="1:13" ht="15.75" customHeight="1" x14ac:dyDescent="0.25">
      <c r="A19">
        <v>18</v>
      </c>
      <c r="B19" t="s">
        <v>113</v>
      </c>
      <c r="C19" t="s">
        <v>82</v>
      </c>
      <c r="D19" t="s">
        <v>83</v>
      </c>
      <c r="E19" t="s">
        <v>60</v>
      </c>
      <c r="F19" t="s">
        <v>60</v>
      </c>
      <c r="G19" t="s">
        <v>412</v>
      </c>
      <c r="H19">
        <v>1000</v>
      </c>
      <c r="I19" t="s">
        <v>61</v>
      </c>
      <c r="J19">
        <v>2022</v>
      </c>
      <c r="K19" t="s">
        <v>62</v>
      </c>
      <c r="L19" t="s">
        <v>113</v>
      </c>
      <c r="M19" t="s">
        <v>88</v>
      </c>
    </row>
    <row r="20" spans="1:13" x14ac:dyDescent="0.25">
      <c r="A20">
        <v>19</v>
      </c>
      <c r="B20" t="s">
        <v>114</v>
      </c>
      <c r="C20" t="s">
        <v>82</v>
      </c>
      <c r="D20" t="s">
        <v>83</v>
      </c>
      <c r="E20" t="s">
        <v>60</v>
      </c>
      <c r="F20" t="s">
        <v>60</v>
      </c>
      <c r="G20" t="s">
        <v>412</v>
      </c>
      <c r="H20">
        <v>1000</v>
      </c>
      <c r="I20" t="s">
        <v>61</v>
      </c>
      <c r="J20">
        <v>2022</v>
      </c>
      <c r="K20" t="s">
        <v>62</v>
      </c>
      <c r="L20" t="s">
        <v>114</v>
      </c>
      <c r="M20" t="s">
        <v>115</v>
      </c>
    </row>
    <row r="21" spans="1:13" ht="15.75" customHeight="1" x14ac:dyDescent="0.25">
      <c r="A21">
        <v>20</v>
      </c>
      <c r="B21" t="s">
        <v>116</v>
      </c>
      <c r="C21" t="s">
        <v>82</v>
      </c>
      <c r="D21" t="s">
        <v>117</v>
      </c>
      <c r="E21" t="s">
        <v>60</v>
      </c>
      <c r="F21" t="s">
        <v>60</v>
      </c>
      <c r="G21" t="s">
        <v>410</v>
      </c>
      <c r="H21">
        <v>99</v>
      </c>
      <c r="I21" t="s">
        <v>61</v>
      </c>
      <c r="J21">
        <v>2022</v>
      </c>
      <c r="K21" t="s">
        <v>62</v>
      </c>
      <c r="L21" t="s">
        <v>116</v>
      </c>
      <c r="M21" t="s">
        <v>88</v>
      </c>
    </row>
    <row r="22" spans="1:13" ht="15.75" customHeight="1" x14ac:dyDescent="0.25">
      <c r="A22">
        <v>21</v>
      </c>
      <c r="B22" t="s">
        <v>118</v>
      </c>
      <c r="C22" t="s">
        <v>119</v>
      </c>
      <c r="D22" t="s">
        <v>120</v>
      </c>
      <c r="E22" t="s">
        <v>60</v>
      </c>
      <c r="F22" t="s">
        <v>60</v>
      </c>
      <c r="G22" t="s">
        <v>410</v>
      </c>
      <c r="H22">
        <v>365</v>
      </c>
      <c r="I22" t="s">
        <v>61</v>
      </c>
      <c r="J22">
        <v>2022</v>
      </c>
      <c r="K22" t="s">
        <v>62</v>
      </c>
      <c r="L22" t="s">
        <v>121</v>
      </c>
      <c r="M22" t="s">
        <v>122</v>
      </c>
    </row>
    <row r="23" spans="1:13" ht="15.75" customHeight="1" x14ac:dyDescent="0.25">
      <c r="A23">
        <v>22</v>
      </c>
      <c r="B23" t="s">
        <v>123</v>
      </c>
      <c r="C23" t="s">
        <v>117</v>
      </c>
      <c r="D23" t="s">
        <v>60</v>
      </c>
      <c r="E23" t="s">
        <v>60</v>
      </c>
      <c r="F23" t="s">
        <v>60</v>
      </c>
      <c r="G23" t="s">
        <v>410</v>
      </c>
      <c r="H23">
        <v>200</v>
      </c>
      <c r="I23" t="s">
        <v>61</v>
      </c>
      <c r="J23">
        <v>2022</v>
      </c>
      <c r="K23" t="s">
        <v>62</v>
      </c>
      <c r="L23" t="s">
        <v>124</v>
      </c>
      <c r="M23" t="s">
        <v>125</v>
      </c>
    </row>
    <row r="24" spans="1:13" ht="15.75" customHeight="1" x14ac:dyDescent="0.25">
      <c r="A24">
        <v>23</v>
      </c>
      <c r="B24" t="s">
        <v>126</v>
      </c>
      <c r="C24" t="s">
        <v>117</v>
      </c>
      <c r="D24" t="s">
        <v>60</v>
      </c>
      <c r="E24" t="s">
        <v>60</v>
      </c>
      <c r="F24" t="s">
        <v>60</v>
      </c>
      <c r="G24" t="s">
        <v>410</v>
      </c>
      <c r="H24">
        <v>378</v>
      </c>
      <c r="I24" t="s">
        <v>61</v>
      </c>
      <c r="J24">
        <v>2022</v>
      </c>
      <c r="K24" t="s">
        <v>62</v>
      </c>
      <c r="L24" t="s">
        <v>127</v>
      </c>
      <c r="M24" t="s">
        <v>128</v>
      </c>
    </row>
    <row r="25" spans="1:13" ht="15.75" customHeight="1" x14ac:dyDescent="0.25">
      <c r="A25">
        <v>24</v>
      </c>
      <c r="B25" t="s">
        <v>129</v>
      </c>
      <c r="C25" t="s">
        <v>117</v>
      </c>
      <c r="D25" t="s">
        <v>60</v>
      </c>
      <c r="E25" t="s">
        <v>60</v>
      </c>
      <c r="F25" t="s">
        <v>60</v>
      </c>
      <c r="G25" t="s">
        <v>410</v>
      </c>
      <c r="H25">
        <v>300</v>
      </c>
      <c r="I25" t="s">
        <v>61</v>
      </c>
      <c r="J25">
        <v>2022</v>
      </c>
      <c r="K25" t="s">
        <v>62</v>
      </c>
      <c r="L25" t="s">
        <v>130</v>
      </c>
      <c r="M25" t="s">
        <v>72</v>
      </c>
    </row>
    <row r="26" spans="1:13" x14ac:dyDescent="0.25">
      <c r="A26">
        <v>25</v>
      </c>
      <c r="B26" t="s">
        <v>131</v>
      </c>
      <c r="C26" t="s">
        <v>117</v>
      </c>
      <c r="D26" t="s">
        <v>60</v>
      </c>
      <c r="E26" t="s">
        <v>60</v>
      </c>
      <c r="F26" t="s">
        <v>60</v>
      </c>
      <c r="G26" t="s">
        <v>410</v>
      </c>
      <c r="H26">
        <v>500</v>
      </c>
      <c r="I26" t="s">
        <v>61</v>
      </c>
      <c r="J26">
        <v>2022</v>
      </c>
      <c r="K26" t="s">
        <v>62</v>
      </c>
      <c r="L26" t="s">
        <v>132</v>
      </c>
      <c r="M26" t="s">
        <v>133</v>
      </c>
    </row>
    <row r="27" spans="1:13" ht="15.75" customHeight="1" x14ac:dyDescent="0.25">
      <c r="A27">
        <v>26</v>
      </c>
      <c r="B27" t="s">
        <v>134</v>
      </c>
      <c r="C27" t="s">
        <v>117</v>
      </c>
      <c r="D27" t="s">
        <v>60</v>
      </c>
      <c r="E27" t="s">
        <v>60</v>
      </c>
      <c r="F27" t="s">
        <v>60</v>
      </c>
      <c r="G27" t="s">
        <v>410</v>
      </c>
      <c r="H27">
        <v>2000</v>
      </c>
      <c r="I27" t="s">
        <v>61</v>
      </c>
      <c r="J27">
        <v>2022</v>
      </c>
      <c r="K27" t="s">
        <v>62</v>
      </c>
      <c r="L27" t="s">
        <v>135</v>
      </c>
      <c r="M27" t="s">
        <v>136</v>
      </c>
    </row>
    <row r="28" spans="1:13" ht="15.75" customHeight="1" x14ac:dyDescent="0.25">
      <c r="A28">
        <v>27</v>
      </c>
      <c r="B28" t="s">
        <v>137</v>
      </c>
      <c r="C28" t="s">
        <v>117</v>
      </c>
      <c r="D28" t="s">
        <v>60</v>
      </c>
      <c r="E28" t="s">
        <v>60</v>
      </c>
      <c r="F28" t="s">
        <v>60</v>
      </c>
      <c r="G28" t="s">
        <v>410</v>
      </c>
      <c r="H28">
        <v>1000</v>
      </c>
      <c r="I28" t="s">
        <v>61</v>
      </c>
      <c r="J28">
        <v>2022</v>
      </c>
      <c r="K28" t="s">
        <v>62</v>
      </c>
      <c r="L28" t="s">
        <v>137</v>
      </c>
      <c r="M28" t="s">
        <v>115</v>
      </c>
    </row>
    <row r="29" spans="1:13" ht="15.75" customHeight="1" x14ac:dyDescent="0.25">
      <c r="A29">
        <v>28</v>
      </c>
      <c r="B29" t="s">
        <v>138</v>
      </c>
      <c r="C29" t="s">
        <v>74</v>
      </c>
      <c r="D29" t="s">
        <v>82</v>
      </c>
      <c r="E29" t="s">
        <v>139</v>
      </c>
      <c r="F29" t="s">
        <v>60</v>
      </c>
      <c r="G29" t="s">
        <v>410</v>
      </c>
      <c r="H29">
        <v>100</v>
      </c>
      <c r="I29" t="s">
        <v>61</v>
      </c>
      <c r="J29">
        <v>2022</v>
      </c>
      <c r="K29" t="s">
        <v>62</v>
      </c>
      <c r="L29" t="s">
        <v>138</v>
      </c>
      <c r="M29" t="s">
        <v>140</v>
      </c>
    </row>
    <row r="30" spans="1:13" ht="15.75" customHeight="1" x14ac:dyDescent="0.25">
      <c r="A30">
        <v>29</v>
      </c>
      <c r="B30" t="s">
        <v>141</v>
      </c>
      <c r="C30" t="s">
        <v>117</v>
      </c>
      <c r="D30" t="s">
        <v>60</v>
      </c>
      <c r="E30" t="s">
        <v>60</v>
      </c>
      <c r="F30" t="s">
        <v>60</v>
      </c>
      <c r="G30" t="s">
        <v>410</v>
      </c>
      <c r="H30">
        <v>500</v>
      </c>
      <c r="I30" t="s">
        <v>61</v>
      </c>
      <c r="J30">
        <v>2022</v>
      </c>
      <c r="K30" t="s">
        <v>62</v>
      </c>
      <c r="L30" t="s">
        <v>141</v>
      </c>
      <c r="M30" t="s">
        <v>142</v>
      </c>
    </row>
    <row r="31" spans="1:13" x14ac:dyDescent="0.25">
      <c r="A31">
        <v>30</v>
      </c>
      <c r="B31" t="s">
        <v>143</v>
      </c>
      <c r="C31" t="s">
        <v>58</v>
      </c>
      <c r="D31" t="s">
        <v>59</v>
      </c>
      <c r="E31" t="s">
        <v>60</v>
      </c>
      <c r="F31" t="s">
        <v>60</v>
      </c>
      <c r="G31" t="s">
        <v>410</v>
      </c>
      <c r="H31">
        <v>1000</v>
      </c>
      <c r="I31" t="s">
        <v>61</v>
      </c>
      <c r="J31">
        <v>2023</v>
      </c>
      <c r="K31" t="s">
        <v>62</v>
      </c>
      <c r="L31" t="s">
        <v>144</v>
      </c>
      <c r="M31" t="s">
        <v>145</v>
      </c>
    </row>
    <row r="32" spans="1:13" x14ac:dyDescent="0.25">
      <c r="A32">
        <v>31</v>
      </c>
      <c r="B32" t="s">
        <v>73</v>
      </c>
      <c r="C32" t="s">
        <v>74</v>
      </c>
      <c r="D32" t="s">
        <v>75</v>
      </c>
      <c r="E32" t="s">
        <v>60</v>
      </c>
      <c r="F32" t="s">
        <v>60</v>
      </c>
      <c r="G32" t="s">
        <v>75</v>
      </c>
      <c r="H32">
        <v>180000</v>
      </c>
      <c r="I32" t="s">
        <v>61</v>
      </c>
      <c r="J32">
        <v>2023</v>
      </c>
      <c r="K32" t="s">
        <v>62</v>
      </c>
      <c r="L32" t="s">
        <v>76</v>
      </c>
      <c r="M32" t="s">
        <v>77</v>
      </c>
    </row>
    <row r="33" spans="1:13" x14ac:dyDescent="0.25">
      <c r="A33">
        <v>32</v>
      </c>
      <c r="B33" t="s">
        <v>146</v>
      </c>
      <c r="C33" t="s">
        <v>74</v>
      </c>
      <c r="D33" t="s">
        <v>82</v>
      </c>
      <c r="E33" t="s">
        <v>83</v>
      </c>
      <c r="F33" t="s">
        <v>60</v>
      </c>
      <c r="G33" t="s">
        <v>411</v>
      </c>
      <c r="H33">
        <v>249233.33333333334</v>
      </c>
      <c r="I33" t="s">
        <v>61</v>
      </c>
      <c r="J33">
        <v>2023</v>
      </c>
      <c r="K33" t="s">
        <v>62</v>
      </c>
      <c r="L33" t="s">
        <v>100</v>
      </c>
      <c r="M33" t="s">
        <v>101</v>
      </c>
    </row>
    <row r="34" spans="1:13" ht="15.75" customHeight="1" x14ac:dyDescent="0.25">
      <c r="A34">
        <v>33</v>
      </c>
      <c r="B34" t="s">
        <v>147</v>
      </c>
      <c r="C34" t="s">
        <v>82</v>
      </c>
      <c r="D34" t="s">
        <v>117</v>
      </c>
      <c r="E34" t="s">
        <v>139</v>
      </c>
      <c r="F34" t="s">
        <v>60</v>
      </c>
      <c r="G34" t="s">
        <v>412</v>
      </c>
      <c r="H34">
        <v>100</v>
      </c>
      <c r="I34" t="s">
        <v>61</v>
      </c>
      <c r="J34">
        <v>2023</v>
      </c>
      <c r="K34" t="s">
        <v>62</v>
      </c>
      <c r="L34" t="s">
        <v>148</v>
      </c>
      <c r="M34" t="s">
        <v>149</v>
      </c>
    </row>
    <row r="35" spans="1:13" x14ac:dyDescent="0.25">
      <c r="A35">
        <v>34</v>
      </c>
      <c r="B35" t="s">
        <v>150</v>
      </c>
      <c r="C35" t="s">
        <v>119</v>
      </c>
      <c r="D35" t="s">
        <v>120</v>
      </c>
      <c r="E35" t="s">
        <v>60</v>
      </c>
      <c r="F35" t="s">
        <v>60</v>
      </c>
      <c r="G35" t="s">
        <v>410</v>
      </c>
      <c r="H35">
        <v>1000</v>
      </c>
      <c r="I35" t="s">
        <v>61</v>
      </c>
      <c r="J35">
        <v>2023</v>
      </c>
      <c r="K35" t="s">
        <v>62</v>
      </c>
      <c r="L35" t="s">
        <v>150</v>
      </c>
      <c r="M35" t="s">
        <v>72</v>
      </c>
    </row>
    <row r="36" spans="1:13" x14ac:dyDescent="0.25">
      <c r="A36">
        <v>35</v>
      </c>
      <c r="B36" t="s">
        <v>151</v>
      </c>
      <c r="C36" t="s">
        <v>82</v>
      </c>
      <c r="D36" t="s">
        <v>83</v>
      </c>
      <c r="E36" t="s">
        <v>60</v>
      </c>
      <c r="F36" t="s">
        <v>60</v>
      </c>
      <c r="G36" t="s">
        <v>410</v>
      </c>
      <c r="H36">
        <v>1000</v>
      </c>
      <c r="I36" t="s">
        <v>61</v>
      </c>
      <c r="J36">
        <v>2023</v>
      </c>
      <c r="K36" t="s">
        <v>62</v>
      </c>
      <c r="L36" t="s">
        <v>151</v>
      </c>
      <c r="M36" t="s">
        <v>72</v>
      </c>
    </row>
    <row r="37" spans="1:13" x14ac:dyDescent="0.25">
      <c r="A37">
        <v>36</v>
      </c>
      <c r="B37" t="s">
        <v>152</v>
      </c>
      <c r="C37" t="s">
        <v>82</v>
      </c>
      <c r="D37" t="s">
        <v>83</v>
      </c>
      <c r="E37" t="s">
        <v>60</v>
      </c>
      <c r="F37" t="s">
        <v>60</v>
      </c>
      <c r="G37" t="s">
        <v>410</v>
      </c>
      <c r="H37">
        <v>1000</v>
      </c>
      <c r="I37" t="s">
        <v>61</v>
      </c>
      <c r="J37">
        <v>2023</v>
      </c>
      <c r="K37" t="s">
        <v>62</v>
      </c>
      <c r="L37" t="s">
        <v>152</v>
      </c>
      <c r="M37" t="s">
        <v>153</v>
      </c>
    </row>
    <row r="38" spans="1:13" ht="15.75" customHeight="1" x14ac:dyDescent="0.25">
      <c r="A38">
        <v>37</v>
      </c>
      <c r="B38" t="s">
        <v>124</v>
      </c>
      <c r="C38" t="s">
        <v>117</v>
      </c>
      <c r="D38" t="s">
        <v>60</v>
      </c>
      <c r="E38" t="s">
        <v>60</v>
      </c>
      <c r="F38" t="s">
        <v>60</v>
      </c>
      <c r="G38" t="s">
        <v>410</v>
      </c>
      <c r="H38">
        <v>300</v>
      </c>
      <c r="I38" t="s">
        <v>61</v>
      </c>
      <c r="J38">
        <v>2023</v>
      </c>
      <c r="K38" t="s">
        <v>62</v>
      </c>
      <c r="L38" t="s">
        <v>124</v>
      </c>
      <c r="M38" t="s">
        <v>154</v>
      </c>
    </row>
    <row r="39" spans="1:13" ht="15.75" customHeight="1" x14ac:dyDescent="0.25">
      <c r="A39">
        <v>38</v>
      </c>
      <c r="B39" t="s">
        <v>155</v>
      </c>
      <c r="C39" t="s">
        <v>82</v>
      </c>
      <c r="D39" t="s">
        <v>83</v>
      </c>
      <c r="E39" t="s">
        <v>60</v>
      </c>
      <c r="F39" t="s">
        <v>60</v>
      </c>
      <c r="G39" t="s">
        <v>410</v>
      </c>
      <c r="H39">
        <v>100</v>
      </c>
      <c r="I39" t="s">
        <v>61</v>
      </c>
      <c r="J39">
        <v>2023</v>
      </c>
      <c r="K39" t="s">
        <v>62</v>
      </c>
      <c r="L39" t="s">
        <v>156</v>
      </c>
      <c r="M39" t="s">
        <v>157</v>
      </c>
    </row>
    <row r="40" spans="1:13" x14ac:dyDescent="0.25">
      <c r="A40">
        <v>39</v>
      </c>
      <c r="B40" t="s">
        <v>158</v>
      </c>
      <c r="C40" t="s">
        <v>58</v>
      </c>
      <c r="D40" t="s">
        <v>59</v>
      </c>
      <c r="E40" t="s">
        <v>60</v>
      </c>
      <c r="F40" t="s">
        <v>60</v>
      </c>
      <c r="H40">
        <v>2000</v>
      </c>
      <c r="I40" t="s">
        <v>61</v>
      </c>
      <c r="J40">
        <v>2024</v>
      </c>
      <c r="K40" t="s">
        <v>62</v>
      </c>
      <c r="L40" t="s">
        <v>144</v>
      </c>
      <c r="M40" t="s">
        <v>145</v>
      </c>
    </row>
    <row r="41" spans="1:13" x14ac:dyDescent="0.25">
      <c r="A41">
        <v>40</v>
      </c>
      <c r="B41" t="s">
        <v>159</v>
      </c>
      <c r="C41" t="s">
        <v>74</v>
      </c>
      <c r="D41" t="s">
        <v>82</v>
      </c>
      <c r="E41" t="s">
        <v>83</v>
      </c>
      <c r="F41" t="s">
        <v>60</v>
      </c>
      <c r="H41">
        <v>458000</v>
      </c>
      <c r="I41" t="s">
        <v>61</v>
      </c>
      <c r="J41">
        <v>2024</v>
      </c>
      <c r="K41" t="s">
        <v>62</v>
      </c>
      <c r="L41" t="s">
        <v>100</v>
      </c>
      <c r="M41" t="s">
        <v>101</v>
      </c>
    </row>
    <row r="42" spans="1:13" x14ac:dyDescent="0.25">
      <c r="A42">
        <v>41</v>
      </c>
      <c r="B42" t="s">
        <v>160</v>
      </c>
      <c r="C42" t="s">
        <v>74</v>
      </c>
      <c r="D42" t="s">
        <v>82</v>
      </c>
      <c r="E42" t="s">
        <v>83</v>
      </c>
      <c r="F42" t="s">
        <v>60</v>
      </c>
      <c r="H42">
        <v>343000</v>
      </c>
      <c r="I42" t="s">
        <v>61</v>
      </c>
      <c r="J42">
        <v>2024</v>
      </c>
      <c r="K42" t="s">
        <v>62</v>
      </c>
      <c r="L42" t="s">
        <v>100</v>
      </c>
      <c r="M42" t="s">
        <v>101</v>
      </c>
    </row>
    <row r="43" spans="1:13" x14ac:dyDescent="0.25">
      <c r="A43">
        <v>42</v>
      </c>
      <c r="B43" t="s">
        <v>161</v>
      </c>
      <c r="C43" t="s">
        <v>74</v>
      </c>
      <c r="D43" t="s">
        <v>82</v>
      </c>
      <c r="E43" t="s">
        <v>83</v>
      </c>
      <c r="F43" t="s">
        <v>60</v>
      </c>
      <c r="H43">
        <v>157000</v>
      </c>
      <c r="I43" t="s">
        <v>61</v>
      </c>
      <c r="J43">
        <v>2024</v>
      </c>
      <c r="K43" t="s">
        <v>62</v>
      </c>
      <c r="L43" t="s">
        <v>100</v>
      </c>
      <c r="M43" t="s">
        <v>101</v>
      </c>
    </row>
    <row r="44" spans="1:13" x14ac:dyDescent="0.25">
      <c r="A44">
        <v>43</v>
      </c>
      <c r="B44" t="s">
        <v>162</v>
      </c>
      <c r="C44" t="s">
        <v>74</v>
      </c>
      <c r="D44" t="s">
        <v>82</v>
      </c>
      <c r="E44" t="s">
        <v>83</v>
      </c>
      <c r="F44" t="s">
        <v>60</v>
      </c>
      <c r="H44">
        <v>400000</v>
      </c>
      <c r="I44" t="s">
        <v>61</v>
      </c>
      <c r="J44">
        <v>2024</v>
      </c>
      <c r="K44" t="s">
        <v>62</v>
      </c>
      <c r="L44" t="s">
        <v>100</v>
      </c>
      <c r="M44" t="s">
        <v>101</v>
      </c>
    </row>
    <row r="45" spans="1:13" x14ac:dyDescent="0.25">
      <c r="A45">
        <v>44</v>
      </c>
      <c r="B45" t="s">
        <v>163</v>
      </c>
      <c r="C45" t="s">
        <v>74</v>
      </c>
      <c r="D45" t="s">
        <v>82</v>
      </c>
      <c r="E45" t="s">
        <v>83</v>
      </c>
      <c r="F45" t="s">
        <v>60</v>
      </c>
      <c r="H45">
        <v>257000</v>
      </c>
      <c r="I45" t="s">
        <v>61</v>
      </c>
      <c r="J45">
        <v>2024</v>
      </c>
      <c r="K45" t="s">
        <v>62</v>
      </c>
      <c r="L45" t="s">
        <v>100</v>
      </c>
      <c r="M45" t="s">
        <v>101</v>
      </c>
    </row>
    <row r="46" spans="1:13" x14ac:dyDescent="0.25">
      <c r="A46">
        <v>45</v>
      </c>
      <c r="B46" t="s">
        <v>164</v>
      </c>
      <c r="C46" t="s">
        <v>74</v>
      </c>
      <c r="D46" t="s">
        <v>82</v>
      </c>
      <c r="E46" t="s">
        <v>83</v>
      </c>
      <c r="F46" t="s">
        <v>60</v>
      </c>
      <c r="H46">
        <v>152000</v>
      </c>
      <c r="I46" t="s">
        <v>61</v>
      </c>
      <c r="J46">
        <v>2024</v>
      </c>
      <c r="K46" t="s">
        <v>62</v>
      </c>
      <c r="L46" t="s">
        <v>100</v>
      </c>
      <c r="M46" t="s">
        <v>101</v>
      </c>
    </row>
    <row r="47" spans="1:13" x14ac:dyDescent="0.25">
      <c r="A47">
        <v>46</v>
      </c>
      <c r="B47" t="s">
        <v>165</v>
      </c>
      <c r="C47" t="s">
        <v>74</v>
      </c>
      <c r="D47" t="s">
        <v>82</v>
      </c>
      <c r="E47" t="s">
        <v>83</v>
      </c>
      <c r="F47" t="s">
        <v>60</v>
      </c>
      <c r="H47">
        <v>229000</v>
      </c>
      <c r="I47" t="s">
        <v>61</v>
      </c>
      <c r="J47">
        <v>2024</v>
      </c>
      <c r="K47" t="s">
        <v>62</v>
      </c>
      <c r="L47" t="s">
        <v>100</v>
      </c>
      <c r="M47" t="s">
        <v>101</v>
      </c>
    </row>
    <row r="48" spans="1:13" x14ac:dyDescent="0.25">
      <c r="A48">
        <v>47</v>
      </c>
      <c r="B48" t="s">
        <v>166</v>
      </c>
      <c r="C48" t="s">
        <v>74</v>
      </c>
      <c r="D48" t="s">
        <v>82</v>
      </c>
      <c r="E48" t="s">
        <v>83</v>
      </c>
      <c r="F48" t="s">
        <v>60</v>
      </c>
      <c r="H48">
        <v>172000</v>
      </c>
      <c r="I48" t="s">
        <v>61</v>
      </c>
      <c r="J48">
        <v>2024</v>
      </c>
      <c r="K48" t="s">
        <v>62</v>
      </c>
      <c r="L48" t="s">
        <v>100</v>
      </c>
      <c r="M48" t="s">
        <v>101</v>
      </c>
    </row>
    <row r="49" spans="1:13" x14ac:dyDescent="0.25">
      <c r="A49">
        <v>48</v>
      </c>
      <c r="B49" t="s">
        <v>167</v>
      </c>
      <c r="C49" t="s">
        <v>74</v>
      </c>
      <c r="D49" t="s">
        <v>82</v>
      </c>
      <c r="E49" t="s">
        <v>83</v>
      </c>
      <c r="F49" t="s">
        <v>60</v>
      </c>
      <c r="H49">
        <v>315000</v>
      </c>
      <c r="I49" t="s">
        <v>61</v>
      </c>
      <c r="J49">
        <v>2024</v>
      </c>
      <c r="K49" t="s">
        <v>62</v>
      </c>
      <c r="L49" t="s">
        <v>100</v>
      </c>
      <c r="M49" t="s">
        <v>101</v>
      </c>
    </row>
    <row r="50" spans="1:13" x14ac:dyDescent="0.25">
      <c r="A50">
        <v>49</v>
      </c>
      <c r="B50" t="s">
        <v>168</v>
      </c>
      <c r="C50" t="s">
        <v>74</v>
      </c>
      <c r="D50" t="s">
        <v>82</v>
      </c>
      <c r="E50" t="s">
        <v>83</v>
      </c>
      <c r="F50" t="s">
        <v>60</v>
      </c>
      <c r="H50">
        <v>143000</v>
      </c>
      <c r="I50" t="s">
        <v>61</v>
      </c>
      <c r="J50">
        <v>2024</v>
      </c>
      <c r="K50" t="s">
        <v>62</v>
      </c>
      <c r="L50" t="s">
        <v>100</v>
      </c>
      <c r="M50" t="s">
        <v>101</v>
      </c>
    </row>
    <row r="51" spans="1:13" x14ac:dyDescent="0.25">
      <c r="A51">
        <v>50</v>
      </c>
      <c r="B51" t="s">
        <v>169</v>
      </c>
      <c r="C51" t="s">
        <v>74</v>
      </c>
      <c r="D51" t="s">
        <v>82</v>
      </c>
      <c r="E51" t="s">
        <v>83</v>
      </c>
      <c r="F51" t="s">
        <v>60</v>
      </c>
      <c r="H51">
        <v>157000</v>
      </c>
      <c r="I51" t="s">
        <v>61</v>
      </c>
      <c r="J51">
        <v>2024</v>
      </c>
      <c r="K51" t="s">
        <v>62</v>
      </c>
      <c r="L51" t="s">
        <v>100</v>
      </c>
      <c r="M51" t="s">
        <v>101</v>
      </c>
    </row>
    <row r="52" spans="1:13" x14ac:dyDescent="0.25">
      <c r="A52">
        <v>51</v>
      </c>
      <c r="B52" t="s">
        <v>170</v>
      </c>
      <c r="C52" t="s">
        <v>74</v>
      </c>
      <c r="D52" t="s">
        <v>82</v>
      </c>
      <c r="E52" t="s">
        <v>83</v>
      </c>
      <c r="F52" t="s">
        <v>60</v>
      </c>
      <c r="H52">
        <v>501000</v>
      </c>
      <c r="I52" t="s">
        <v>61</v>
      </c>
      <c r="J52">
        <v>2024</v>
      </c>
      <c r="K52" t="s">
        <v>62</v>
      </c>
      <c r="L52" t="s">
        <v>100</v>
      </c>
      <c r="M52" t="s">
        <v>101</v>
      </c>
    </row>
    <row r="53" spans="1:13" x14ac:dyDescent="0.25">
      <c r="A53">
        <v>52</v>
      </c>
      <c r="B53" t="s">
        <v>171</v>
      </c>
      <c r="C53" t="s">
        <v>74</v>
      </c>
      <c r="D53" t="s">
        <v>82</v>
      </c>
      <c r="E53" t="s">
        <v>83</v>
      </c>
      <c r="F53" t="s">
        <v>60</v>
      </c>
      <c r="H53">
        <v>332000</v>
      </c>
      <c r="I53" t="s">
        <v>61</v>
      </c>
      <c r="J53">
        <v>2024</v>
      </c>
      <c r="K53" t="s">
        <v>62</v>
      </c>
      <c r="L53" t="s">
        <v>100</v>
      </c>
      <c r="M53" t="s">
        <v>101</v>
      </c>
    </row>
    <row r="54" spans="1:13" x14ac:dyDescent="0.25">
      <c r="A54">
        <v>53</v>
      </c>
      <c r="B54" t="s">
        <v>172</v>
      </c>
      <c r="C54" t="s">
        <v>74</v>
      </c>
      <c r="D54" t="s">
        <v>82</v>
      </c>
      <c r="E54" t="s">
        <v>83</v>
      </c>
      <c r="F54" t="s">
        <v>60</v>
      </c>
      <c r="H54">
        <v>143000</v>
      </c>
      <c r="I54" t="s">
        <v>61</v>
      </c>
      <c r="J54">
        <v>2024</v>
      </c>
      <c r="K54" t="s">
        <v>62</v>
      </c>
      <c r="L54" t="s">
        <v>100</v>
      </c>
      <c r="M54" t="s">
        <v>101</v>
      </c>
    </row>
    <row r="55" spans="1:13" x14ac:dyDescent="0.25">
      <c r="A55">
        <v>54</v>
      </c>
      <c r="B55" t="s">
        <v>173</v>
      </c>
      <c r="C55" t="s">
        <v>74</v>
      </c>
      <c r="D55" t="s">
        <v>82</v>
      </c>
      <c r="E55" t="s">
        <v>83</v>
      </c>
      <c r="F55" t="s">
        <v>60</v>
      </c>
      <c r="H55">
        <v>343000</v>
      </c>
      <c r="I55" t="s">
        <v>61</v>
      </c>
      <c r="J55">
        <v>2024</v>
      </c>
      <c r="K55" t="s">
        <v>62</v>
      </c>
      <c r="L55" t="s">
        <v>100</v>
      </c>
      <c r="M55" t="s">
        <v>101</v>
      </c>
    </row>
    <row r="56" spans="1:13" x14ac:dyDescent="0.25">
      <c r="A56">
        <v>55</v>
      </c>
      <c r="B56" t="s">
        <v>174</v>
      </c>
      <c r="C56" t="s">
        <v>74</v>
      </c>
      <c r="D56" t="s">
        <v>82</v>
      </c>
      <c r="E56" t="s">
        <v>83</v>
      </c>
      <c r="F56" t="s">
        <v>60</v>
      </c>
      <c r="H56">
        <v>235000</v>
      </c>
      <c r="I56" t="s">
        <v>61</v>
      </c>
      <c r="J56">
        <v>2024</v>
      </c>
      <c r="K56" t="s">
        <v>62</v>
      </c>
      <c r="L56" t="s">
        <v>100</v>
      </c>
      <c r="M56" t="s">
        <v>101</v>
      </c>
    </row>
    <row r="57" spans="1:13" x14ac:dyDescent="0.25">
      <c r="A57">
        <v>56</v>
      </c>
      <c r="B57" t="s">
        <v>175</v>
      </c>
      <c r="C57" t="s">
        <v>74</v>
      </c>
      <c r="D57" t="s">
        <v>82</v>
      </c>
      <c r="E57" t="s">
        <v>83</v>
      </c>
      <c r="F57" t="s">
        <v>60</v>
      </c>
      <c r="H57">
        <v>186000</v>
      </c>
      <c r="I57" t="s">
        <v>61</v>
      </c>
      <c r="J57">
        <v>2024</v>
      </c>
      <c r="K57" t="s">
        <v>62</v>
      </c>
      <c r="L57" t="s">
        <v>100</v>
      </c>
      <c r="M57" t="s">
        <v>101</v>
      </c>
    </row>
    <row r="58" spans="1:13" x14ac:dyDescent="0.25">
      <c r="A58">
        <v>57</v>
      </c>
      <c r="B58" t="s">
        <v>176</v>
      </c>
      <c r="C58" t="s">
        <v>74</v>
      </c>
      <c r="D58" t="s">
        <v>82</v>
      </c>
      <c r="E58" t="s">
        <v>83</v>
      </c>
      <c r="F58" t="s">
        <v>60</v>
      </c>
      <c r="H58">
        <v>229000</v>
      </c>
      <c r="I58" t="s">
        <v>61</v>
      </c>
      <c r="J58">
        <v>2024</v>
      </c>
      <c r="K58" t="s">
        <v>62</v>
      </c>
      <c r="L58" t="s">
        <v>100</v>
      </c>
      <c r="M58" t="s">
        <v>101</v>
      </c>
    </row>
    <row r="59" spans="1:13" x14ac:dyDescent="0.25">
      <c r="A59">
        <v>58</v>
      </c>
      <c r="B59" t="s">
        <v>177</v>
      </c>
      <c r="C59" t="s">
        <v>74</v>
      </c>
      <c r="D59" t="s">
        <v>82</v>
      </c>
      <c r="E59" t="s">
        <v>83</v>
      </c>
      <c r="F59" t="s">
        <v>60</v>
      </c>
      <c r="H59">
        <v>172000</v>
      </c>
      <c r="I59" t="s">
        <v>61</v>
      </c>
      <c r="J59">
        <v>2024</v>
      </c>
      <c r="K59" t="s">
        <v>62</v>
      </c>
      <c r="L59" t="s">
        <v>100</v>
      </c>
      <c r="M59" t="s">
        <v>101</v>
      </c>
    </row>
    <row r="60" spans="1:13" x14ac:dyDescent="0.25">
      <c r="A60">
        <v>59</v>
      </c>
      <c r="B60" t="s">
        <v>178</v>
      </c>
      <c r="C60" t="s">
        <v>74</v>
      </c>
      <c r="D60" t="s">
        <v>82</v>
      </c>
      <c r="E60" t="s">
        <v>83</v>
      </c>
      <c r="F60" t="s">
        <v>60</v>
      </c>
      <c r="H60">
        <v>374000</v>
      </c>
      <c r="I60" t="s">
        <v>61</v>
      </c>
      <c r="J60">
        <v>2024</v>
      </c>
      <c r="K60" t="s">
        <v>62</v>
      </c>
      <c r="L60" t="s">
        <v>100</v>
      </c>
      <c r="M60" t="s">
        <v>101</v>
      </c>
    </row>
    <row r="61" spans="1:13" x14ac:dyDescent="0.25">
      <c r="A61">
        <v>60</v>
      </c>
      <c r="B61" t="s">
        <v>179</v>
      </c>
      <c r="C61" t="s">
        <v>74</v>
      </c>
      <c r="D61" t="s">
        <v>82</v>
      </c>
      <c r="E61" t="s">
        <v>83</v>
      </c>
      <c r="F61" t="s">
        <v>60</v>
      </c>
      <c r="H61">
        <v>257000</v>
      </c>
      <c r="I61" t="s">
        <v>61</v>
      </c>
      <c r="J61">
        <v>2024</v>
      </c>
      <c r="K61" t="s">
        <v>62</v>
      </c>
      <c r="L61" t="s">
        <v>100</v>
      </c>
      <c r="M61" t="s">
        <v>101</v>
      </c>
    </row>
    <row r="62" spans="1:13" x14ac:dyDescent="0.25">
      <c r="A62">
        <v>61</v>
      </c>
      <c r="B62" t="s">
        <v>180</v>
      </c>
      <c r="C62" t="s">
        <v>74</v>
      </c>
      <c r="D62" t="s">
        <v>82</v>
      </c>
      <c r="E62" t="s">
        <v>83</v>
      </c>
      <c r="F62" t="s">
        <v>60</v>
      </c>
      <c r="H62">
        <v>346000</v>
      </c>
      <c r="I62" t="s">
        <v>61</v>
      </c>
      <c r="J62">
        <v>2024</v>
      </c>
      <c r="K62" t="s">
        <v>62</v>
      </c>
      <c r="L62" t="s">
        <v>100</v>
      </c>
      <c r="M62" t="s">
        <v>101</v>
      </c>
    </row>
    <row r="63" spans="1:13" x14ac:dyDescent="0.25">
      <c r="A63">
        <v>62</v>
      </c>
      <c r="B63" t="s">
        <v>181</v>
      </c>
      <c r="C63" t="s">
        <v>74</v>
      </c>
      <c r="D63" t="s">
        <v>82</v>
      </c>
      <c r="E63" t="s">
        <v>83</v>
      </c>
      <c r="F63" t="s">
        <v>60</v>
      </c>
      <c r="H63">
        <v>109000</v>
      </c>
      <c r="I63" t="s">
        <v>61</v>
      </c>
      <c r="J63">
        <v>2024</v>
      </c>
      <c r="K63" t="s">
        <v>62</v>
      </c>
      <c r="L63" t="s">
        <v>100</v>
      </c>
      <c r="M63" t="s">
        <v>101</v>
      </c>
    </row>
    <row r="64" spans="1:13" x14ac:dyDescent="0.25">
      <c r="A64">
        <v>63</v>
      </c>
      <c r="B64" t="s">
        <v>182</v>
      </c>
      <c r="C64" t="s">
        <v>74</v>
      </c>
      <c r="D64" t="s">
        <v>82</v>
      </c>
      <c r="E64" t="s">
        <v>83</v>
      </c>
      <c r="F64" t="s">
        <v>60</v>
      </c>
      <c r="H64">
        <v>215000</v>
      </c>
      <c r="I64" t="s">
        <v>61</v>
      </c>
      <c r="J64">
        <v>2024</v>
      </c>
      <c r="K64" t="s">
        <v>62</v>
      </c>
      <c r="L64" t="s">
        <v>100</v>
      </c>
      <c r="M64" t="s">
        <v>101</v>
      </c>
    </row>
    <row r="65" spans="1:13" x14ac:dyDescent="0.25">
      <c r="A65">
        <v>64</v>
      </c>
      <c r="B65" t="s">
        <v>183</v>
      </c>
      <c r="C65" t="s">
        <v>74</v>
      </c>
      <c r="D65" t="s">
        <v>82</v>
      </c>
      <c r="E65" t="s">
        <v>83</v>
      </c>
      <c r="F65" t="s">
        <v>60</v>
      </c>
      <c r="H65">
        <v>343000</v>
      </c>
      <c r="I65" t="s">
        <v>61</v>
      </c>
      <c r="J65">
        <v>2024</v>
      </c>
      <c r="K65" t="s">
        <v>62</v>
      </c>
      <c r="L65" t="s">
        <v>100</v>
      </c>
      <c r="M65" t="s">
        <v>101</v>
      </c>
    </row>
    <row r="66" spans="1:13" x14ac:dyDescent="0.25">
      <c r="A66">
        <v>65</v>
      </c>
      <c r="B66" t="s">
        <v>184</v>
      </c>
      <c r="C66" t="s">
        <v>74</v>
      </c>
      <c r="D66" t="s">
        <v>82</v>
      </c>
      <c r="E66" t="s">
        <v>83</v>
      </c>
      <c r="F66" t="s">
        <v>60</v>
      </c>
      <c r="H66">
        <v>180000</v>
      </c>
      <c r="I66" t="s">
        <v>61</v>
      </c>
      <c r="J66">
        <v>2024</v>
      </c>
      <c r="K66" t="s">
        <v>62</v>
      </c>
      <c r="L66" t="s">
        <v>100</v>
      </c>
      <c r="M66" t="s">
        <v>101</v>
      </c>
    </row>
    <row r="67" spans="1:13" x14ac:dyDescent="0.25">
      <c r="A67">
        <v>66</v>
      </c>
      <c r="B67" t="s">
        <v>185</v>
      </c>
      <c r="C67" t="s">
        <v>74</v>
      </c>
      <c r="D67" t="s">
        <v>82</v>
      </c>
      <c r="E67" t="s">
        <v>83</v>
      </c>
      <c r="F67" t="s">
        <v>60</v>
      </c>
      <c r="H67">
        <v>186000</v>
      </c>
      <c r="I67" t="s">
        <v>61</v>
      </c>
      <c r="J67">
        <v>2024</v>
      </c>
      <c r="K67" t="s">
        <v>62</v>
      </c>
      <c r="L67" t="s">
        <v>100</v>
      </c>
      <c r="M67" t="s">
        <v>101</v>
      </c>
    </row>
    <row r="68" spans="1:13" x14ac:dyDescent="0.25">
      <c r="A68">
        <v>67</v>
      </c>
      <c r="B68" t="s">
        <v>186</v>
      </c>
      <c r="C68" t="s">
        <v>74</v>
      </c>
      <c r="D68" t="s">
        <v>82</v>
      </c>
      <c r="E68" t="s">
        <v>83</v>
      </c>
      <c r="F68" t="s">
        <v>60</v>
      </c>
      <c r="H68">
        <v>157000</v>
      </c>
      <c r="I68" t="s">
        <v>61</v>
      </c>
      <c r="J68">
        <v>2024</v>
      </c>
      <c r="K68" t="s">
        <v>62</v>
      </c>
      <c r="L68" t="s">
        <v>100</v>
      </c>
      <c r="M68" t="s">
        <v>101</v>
      </c>
    </row>
    <row r="69" spans="1:13" x14ac:dyDescent="0.25">
      <c r="A69">
        <v>68</v>
      </c>
      <c r="B69" t="s">
        <v>187</v>
      </c>
      <c r="C69" t="s">
        <v>74</v>
      </c>
      <c r="D69" t="s">
        <v>82</v>
      </c>
      <c r="E69" t="s">
        <v>83</v>
      </c>
      <c r="F69" t="s">
        <v>60</v>
      </c>
      <c r="H69">
        <v>572000</v>
      </c>
      <c r="I69" t="s">
        <v>61</v>
      </c>
      <c r="J69">
        <v>2024</v>
      </c>
      <c r="K69" t="s">
        <v>62</v>
      </c>
      <c r="L69" t="s">
        <v>100</v>
      </c>
      <c r="M69" t="s">
        <v>101</v>
      </c>
    </row>
    <row r="70" spans="1:13" x14ac:dyDescent="0.25">
      <c r="A70">
        <v>69</v>
      </c>
      <c r="B70" t="s">
        <v>188</v>
      </c>
      <c r="C70" t="s">
        <v>74</v>
      </c>
      <c r="D70" t="s">
        <v>82</v>
      </c>
      <c r="E70" t="s">
        <v>83</v>
      </c>
      <c r="F70" t="s">
        <v>60</v>
      </c>
      <c r="H70">
        <v>33000</v>
      </c>
      <c r="I70" t="s">
        <v>61</v>
      </c>
      <c r="J70">
        <v>2024</v>
      </c>
      <c r="K70" t="s">
        <v>62</v>
      </c>
      <c r="L70" t="s">
        <v>189</v>
      </c>
      <c r="M70" t="s">
        <v>88</v>
      </c>
    </row>
    <row r="71" spans="1:13" x14ac:dyDescent="0.25">
      <c r="A71">
        <v>70</v>
      </c>
      <c r="B71" t="s">
        <v>190</v>
      </c>
      <c r="C71" t="s">
        <v>82</v>
      </c>
      <c r="D71" t="s">
        <v>83</v>
      </c>
      <c r="E71" t="s">
        <v>60</v>
      </c>
      <c r="F71" t="s">
        <v>60</v>
      </c>
      <c r="H71">
        <v>1000000</v>
      </c>
      <c r="I71" t="s">
        <v>61</v>
      </c>
      <c r="J71">
        <v>2024</v>
      </c>
      <c r="K71" t="s">
        <v>62</v>
      </c>
      <c r="L71" t="s">
        <v>109</v>
      </c>
      <c r="M71" t="s">
        <v>191</v>
      </c>
    </row>
    <row r="72" spans="1:13" x14ac:dyDescent="0.25">
      <c r="A72">
        <v>71</v>
      </c>
      <c r="B72">
        <v>4401</v>
      </c>
      <c r="C72" t="s">
        <v>82</v>
      </c>
      <c r="D72" t="s">
        <v>83</v>
      </c>
      <c r="E72" t="s">
        <v>60</v>
      </c>
      <c r="F72" t="s">
        <v>60</v>
      </c>
      <c r="H72">
        <v>3000</v>
      </c>
      <c r="I72" t="s">
        <v>61</v>
      </c>
      <c r="J72">
        <v>2024</v>
      </c>
      <c r="K72" t="s">
        <v>62</v>
      </c>
      <c r="L72">
        <v>4401</v>
      </c>
      <c r="M72" t="s">
        <v>115</v>
      </c>
    </row>
    <row r="73" spans="1:13" x14ac:dyDescent="0.25">
      <c r="A73">
        <v>72</v>
      </c>
      <c r="B73" t="s">
        <v>192</v>
      </c>
      <c r="C73" t="s">
        <v>82</v>
      </c>
      <c r="D73" t="s">
        <v>83</v>
      </c>
      <c r="E73" t="s">
        <v>60</v>
      </c>
      <c r="F73" t="s">
        <v>60</v>
      </c>
      <c r="H73">
        <v>2000</v>
      </c>
      <c r="I73" t="s">
        <v>61</v>
      </c>
      <c r="J73">
        <v>2024</v>
      </c>
      <c r="K73" t="s">
        <v>62</v>
      </c>
      <c r="L73" t="s">
        <v>192</v>
      </c>
      <c r="M73" t="s">
        <v>115</v>
      </c>
    </row>
    <row r="74" spans="1:13" x14ac:dyDescent="0.25">
      <c r="A74">
        <v>73</v>
      </c>
      <c r="B74" t="s">
        <v>193</v>
      </c>
      <c r="C74" t="s">
        <v>82</v>
      </c>
      <c r="D74" t="s">
        <v>83</v>
      </c>
      <c r="E74" t="s">
        <v>60</v>
      </c>
      <c r="F74" t="s">
        <v>60</v>
      </c>
      <c r="H74">
        <v>2000</v>
      </c>
      <c r="I74" t="s">
        <v>61</v>
      </c>
      <c r="J74">
        <v>2024</v>
      </c>
      <c r="K74" t="s">
        <v>62</v>
      </c>
      <c r="L74" t="s">
        <v>194</v>
      </c>
      <c r="M74" t="s">
        <v>115</v>
      </c>
    </row>
    <row r="75" spans="1:13" x14ac:dyDescent="0.25">
      <c r="A75">
        <v>74</v>
      </c>
      <c r="B75" t="s">
        <v>195</v>
      </c>
      <c r="C75" t="s">
        <v>82</v>
      </c>
      <c r="D75" t="s">
        <v>83</v>
      </c>
      <c r="E75" t="s">
        <v>60</v>
      </c>
      <c r="F75" t="s">
        <v>60</v>
      </c>
      <c r="H75">
        <v>500000</v>
      </c>
      <c r="I75" t="s">
        <v>61</v>
      </c>
      <c r="J75">
        <v>2024</v>
      </c>
      <c r="K75" t="s">
        <v>62</v>
      </c>
      <c r="L75" t="s">
        <v>195</v>
      </c>
      <c r="M75" t="s">
        <v>196</v>
      </c>
    </row>
    <row r="76" spans="1:13" x14ac:dyDescent="0.25">
      <c r="A76">
        <v>75</v>
      </c>
      <c r="B76" t="s">
        <v>197</v>
      </c>
      <c r="C76" t="s">
        <v>82</v>
      </c>
      <c r="D76" t="s">
        <v>83</v>
      </c>
      <c r="E76" t="s">
        <v>60</v>
      </c>
      <c r="F76" t="s">
        <v>60</v>
      </c>
      <c r="H76">
        <v>365</v>
      </c>
      <c r="I76" t="s">
        <v>61</v>
      </c>
      <c r="J76">
        <v>2025</v>
      </c>
      <c r="K76" t="s">
        <v>62</v>
      </c>
      <c r="L76" t="s">
        <v>197</v>
      </c>
      <c r="M76" t="s">
        <v>198</v>
      </c>
    </row>
    <row r="77" spans="1:13" x14ac:dyDescent="0.25">
      <c r="A77">
        <v>76</v>
      </c>
      <c r="B77" t="s">
        <v>199</v>
      </c>
      <c r="C77" t="s">
        <v>58</v>
      </c>
      <c r="D77" t="s">
        <v>59</v>
      </c>
      <c r="E77" t="s">
        <v>60</v>
      </c>
      <c r="F77" t="s">
        <v>60</v>
      </c>
      <c r="H77">
        <v>6000</v>
      </c>
      <c r="I77" t="s">
        <v>61</v>
      </c>
      <c r="J77">
        <v>2025</v>
      </c>
      <c r="K77" t="s">
        <v>62</v>
      </c>
      <c r="L77" t="s">
        <v>200</v>
      </c>
      <c r="M77" t="s">
        <v>201</v>
      </c>
    </row>
    <row r="78" spans="1:13" x14ac:dyDescent="0.25">
      <c r="A78">
        <v>77</v>
      </c>
      <c r="B78" t="s">
        <v>202</v>
      </c>
      <c r="C78" t="s">
        <v>74</v>
      </c>
      <c r="D78" t="s">
        <v>82</v>
      </c>
      <c r="E78" t="s">
        <v>83</v>
      </c>
      <c r="F78" t="s">
        <v>60</v>
      </c>
      <c r="H78">
        <v>800000</v>
      </c>
      <c r="I78" t="s">
        <v>61</v>
      </c>
      <c r="J78">
        <v>2025</v>
      </c>
      <c r="K78" t="s">
        <v>62</v>
      </c>
      <c r="L78" t="s">
        <v>84</v>
      </c>
      <c r="M78" t="s">
        <v>203</v>
      </c>
    </row>
    <row r="79" spans="1:13" x14ac:dyDescent="0.25">
      <c r="A79">
        <v>78</v>
      </c>
      <c r="B79" t="s">
        <v>204</v>
      </c>
      <c r="C79" t="s">
        <v>74</v>
      </c>
      <c r="D79" t="s">
        <v>82</v>
      </c>
      <c r="E79" t="s">
        <v>83</v>
      </c>
      <c r="F79" t="s">
        <v>60</v>
      </c>
      <c r="H79">
        <v>200000</v>
      </c>
      <c r="I79" t="s">
        <v>61</v>
      </c>
      <c r="J79">
        <v>2025</v>
      </c>
      <c r="K79" t="s">
        <v>62</v>
      </c>
      <c r="L79" t="s">
        <v>205</v>
      </c>
      <c r="M79" t="s">
        <v>101</v>
      </c>
    </row>
    <row r="80" spans="1:13" x14ac:dyDescent="0.25">
      <c r="A80">
        <v>79</v>
      </c>
      <c r="B80" t="s">
        <v>206</v>
      </c>
      <c r="C80" t="s">
        <v>74</v>
      </c>
      <c r="D80" t="s">
        <v>82</v>
      </c>
      <c r="E80" t="s">
        <v>83</v>
      </c>
      <c r="F80" t="s">
        <v>60</v>
      </c>
      <c r="H80">
        <v>700000</v>
      </c>
      <c r="I80" t="s">
        <v>61</v>
      </c>
      <c r="J80">
        <v>2025</v>
      </c>
      <c r="K80" t="s">
        <v>62</v>
      </c>
      <c r="L80" t="s">
        <v>206</v>
      </c>
      <c r="M80" t="s">
        <v>101</v>
      </c>
    </row>
    <row r="81" spans="1:13" x14ac:dyDescent="0.25">
      <c r="A81">
        <v>80</v>
      </c>
      <c r="B81" t="s">
        <v>207</v>
      </c>
      <c r="C81" t="s">
        <v>74</v>
      </c>
      <c r="D81" t="s">
        <v>82</v>
      </c>
      <c r="E81" t="s">
        <v>83</v>
      </c>
      <c r="F81" t="s">
        <v>60</v>
      </c>
      <c r="H81">
        <v>172000</v>
      </c>
      <c r="I81" t="s">
        <v>61</v>
      </c>
      <c r="J81">
        <v>2025</v>
      </c>
      <c r="K81" t="s">
        <v>62</v>
      </c>
      <c r="L81" t="s">
        <v>100</v>
      </c>
      <c r="M81" t="s">
        <v>101</v>
      </c>
    </row>
    <row r="82" spans="1:13" x14ac:dyDescent="0.25">
      <c r="A82">
        <v>81</v>
      </c>
      <c r="B82" t="s">
        <v>208</v>
      </c>
      <c r="C82" t="s">
        <v>82</v>
      </c>
      <c r="D82" t="s">
        <v>83</v>
      </c>
      <c r="E82" t="s">
        <v>60</v>
      </c>
      <c r="F82" t="s">
        <v>60</v>
      </c>
      <c r="H82">
        <v>1000000</v>
      </c>
      <c r="I82" t="s">
        <v>61</v>
      </c>
      <c r="J82">
        <v>2025</v>
      </c>
      <c r="K82" t="s">
        <v>62</v>
      </c>
      <c r="L82" t="s">
        <v>109</v>
      </c>
      <c r="M82" t="s">
        <v>101</v>
      </c>
    </row>
    <row r="83" spans="1:13" ht="15.75" customHeight="1" x14ac:dyDescent="0.25">
      <c r="A83">
        <v>82</v>
      </c>
      <c r="B83" t="s">
        <v>209</v>
      </c>
      <c r="C83" t="s">
        <v>82</v>
      </c>
      <c r="D83" t="s">
        <v>60</v>
      </c>
      <c r="E83" t="s">
        <v>60</v>
      </c>
      <c r="F83" t="s">
        <v>60</v>
      </c>
      <c r="H83">
        <v>100</v>
      </c>
      <c r="I83" t="s">
        <v>61</v>
      </c>
      <c r="J83">
        <v>2025</v>
      </c>
      <c r="K83" t="s">
        <v>62</v>
      </c>
      <c r="L83" t="s">
        <v>210</v>
      </c>
      <c r="M83" t="s">
        <v>211</v>
      </c>
    </row>
    <row r="84" spans="1:13" ht="15.75" customHeight="1" x14ac:dyDescent="0.25">
      <c r="A84">
        <v>83</v>
      </c>
      <c r="B84" t="s">
        <v>212</v>
      </c>
      <c r="C84" t="s">
        <v>82</v>
      </c>
      <c r="D84" t="s">
        <v>60</v>
      </c>
      <c r="E84" t="s">
        <v>60</v>
      </c>
      <c r="F84" t="s">
        <v>60</v>
      </c>
      <c r="H84">
        <v>100</v>
      </c>
      <c r="I84" t="s">
        <v>61</v>
      </c>
      <c r="J84">
        <v>2025</v>
      </c>
      <c r="K84" t="s">
        <v>62</v>
      </c>
      <c r="L84" t="s">
        <v>213</v>
      </c>
      <c r="M84" t="s">
        <v>214</v>
      </c>
    </row>
    <row r="85" spans="1:13" ht="15.75" customHeight="1" x14ac:dyDescent="0.25">
      <c r="A85">
        <v>84</v>
      </c>
      <c r="B85" t="s">
        <v>215</v>
      </c>
      <c r="C85" t="s">
        <v>82</v>
      </c>
      <c r="D85" t="s">
        <v>60</v>
      </c>
      <c r="E85" t="s">
        <v>60</v>
      </c>
      <c r="F85" t="s">
        <v>60</v>
      </c>
      <c r="H85">
        <v>100</v>
      </c>
      <c r="I85" t="s">
        <v>61</v>
      </c>
      <c r="J85">
        <v>2025</v>
      </c>
      <c r="K85" t="s">
        <v>62</v>
      </c>
      <c r="L85" t="s">
        <v>216</v>
      </c>
      <c r="M85" t="s">
        <v>217</v>
      </c>
    </row>
    <row r="86" spans="1:13" ht="15.75" customHeight="1" x14ac:dyDescent="0.25">
      <c r="A86">
        <v>85</v>
      </c>
      <c r="B86" t="s">
        <v>218</v>
      </c>
      <c r="C86" t="s">
        <v>119</v>
      </c>
      <c r="D86" t="s">
        <v>82</v>
      </c>
      <c r="E86" t="s">
        <v>60</v>
      </c>
      <c r="F86" t="s">
        <v>60</v>
      </c>
      <c r="H86">
        <v>100</v>
      </c>
      <c r="I86" t="s">
        <v>61</v>
      </c>
      <c r="J86">
        <v>2025</v>
      </c>
      <c r="K86" t="s">
        <v>62</v>
      </c>
      <c r="L86" t="s">
        <v>219</v>
      </c>
      <c r="M86" t="s">
        <v>220</v>
      </c>
    </row>
    <row r="87" spans="1:13" ht="15.75" customHeight="1" x14ac:dyDescent="0.25">
      <c r="A87">
        <v>86</v>
      </c>
      <c r="B87" t="s">
        <v>221</v>
      </c>
      <c r="C87" t="s">
        <v>82</v>
      </c>
      <c r="D87" t="s">
        <v>83</v>
      </c>
      <c r="E87" t="s">
        <v>60</v>
      </c>
      <c r="F87" t="s">
        <v>60</v>
      </c>
      <c r="H87">
        <v>36000</v>
      </c>
      <c r="I87" t="s">
        <v>61</v>
      </c>
      <c r="J87">
        <v>2025</v>
      </c>
      <c r="K87" t="s">
        <v>62</v>
      </c>
      <c r="L87" t="s">
        <v>107</v>
      </c>
      <c r="M87" t="s">
        <v>222</v>
      </c>
    </row>
    <row r="88" spans="1:13" ht="15.75" customHeight="1" x14ac:dyDescent="0.25">
      <c r="A88">
        <v>87</v>
      </c>
      <c r="B88" t="s">
        <v>223</v>
      </c>
      <c r="C88" t="s">
        <v>82</v>
      </c>
      <c r="D88" t="s">
        <v>60</v>
      </c>
      <c r="E88" t="s">
        <v>60</v>
      </c>
      <c r="F88" t="s">
        <v>60</v>
      </c>
      <c r="H88">
        <v>100000</v>
      </c>
      <c r="I88" t="s">
        <v>61</v>
      </c>
      <c r="J88">
        <v>2025</v>
      </c>
      <c r="K88" t="s">
        <v>62</v>
      </c>
      <c r="L88" t="s">
        <v>224</v>
      </c>
      <c r="M88" t="s">
        <v>88</v>
      </c>
    </row>
    <row r="89" spans="1:13" x14ac:dyDescent="0.25">
      <c r="A89">
        <v>88</v>
      </c>
      <c r="B89" t="s">
        <v>225</v>
      </c>
      <c r="C89" t="s">
        <v>74</v>
      </c>
      <c r="D89" t="s">
        <v>82</v>
      </c>
      <c r="E89" t="s">
        <v>83</v>
      </c>
      <c r="F89" t="s">
        <v>60</v>
      </c>
      <c r="H89">
        <v>4000000</v>
      </c>
      <c r="I89" t="s">
        <v>61</v>
      </c>
      <c r="J89">
        <v>2027</v>
      </c>
      <c r="K89" t="s">
        <v>62</v>
      </c>
      <c r="L89" t="s">
        <v>226</v>
      </c>
      <c r="M89" t="s">
        <v>227</v>
      </c>
    </row>
    <row r="90" spans="1:13" x14ac:dyDescent="0.25">
      <c r="A90">
        <v>89</v>
      </c>
      <c r="B90" t="s">
        <v>228</v>
      </c>
      <c r="C90" t="s">
        <v>74</v>
      </c>
      <c r="D90" t="s">
        <v>82</v>
      </c>
      <c r="E90" t="s">
        <v>83</v>
      </c>
      <c r="F90" t="s">
        <v>60</v>
      </c>
      <c r="H90">
        <v>4000000</v>
      </c>
      <c r="I90" t="s">
        <v>61</v>
      </c>
      <c r="J90">
        <v>2030</v>
      </c>
      <c r="K90" t="s">
        <v>62</v>
      </c>
      <c r="L90" t="s">
        <v>229</v>
      </c>
      <c r="M90" t="s">
        <v>227</v>
      </c>
    </row>
  </sheetData>
  <pageMargins left="0.7" right="0.7" top="0.78740157499999996" bottom="0.78740157499999996"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
  <sheetViews>
    <sheetView workbookViewId="0">
      <selection activeCell="D11" sqref="D11"/>
    </sheetView>
  </sheetViews>
  <sheetFormatPr baseColWidth="10" defaultRowHeight="15" x14ac:dyDescent="0.25"/>
  <cols>
    <col min="1" max="1" width="11.42578125" style="7"/>
    <col min="2" max="2" width="34.7109375" style="7" customWidth="1"/>
    <col min="3" max="14" width="15.42578125" style="7" customWidth="1"/>
    <col min="15" max="16384" width="11.42578125" style="7"/>
  </cols>
  <sheetData>
    <row r="1" spans="2:14" ht="15.75" thickBot="1" x14ac:dyDescent="0.3"/>
    <row r="2" spans="2:14" ht="19.5" customHeight="1" x14ac:dyDescent="0.3">
      <c r="B2" s="19" t="s">
        <v>434</v>
      </c>
      <c r="C2" s="21"/>
      <c r="D2" s="13" t="s">
        <v>435</v>
      </c>
      <c r="E2" s="14"/>
      <c r="F2" s="15"/>
      <c r="G2" s="13" t="s">
        <v>436</v>
      </c>
      <c r="H2" s="15"/>
      <c r="I2" s="13" t="s">
        <v>438</v>
      </c>
      <c r="J2" s="14"/>
      <c r="K2" s="15"/>
      <c r="L2" s="13" t="s">
        <v>438</v>
      </c>
      <c r="M2" s="14"/>
      <c r="N2" s="15"/>
    </row>
    <row r="3" spans="2:14" ht="20.25" thickBot="1" x14ac:dyDescent="0.35">
      <c r="B3" s="20"/>
      <c r="C3" s="22"/>
      <c r="D3" s="16"/>
      <c r="E3" s="17"/>
      <c r="F3" s="18"/>
      <c r="G3" s="16" t="s">
        <v>437</v>
      </c>
      <c r="H3" s="18"/>
      <c r="I3" s="16" t="s">
        <v>439</v>
      </c>
      <c r="J3" s="17"/>
      <c r="K3" s="18"/>
      <c r="L3" s="16" t="s">
        <v>440</v>
      </c>
      <c r="M3" s="17"/>
      <c r="N3" s="18"/>
    </row>
    <row r="4" spans="2:14" ht="18.75" customHeight="1" x14ac:dyDescent="0.3">
      <c r="B4" s="19" t="s">
        <v>441</v>
      </c>
      <c r="C4" s="8" t="s">
        <v>442</v>
      </c>
      <c r="D4" s="19" t="s">
        <v>443</v>
      </c>
      <c r="E4" s="19" t="s">
        <v>444</v>
      </c>
      <c r="F4" s="8" t="s">
        <v>445</v>
      </c>
      <c r="G4" s="8" t="s">
        <v>447</v>
      </c>
      <c r="H4" s="19" t="s">
        <v>449</v>
      </c>
      <c r="I4" s="19" t="s">
        <v>450</v>
      </c>
      <c r="J4" s="8" t="s">
        <v>451</v>
      </c>
      <c r="K4" s="8" t="s">
        <v>451</v>
      </c>
      <c r="L4" s="19" t="s">
        <v>453</v>
      </c>
      <c r="M4" s="8" t="s">
        <v>451</v>
      </c>
      <c r="N4" s="8" t="s">
        <v>451</v>
      </c>
    </row>
    <row r="5" spans="2:14" ht="18.75" customHeight="1" thickBot="1" x14ac:dyDescent="0.35">
      <c r="B5" s="20"/>
      <c r="C5" s="9" t="s">
        <v>403</v>
      </c>
      <c r="D5" s="20"/>
      <c r="E5" s="20"/>
      <c r="F5" s="9" t="s">
        <v>446</v>
      </c>
      <c r="G5" s="9" t="s">
        <v>448</v>
      </c>
      <c r="H5" s="20"/>
      <c r="I5" s="20"/>
      <c r="J5" s="9" t="s">
        <v>452</v>
      </c>
      <c r="K5" s="9" t="s">
        <v>62</v>
      </c>
      <c r="L5" s="20"/>
      <c r="M5" s="9" t="s">
        <v>454</v>
      </c>
      <c r="N5" s="9" t="s">
        <v>62</v>
      </c>
    </row>
    <row r="6" spans="2:14" ht="18.75" customHeight="1" thickBot="1" x14ac:dyDescent="0.35">
      <c r="B6" s="10" t="s">
        <v>24</v>
      </c>
      <c r="C6" s="10">
        <v>-2578</v>
      </c>
      <c r="D6" s="10">
        <f>--985</f>
        <v>985</v>
      </c>
      <c r="E6" s="10">
        <v>-2708</v>
      </c>
      <c r="F6" s="10">
        <v>-3987</v>
      </c>
      <c r="G6" s="10">
        <v>-1706</v>
      </c>
      <c r="H6" s="10">
        <v>-2972</v>
      </c>
      <c r="I6" s="11">
        <v>-133</v>
      </c>
      <c r="J6" s="11">
        <v>-87</v>
      </c>
      <c r="K6" s="10">
        <v>-46</v>
      </c>
      <c r="L6" s="10">
        <v>-1412</v>
      </c>
      <c r="M6" s="10">
        <v>-883</v>
      </c>
      <c r="N6" s="10">
        <v>-529</v>
      </c>
    </row>
    <row r="7" spans="2:14" ht="18.75" customHeight="1" thickBot="1" x14ac:dyDescent="0.35">
      <c r="B7" s="10" t="s">
        <v>402</v>
      </c>
      <c r="C7" s="10">
        <v>-2018</v>
      </c>
      <c r="D7" s="10">
        <v>-1799</v>
      </c>
      <c r="E7" s="10">
        <v>-2090</v>
      </c>
      <c r="F7" s="10">
        <v>-2090</v>
      </c>
      <c r="G7" s="10">
        <v>-291</v>
      </c>
      <c r="H7" s="10">
        <v>-291</v>
      </c>
      <c r="I7" s="11">
        <v>-93</v>
      </c>
      <c r="J7" s="11">
        <v>-20</v>
      </c>
      <c r="K7" s="10">
        <v>-73</v>
      </c>
      <c r="L7" s="10">
        <v>-93</v>
      </c>
      <c r="M7" s="10">
        <v>-20</v>
      </c>
      <c r="N7" s="10">
        <v>-73</v>
      </c>
    </row>
    <row r="8" spans="2:14" ht="18.75" customHeight="1" thickBot="1" x14ac:dyDescent="0.35">
      <c r="B8" s="10" t="s">
        <v>455</v>
      </c>
      <c r="C8" s="10">
        <v>-560</v>
      </c>
      <c r="D8" s="10">
        <v>813</v>
      </c>
      <c r="E8" s="10">
        <v>-618</v>
      </c>
      <c r="F8" s="10">
        <v>-1897</v>
      </c>
      <c r="G8" s="10">
        <v>-1415</v>
      </c>
      <c r="H8" s="10">
        <v>-2681</v>
      </c>
      <c r="I8" s="11">
        <v>-40</v>
      </c>
      <c r="J8" s="11">
        <v>-67</v>
      </c>
      <c r="K8" s="12">
        <v>27</v>
      </c>
      <c r="L8" s="10">
        <v>-1319</v>
      </c>
      <c r="M8" s="10">
        <v>-863</v>
      </c>
      <c r="N8" s="10">
        <v>-456</v>
      </c>
    </row>
  </sheetData>
  <mergeCells count="15">
    <mergeCell ref="L2:N2"/>
    <mergeCell ref="L3:N3"/>
    <mergeCell ref="B4:B5"/>
    <mergeCell ref="D4:D5"/>
    <mergeCell ref="E4:E5"/>
    <mergeCell ref="H4:H5"/>
    <mergeCell ref="I4:I5"/>
    <mergeCell ref="L4:L5"/>
    <mergeCell ref="B2:B3"/>
    <mergeCell ref="C2:C3"/>
    <mergeCell ref="D2:F3"/>
    <mergeCell ref="G2:H2"/>
    <mergeCell ref="G3:H3"/>
    <mergeCell ref="I2:K2"/>
    <mergeCell ref="I3:K3"/>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F 4 j W O L h y K C n A A A A + A A A A B I A H A B D b 2 5 m a W c v U G F j a 2 F n Z S 5 4 b W w g o h g A K K A U A A A A A A A A A A A A A A A A A A A A A A A A A A A A h Y + 9 D o I w G E V f h X S n f y p R 8 1 E G d Z P E x M S 4 k l K h E Y q h x f J u D j 6 S r y C J o m 6 O 9 + Q M 5 z 5 u d 0 j 6 u g q u q r W 6 M T F i m K J A G d n k 2 h Q x 6 t w p n K N E w C 6 T 5 6 x Q w S A b u + x t H q P S u c u S E O 8 9 9 h P c t A X h l D J y T L d 7 W a o 6 Q x 9 Z / 5 d D b a z L j F R I w O E V I z i O G J 6 x B c f T i A E Z M a T a f B U + F G M K 5 A f C q q t c 1 y q R q 3 C 9 A T J O I O 8 X 4 g l Q S w M E F A A C A A g A A F 4 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e I 1 g o i k e 4 D g A A A B E A A A A T A B w A R m 9 y b X V s Y X M v U 2 V j d G l v b j E u b S C i G A A o o B Q A A A A A A A A A A A A A A A A A A A A A A A A A A A A r T k 0 u y c z P U w i G 0 I b W A F B L A Q I t A B Q A A g A I A A B e I 1 j i 4 c i g p w A A A P g A A A A S A A A A A A A A A A A A A A A A A A A A A A B D b 2 5 m a W c v U G F j a 2 F n Z S 5 4 b W x Q S w E C L Q A U A A I A C A A A X i N Y D 8 r p q 6 Q A A A D p A A A A E w A A A A A A A A A A A A A A A A D z A A A A W 0 N v b n R l b n R f V H l w Z X N d L n h t b F B L A Q I t A B Q A A g A I A A B e I 1 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W F t 3 x i 7 z E T Y Y 9 G V 1 O 9 v c e A A A A A A I A A A A A A A N m A A D A A A A A E A A A A B W J d T 8 F d 8 5 h 7 r s q W + j T O Y c A A A A A B I A A A K A A A A A Q A A A A b X 2 R U + X A 1 M A i u z G H q 3 C l C 1 A A A A C t T 2 r O W 4 S j 8 s G d 6 R Y X E E V g 7 E s A s 3 0 E S J b i G P j n m o E I W w t l E P E X V f b R x 5 5 T w n c P G j 6 V A y O A W c x / b L W X R Q 9 R + t d 0 j 3 H K l 9 h d Y E h T 1 a P e Y 9 u 3 e R Q A A A D U w l / G 4 f F s Y v I z N c Q G Y y u o x J a A E g = = < / D a t a M a s h u p > 
</file>

<file path=customXml/itemProps1.xml><?xml version="1.0" encoding="utf-8"?>
<ds:datastoreItem xmlns:ds="http://schemas.openxmlformats.org/officeDocument/2006/customXml" ds:itemID="{45F47CEB-A928-4AF2-88D8-0DF9718779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info</vt:lpstr>
      <vt:lpstr>gap analysis</vt:lpstr>
      <vt:lpstr>planned_cdr_ltleds</vt:lpstr>
      <vt:lpstr>planned_cdr_ltleds_reanalysed</vt:lpstr>
      <vt:lpstr>current_cdr_nghgi</vt:lpstr>
      <vt:lpstr>current_cdr_other</vt:lpstr>
      <vt:lpstr>planned_cdr_ndcs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2024-03-07T16:33:20Z</dcterms:modified>
</cp:coreProperties>
</file>