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EN\Desktop\FILE_MAU_IMPORT\"/>
    </mc:Choice>
  </mc:AlternateContent>
  <bookViews>
    <workbookView xWindow="240" yWindow="75" windowWidth="20115" windowHeight="7995" activeTab="2"/>
  </bookViews>
  <sheets>
    <sheet name="Tháng 10" sheetId="4" r:id="rId1"/>
    <sheet name="Tháng 11" sheetId="5" r:id="rId2"/>
    <sheet name="Tháng 12" sheetId="1" r:id="rId3"/>
    <sheet name="Sheet2" sheetId="2" r:id="rId4"/>
    <sheet name="Sheet3" sheetId="3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C61" i="1" l="1"/>
  <c r="D61" i="1"/>
  <c r="C55" i="1"/>
  <c r="D21" i="1"/>
  <c r="C29" i="1"/>
  <c r="D64" i="1"/>
  <c r="C64" i="1"/>
  <c r="D38" i="1"/>
  <c r="C38" i="1"/>
  <c r="C69" i="1"/>
  <c r="C68" i="1"/>
  <c r="C49" i="1"/>
  <c r="C46" i="1"/>
  <c r="D46" i="1"/>
  <c r="C51" i="1"/>
  <c r="C23" i="1"/>
  <c r="C58" i="1"/>
  <c r="C12" i="1"/>
  <c r="C53" i="1"/>
  <c r="D62" i="1"/>
  <c r="C62" i="1"/>
  <c r="C60" i="1"/>
  <c r="C52" i="1"/>
  <c r="C8" i="1"/>
  <c r="D59" i="1"/>
  <c r="C59" i="1"/>
  <c r="C28" i="1"/>
  <c r="D26" i="1"/>
  <c r="C26" i="1"/>
  <c r="C16" i="1"/>
  <c r="D9" i="1"/>
  <c r="C9" i="1"/>
  <c r="C47" i="1"/>
  <c r="C41" i="1"/>
  <c r="D43" i="1"/>
  <c r="D35" i="1"/>
  <c r="D37" i="1"/>
  <c r="C37" i="1"/>
  <c r="C35" i="1"/>
  <c r="C34" i="1"/>
  <c r="C33" i="1"/>
  <c r="C4" i="1"/>
  <c r="C22" i="1"/>
  <c r="C18" i="1"/>
  <c r="D11" i="1"/>
  <c r="C11" i="1"/>
  <c r="D7" i="1"/>
  <c r="C7" i="1"/>
  <c r="D63" i="1"/>
  <c r="C63" i="1"/>
  <c r="C54" i="1"/>
  <c r="C15" i="1"/>
  <c r="C14" i="1"/>
  <c r="D32" i="1"/>
  <c r="C32" i="1"/>
  <c r="I3" i="1"/>
  <c r="I4" i="1"/>
  <c r="I5" i="1"/>
  <c r="I6" i="1"/>
  <c r="I7" i="1"/>
  <c r="I8" i="1"/>
  <c r="I9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2" i="1"/>
  <c r="C25" i="1"/>
  <c r="E62" i="5"/>
  <c r="F62" i="5"/>
  <c r="B64" i="5"/>
  <c r="E63" i="5"/>
  <c r="E70" i="5"/>
  <c r="E68" i="5"/>
  <c r="E59" i="5"/>
  <c r="E27" i="5"/>
  <c r="E23" i="5"/>
  <c r="E46" i="5"/>
  <c r="F46" i="5"/>
  <c r="E24" i="5"/>
  <c r="F39" i="5"/>
  <c r="E34" i="5"/>
  <c r="E32" i="5"/>
  <c r="E33" i="5"/>
  <c r="E67" i="5"/>
  <c r="E41" i="5"/>
  <c r="E51" i="5"/>
  <c r="E48" i="5"/>
  <c r="K52" i="5"/>
  <c r="K53" i="5"/>
  <c r="E53" i="5"/>
  <c r="F20" i="5"/>
  <c r="E20" i="5"/>
  <c r="E26" i="5"/>
  <c r="E60" i="5"/>
  <c r="F15" i="5"/>
  <c r="E15" i="5"/>
  <c r="E55" i="5"/>
  <c r="E64" i="5"/>
  <c r="F54" i="5"/>
  <c r="E54" i="5"/>
  <c r="E11" i="5"/>
  <c r="E61" i="5"/>
  <c r="F31" i="5"/>
  <c r="E31" i="5"/>
  <c r="E29" i="5"/>
  <c r="E19" i="5"/>
  <c r="F12" i="5"/>
  <c r="E12" i="5"/>
  <c r="E49" i="5"/>
  <c r="F69" i="5"/>
  <c r="E69" i="5"/>
  <c r="F43" i="5"/>
  <c r="E43" i="5"/>
  <c r="F45" i="5"/>
  <c r="E45" i="5"/>
  <c r="F38" i="5"/>
  <c r="E38" i="5"/>
  <c r="E40" i="5"/>
  <c r="F28" i="5"/>
  <c r="E36" i="5"/>
  <c r="E25" i="5"/>
  <c r="E21" i="5"/>
  <c r="F14" i="5"/>
  <c r="E14" i="5"/>
  <c r="E10" i="5"/>
  <c r="F10" i="5"/>
  <c r="F16" i="5"/>
  <c r="E65" i="5"/>
  <c r="E18" i="5"/>
  <c r="F17" i="5"/>
  <c r="E17" i="5"/>
  <c r="E35" i="5"/>
  <c r="K6" i="5"/>
  <c r="K7" i="5"/>
  <c r="K8" i="5"/>
  <c r="K9" i="5"/>
  <c r="K10" i="5"/>
  <c r="K11" i="5"/>
  <c r="K12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5" i="5"/>
  <c r="B69" i="5"/>
  <c r="B68" i="5"/>
  <c r="B67" i="5"/>
  <c r="B66" i="5"/>
  <c r="B65" i="5"/>
  <c r="B63" i="5"/>
  <c r="B62" i="5"/>
  <c r="B61" i="5"/>
  <c r="B60" i="5"/>
  <c r="B59" i="5"/>
  <c r="B58" i="5"/>
  <c r="B57" i="5"/>
  <c r="B56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K67" i="4"/>
  <c r="E67" i="4"/>
  <c r="K66" i="4"/>
  <c r="E66" i="4"/>
  <c r="B66" i="4"/>
  <c r="K65" i="4"/>
  <c r="B65" i="4"/>
  <c r="K64" i="4"/>
  <c r="B64" i="4"/>
  <c r="K63" i="4"/>
  <c r="B63" i="4"/>
  <c r="K62" i="4"/>
  <c r="F62" i="4"/>
  <c r="E62" i="4"/>
  <c r="B62" i="4"/>
  <c r="K61" i="4"/>
  <c r="E61" i="4"/>
  <c r="B61" i="4"/>
  <c r="K60" i="4"/>
  <c r="F60" i="4"/>
  <c r="B60" i="4"/>
  <c r="K59" i="4"/>
  <c r="E59" i="4"/>
  <c r="B59" i="4"/>
  <c r="K58" i="4"/>
  <c r="E58" i="4"/>
  <c r="B58" i="4"/>
  <c r="K57" i="4"/>
  <c r="B57" i="4"/>
  <c r="K56" i="4"/>
  <c r="B56" i="4"/>
  <c r="K55" i="4"/>
  <c r="B55" i="4"/>
  <c r="K54" i="4"/>
  <c r="E54" i="4"/>
  <c r="B54" i="4"/>
  <c r="K53" i="4"/>
  <c r="B53" i="4"/>
  <c r="K52" i="4"/>
  <c r="E52" i="4"/>
  <c r="K51" i="4"/>
  <c r="E51" i="4"/>
  <c r="B51" i="4"/>
  <c r="K50" i="4"/>
  <c r="E50" i="4"/>
  <c r="B50" i="4"/>
  <c r="K49" i="4"/>
  <c r="B49" i="4"/>
  <c r="K48" i="4"/>
  <c r="E48" i="4"/>
  <c r="B48" i="4"/>
  <c r="K47" i="4"/>
  <c r="F47" i="4"/>
  <c r="E47" i="4"/>
  <c r="B47" i="4"/>
  <c r="K46" i="4"/>
  <c r="E46" i="4"/>
  <c r="B46" i="4"/>
  <c r="K45" i="4"/>
  <c r="F45" i="4"/>
  <c r="E45" i="4"/>
  <c r="B45" i="4"/>
  <c r="K44" i="4"/>
  <c r="B44" i="4"/>
  <c r="K43" i="4"/>
  <c r="E43" i="4"/>
  <c r="B43" i="4"/>
  <c r="K42" i="4"/>
  <c r="B42" i="4"/>
  <c r="K41" i="4"/>
  <c r="B41" i="4"/>
  <c r="K40" i="4"/>
  <c r="E40" i="4"/>
  <c r="B40" i="4"/>
  <c r="K39" i="4"/>
  <c r="B39" i="4"/>
  <c r="K38" i="4"/>
  <c r="B38" i="4"/>
  <c r="K37" i="4"/>
  <c r="F37" i="4"/>
  <c r="B37" i="4"/>
  <c r="K36" i="4"/>
  <c r="B36" i="4"/>
  <c r="K35" i="4"/>
  <c r="F35" i="4"/>
  <c r="E35" i="4"/>
  <c r="B35" i="4"/>
  <c r="K34" i="4"/>
  <c r="B34" i="4"/>
  <c r="K33" i="4"/>
  <c r="E33" i="4"/>
  <c r="B33" i="4"/>
  <c r="K32" i="4"/>
  <c r="E32" i="4"/>
  <c r="B32" i="4"/>
  <c r="K31" i="4"/>
  <c r="E31" i="4"/>
  <c r="B31" i="4"/>
  <c r="K30" i="4"/>
  <c r="E30" i="4"/>
  <c r="B30" i="4"/>
  <c r="K29" i="4"/>
  <c r="B29" i="4"/>
  <c r="K28" i="4"/>
  <c r="E28" i="4"/>
  <c r="B28" i="4"/>
  <c r="K27" i="4"/>
  <c r="E27" i="4"/>
  <c r="B27" i="4"/>
  <c r="K26" i="4"/>
  <c r="E26" i="4"/>
  <c r="B26" i="4"/>
  <c r="K25" i="4"/>
  <c r="B25" i="4"/>
  <c r="K24" i="4"/>
  <c r="B24" i="4"/>
  <c r="K23" i="4"/>
  <c r="E23" i="4"/>
  <c r="B23" i="4"/>
  <c r="K22" i="4"/>
  <c r="E22" i="4"/>
  <c r="B22" i="4"/>
  <c r="K21" i="4"/>
  <c r="B21" i="4"/>
  <c r="K20" i="4"/>
  <c r="E20" i="4"/>
  <c r="B20" i="4"/>
  <c r="K19" i="4"/>
  <c r="E19" i="4"/>
  <c r="B19" i="4"/>
  <c r="K18" i="4"/>
  <c r="E18" i="4"/>
  <c r="B18" i="4"/>
  <c r="K17" i="4"/>
  <c r="F17" i="4"/>
  <c r="E17" i="4"/>
  <c r="B17" i="4"/>
  <c r="K16" i="4"/>
  <c r="F16" i="4"/>
  <c r="E16" i="4"/>
  <c r="B16" i="4"/>
  <c r="K15" i="4"/>
  <c r="E15" i="4"/>
  <c r="B15" i="4"/>
  <c r="K14" i="4"/>
  <c r="E14" i="4"/>
  <c r="B14" i="4"/>
  <c r="K13" i="4"/>
  <c r="E13" i="4"/>
  <c r="B13" i="4"/>
  <c r="K12" i="4"/>
  <c r="E12" i="4"/>
  <c r="B12" i="4"/>
  <c r="K11" i="4"/>
  <c r="E11" i="4"/>
  <c r="B11" i="4"/>
  <c r="K10" i="4"/>
  <c r="F10" i="4"/>
  <c r="E10" i="4"/>
  <c r="B10" i="4"/>
  <c r="K9" i="4"/>
  <c r="E9" i="4"/>
  <c r="B9" i="4"/>
  <c r="K8" i="4"/>
  <c r="E8" i="4"/>
  <c r="B8" i="4"/>
  <c r="K7" i="4"/>
  <c r="E7" i="4"/>
  <c r="B7" i="4"/>
  <c r="K6" i="4"/>
  <c r="B6" i="4"/>
  <c r="K5" i="4"/>
  <c r="B5" i="4"/>
  <c r="K4" i="4"/>
  <c r="F4" i="4"/>
  <c r="E4" i="4"/>
  <c r="B4" i="4"/>
  <c r="K3" i="4"/>
  <c r="B3" i="4"/>
  <c r="K2" i="4"/>
  <c r="B2" i="4"/>
</calcChain>
</file>

<file path=xl/sharedStrings.xml><?xml version="1.0" encoding="utf-8"?>
<sst xmlns="http://schemas.openxmlformats.org/spreadsheetml/2006/main" count="397" uniqueCount="177">
  <si>
    <t>username</t>
  </si>
  <si>
    <t>email</t>
  </si>
  <si>
    <t>password</t>
  </si>
  <si>
    <t>ngay_chuan</t>
  </si>
  <si>
    <t>gio_di_muon</t>
  </si>
  <si>
    <t>gio_ve_som</t>
  </si>
  <si>
    <t>tang_ca_ngay_thuong</t>
  </si>
  <si>
    <t>tang_ca_ngay_le</t>
  </si>
  <si>
    <t>so_lan_quen_cham</t>
  </si>
  <si>
    <t>so_ngay_nghi</t>
  </si>
  <si>
    <t>cong_thuc_te</t>
  </si>
  <si>
    <t>ung_luong</t>
  </si>
  <si>
    <t>ghi_chu</t>
  </si>
  <si>
    <t>thang</t>
  </si>
  <si>
    <t>QuangNH</t>
  </si>
  <si>
    <t>NGUYỄN HỒNG
 QUẢNG</t>
  </si>
  <si>
    <t>NgocLH</t>
  </si>
  <si>
    <t>LƯƠNG HOÀNG 
NGỌC</t>
  </si>
  <si>
    <t>HuongCD</t>
  </si>
  <si>
    <t>CHU DIỆU HƯƠNG</t>
  </si>
  <si>
    <t>DaoLQ</t>
  </si>
  <si>
    <t>LÊ QUANG ĐẠO</t>
  </si>
  <si>
    <t>BacVD</t>
  </si>
  <si>
    <t>VŨ ĐỨC BẮC</t>
  </si>
  <si>
    <t>TuanTM</t>
  </si>
  <si>
    <t>TRẦN MẠNH TUẤN</t>
  </si>
  <si>
    <t>TanNM</t>
  </si>
  <si>
    <t>NGUYỄN MINH TÂN</t>
  </si>
  <si>
    <t>Trừ Khoản vay</t>
  </si>
  <si>
    <t>HanhVT</t>
  </si>
  <si>
    <t>VŨ THỊ HẠNH</t>
  </si>
  <si>
    <t>NhanVT</t>
  </si>
  <si>
    <t>VŨ THỊ NHÀN</t>
  </si>
  <si>
    <t>đi học thuế, đi thuế C,Mỹ</t>
  </si>
  <si>
    <t>TuoiNT</t>
  </si>
  <si>
    <t>NGUYỄN THỊ TƯƠI</t>
  </si>
  <si>
    <t>NhamNT</t>
  </si>
  <si>
    <t>NGUYỄN THỊ NHÂM</t>
  </si>
  <si>
    <t>LichDTT</t>
  </si>
  <si>
    <t>ĐẶNG THANH LỊCH</t>
  </si>
  <si>
    <t>TrangLH</t>
  </si>
  <si>
    <t>LÊ HUYỀN TRANG</t>
  </si>
  <si>
    <t>DungNT</t>
  </si>
  <si>
    <t>NGUYỄN THỊ DUNG</t>
  </si>
  <si>
    <t>ThaoVT</t>
  </si>
  <si>
    <t>VŨ THỊ THẢO</t>
  </si>
  <si>
    <t>TamDH</t>
  </si>
  <si>
    <t>ĐỖ HOA TÂM</t>
  </si>
  <si>
    <t>HuongDTT</t>
  </si>
  <si>
    <t>ĐẶNG THỊ THU
 HƯỜNG</t>
  </si>
  <si>
    <t>QuanPH</t>
  </si>
  <si>
    <t>PHẠM HỒNG QUÂN</t>
  </si>
  <si>
    <t>DucTV</t>
  </si>
  <si>
    <t>THÁI VIẾT ĐỨC</t>
  </si>
  <si>
    <t>TaiND</t>
  </si>
  <si>
    <t>NGUYỄN ĐỨC TÀI</t>
  </si>
  <si>
    <t>TrungLV</t>
  </si>
  <si>
    <t>LÊ VĂN TRUNG</t>
  </si>
  <si>
    <t>DucNM</t>
  </si>
  <si>
    <t>NGUYỄN MINH ĐỨC</t>
  </si>
  <si>
    <t>đi giao hàng</t>
  </si>
  <si>
    <t>HungHM</t>
  </si>
  <si>
    <t>HOÀNG MẠNH HÙNG</t>
  </si>
  <si>
    <t>NgaDTT</t>
  </si>
  <si>
    <t>ĐẶNG THỊ THANH NGA</t>
  </si>
  <si>
    <t>XoaTT</t>
  </si>
  <si>
    <t>TRƯƠNG THỊ XOA</t>
  </si>
  <si>
    <t>NhungNTH</t>
  </si>
  <si>
    <t>NGÔ THỊ HỒNG NHUNG</t>
  </si>
  <si>
    <t>HuongPT</t>
  </si>
  <si>
    <t>PHẠM THỊ HƯƠNG</t>
  </si>
  <si>
    <t>HaiND</t>
  </si>
  <si>
    <t>NGUYỄN DUY HẢI</t>
  </si>
  <si>
    <t>TaiDH</t>
  </si>
  <si>
    <t xml:space="preserve">ĐỖ HỮU  TÀI </t>
  </si>
  <si>
    <t>HaiHT</t>
  </si>
  <si>
    <t xml:space="preserve">HÀ THỌ HẢI </t>
  </si>
  <si>
    <t>PhuongVT</t>
  </si>
  <si>
    <t>VŨ THỊ PHƯỢNG</t>
  </si>
  <si>
    <t>DanNT</t>
  </si>
  <si>
    <t>NGÔ THỊ DẦN</t>
  </si>
  <si>
    <t>HuongNT</t>
  </si>
  <si>
    <t>NGUYỄN THỊ HƯỜNG</t>
  </si>
  <si>
    <t>VungLV</t>
  </si>
  <si>
    <t>LÊ VĂN VỮNG</t>
  </si>
  <si>
    <t>ChungVX</t>
  </si>
  <si>
    <t>VŨ XUÂN CHUNG</t>
  </si>
  <si>
    <t>HienNT</t>
  </si>
  <si>
    <t>NGUYỄN THỊ HIỀN</t>
  </si>
  <si>
    <t>ThanhNV</t>
  </si>
  <si>
    <t>NGUYỄN VĂN THÀNH</t>
  </si>
  <si>
    <t>TiepPT</t>
  </si>
  <si>
    <t>PHAN THÁI TIỆP</t>
  </si>
  <si>
    <t>LoiNS</t>
  </si>
  <si>
    <t>NGUYỄN SỸ LỢI</t>
  </si>
  <si>
    <t>KhoaTM</t>
  </si>
  <si>
    <t>TRỊNH MINH KHOA</t>
  </si>
  <si>
    <t>ThanhDN</t>
  </si>
  <si>
    <t>ĐẶNG NINH THANH</t>
  </si>
  <si>
    <t>LucDV</t>
  </si>
  <si>
    <t>ĐỖ VĂN LỰC</t>
  </si>
  <si>
    <t>NinhTA</t>
  </si>
  <si>
    <t>TRỊNH AN NINH</t>
  </si>
  <si>
    <t>TienPN</t>
  </si>
  <si>
    <t>PHẠM NGỌC TiẾN</t>
  </si>
  <si>
    <t>HaiNT</t>
  </si>
  <si>
    <t>NGUYỄN TRỌNG HẢI</t>
  </si>
  <si>
    <t>DangDV</t>
  </si>
  <si>
    <t>ĐỚI VĂN ĐẶNG</t>
  </si>
  <si>
    <t>TrinhVV</t>
  </si>
  <si>
    <t>VŨ VĂN TRÌNH</t>
  </si>
  <si>
    <t>CuongDV</t>
  </si>
  <si>
    <t>ĐẶNG VĂN CƯƠNG</t>
  </si>
  <si>
    <t>DuongDV</t>
  </si>
  <si>
    <t>ĐỖ VĂN DƯƠNG</t>
  </si>
  <si>
    <t>về sớm đi giao hàng,
giao hàng về luôn k qua cty</t>
  </si>
  <si>
    <t>ĐÀO KIM LỰC</t>
  </si>
  <si>
    <t>HaTT</t>
  </si>
  <si>
    <t>ha.trinh@hoplongtech.com.vn</t>
  </si>
  <si>
    <t>TRỊNH THỊ HÀ</t>
  </si>
  <si>
    <t>HoaNT</t>
  </si>
  <si>
    <t>NGUYỄN THỊ HÒA</t>
  </si>
  <si>
    <t>TraiNV</t>
  </si>
  <si>
    <t>NGUYỄN VĂN TRÃI</t>
  </si>
  <si>
    <t>DuDV</t>
  </si>
  <si>
    <t>NGUYỄN DU</t>
  </si>
  <si>
    <t>DinhNV</t>
  </si>
  <si>
    <t>NGUYỄN VĂN ĐỊNH</t>
  </si>
  <si>
    <t>MungNT</t>
  </si>
  <si>
    <t>NGUYỄN THỊ MỪNG</t>
  </si>
  <si>
    <t>TrangNT</t>
  </si>
  <si>
    <t>NGUYỄN THỊ TRANG</t>
  </si>
  <si>
    <t>LucLT</t>
  </si>
  <si>
    <t>LÊ THANH LỰC</t>
  </si>
  <si>
    <t>QuynhDT</t>
  </si>
  <si>
    <t>DƯ THỊ QUỲNH</t>
  </si>
  <si>
    <t>HienLT</t>
  </si>
  <si>
    <t>LÂM THỊ HIỀN</t>
  </si>
  <si>
    <t>HuyenNTN</t>
  </si>
  <si>
    <t>NGUYỄN THỊ NGỌC HUYỂN</t>
  </si>
  <si>
    <t>VinhVV</t>
  </si>
  <si>
    <t>VŨ VĂN VINH</t>
  </si>
  <si>
    <t>HauPV</t>
  </si>
  <si>
    <t>PHẠM VĂN HẬU</t>
  </si>
  <si>
    <t>PhucNV</t>
  </si>
  <si>
    <t>NGUYỄN VĂN PHÚC</t>
  </si>
  <si>
    <t>GiangNT</t>
  </si>
  <si>
    <t>NGUYỄN THU GIANG</t>
  </si>
  <si>
    <t>đi làm từ 3/10</t>
  </si>
  <si>
    <t>DuongLD</t>
  </si>
  <si>
    <t>anhlamdaiduong1995@gmail.com</t>
  </si>
  <si>
    <t>LÂM ĐẠI DƯƠNG</t>
  </si>
  <si>
    <t>ĐỖ VĂN DU</t>
  </si>
  <si>
    <t>Vay tín dụng</t>
  </si>
  <si>
    <t>NGUYỄN THỊ NGỌC HUYỀN</t>
  </si>
  <si>
    <t>nghỉ việc</t>
  </si>
  <si>
    <t>tang_ca_
ngay_thuong</t>
  </si>
  <si>
    <t>Nghỉ sinh</t>
  </si>
  <si>
    <t>đi ausfeed, anh thịnh,
 giao hàng</t>
  </si>
  <si>
    <t>đi giao hàng  , 
đi lấy hàng</t>
  </si>
  <si>
    <t>BẢNG CHẤM CÔNG THÁNG 11</t>
  </si>
  <si>
    <t>đi giao hàng xa , 
đi lấy hàng</t>
  </si>
  <si>
    <t>USER_ID</t>
  </si>
  <si>
    <t>NGAY_CHUAN</t>
  </si>
  <si>
    <t>GIO_DI_MUON</t>
  </si>
  <si>
    <t>TANG_CA_NGAY_THUONG</t>
  </si>
  <si>
    <t>TANG_CA_NGAY_LE</t>
  </si>
  <si>
    <t>SO_LAN_QUEN_CHAM</t>
  </si>
  <si>
    <t>SO_NGAY_NGHI</t>
  </si>
  <si>
    <t>CONG_THUC_TE</t>
  </si>
  <si>
    <t>UNG_LUONG</t>
  </si>
  <si>
    <t>GHI_CHU</t>
  </si>
  <si>
    <t>THANG_CHAM_CONG</t>
  </si>
  <si>
    <t>ứng lương</t>
  </si>
  <si>
    <t>đi làm từ 5/12</t>
  </si>
  <si>
    <t>Tháng 1/2017</t>
  </si>
  <si>
    <t>GIO_VE_SOM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</si>
</sst>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,##0.000"/>
    <numFmt numFmtId="165" formatCode="0.0"/>
    <numFmt numFmtId="166" formatCode="#,##0.0"/>
  </numFmts>
  <fonts count="1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color indexed="8"/>
      <name val="Times New Roman"/>
      <family val="1"/>
    </font>
    <font>
      <i/>
      <sz val="12"/>
      <name val="Times New Roman"/>
      <family val="1"/>
    </font>
    <font>
      <b/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1"/>
      <color rgb="FFFF0000"/>
      <name val="Times New Roman"/>
      <family val="1"/>
    </font>
    <font>
      <sz val="11"/>
      <name val="Calibri"/>
      <family val="2"/>
      <scheme val="minor"/>
    </font>
    <font>
      <b/>
      <sz val="2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95">
    <xf numFmtId="0" fontId="0" fillId="0" borderId="0" xfId="0"/>
    <xf numFmtId="3" fontId="1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top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166" fontId="1" fillId="2" borderId="1" xfId="0" applyNumberFormat="1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3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3" fontId="10" fillId="3" borderId="1" xfId="0" applyNumberFormat="1" applyFont="1" applyFill="1" applyBorder="1" applyAlignment="1">
      <alignment horizontal="left" vertical="center"/>
    </xf>
    <xf numFmtId="3" fontId="9" fillId="3" borderId="1" xfId="0" applyNumberFormat="1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center" vertical="center"/>
    </xf>
    <xf numFmtId="2" fontId="1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164" fontId="9" fillId="3" borderId="1" xfId="0" applyNumberFormat="1" applyFont="1" applyFill="1" applyBorder="1" applyAlignment="1">
      <alignment horizontal="center" vertical="center"/>
    </xf>
    <xf numFmtId="3" fontId="9" fillId="3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2" fontId="3" fillId="3" borderId="1" xfId="1" applyNumberFormat="1" applyFont="1" applyFill="1" applyBorder="1" applyAlignment="1">
      <alignment horizontal="center"/>
    </xf>
    <xf numFmtId="164" fontId="11" fillId="3" borderId="2" xfId="0" applyNumberFormat="1" applyFont="1" applyFill="1" applyBorder="1" applyAlignment="1">
      <alignment horizontal="center" vertical="center"/>
    </xf>
    <xf numFmtId="4" fontId="9" fillId="3" borderId="3" xfId="0" applyNumberFormat="1" applyFont="1" applyFill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3" fontId="1" fillId="3" borderId="3" xfId="0" applyNumberFormat="1" applyFont="1" applyFill="1" applyBorder="1" applyAlignment="1">
      <alignment horizontal="center" vertical="center"/>
    </xf>
    <xf numFmtId="164" fontId="9" fillId="3" borderId="1" xfId="0" applyNumberFormat="1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left" vertical="center"/>
    </xf>
    <xf numFmtId="164" fontId="8" fillId="3" borderId="3" xfId="0" applyNumberFormat="1" applyFont="1" applyFill="1" applyBorder="1" applyAlignment="1">
      <alignment horizontal="center" vertical="center" wrapText="1"/>
    </xf>
    <xf numFmtId="4" fontId="9" fillId="3" borderId="2" xfId="0" applyNumberFormat="1" applyFont="1" applyFill="1" applyBorder="1" applyAlignment="1">
      <alignment horizontal="center" vertical="center"/>
    </xf>
    <xf numFmtId="3" fontId="9" fillId="3" borderId="2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/>
    </xf>
    <xf numFmtId="4" fontId="9" fillId="3" borderId="1" xfId="0" applyNumberFormat="1" applyFont="1" applyFill="1" applyBorder="1" applyAlignment="1">
      <alignment horizontal="center" vertical="center"/>
    </xf>
    <xf numFmtId="4" fontId="9" fillId="3" borderId="0" xfId="0" applyNumberFormat="1" applyFont="1" applyFill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3" fontId="9" fillId="3" borderId="0" xfId="0" quotePrefix="1" applyNumberFormat="1" applyFont="1" applyFill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3" fontId="12" fillId="3" borderId="0" xfId="0" applyNumberFormat="1" applyFont="1" applyFill="1" applyAlignment="1">
      <alignment horizontal="center" vertical="center"/>
    </xf>
    <xf numFmtId="164" fontId="9" fillId="3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3" fontId="10" fillId="4" borderId="1" xfId="0" applyNumberFormat="1" applyFont="1" applyFill="1" applyBorder="1" applyAlignment="1">
      <alignment horizontal="left" vertical="center"/>
    </xf>
    <xf numFmtId="3" fontId="10" fillId="3" borderId="0" xfId="0" applyNumberFormat="1" applyFont="1" applyFill="1" applyAlignment="1">
      <alignment horizontal="left" vertical="center"/>
    </xf>
    <xf numFmtId="164" fontId="11" fillId="3" borderId="0" xfId="0" applyNumberFormat="1" applyFont="1" applyFill="1" applyAlignment="1">
      <alignment horizontal="center" vertical="center"/>
    </xf>
    <xf numFmtId="2" fontId="12" fillId="3" borderId="0" xfId="0" applyNumberFormat="1" applyFont="1" applyFill="1" applyAlignment="1">
      <alignment horizontal="center" vertical="center"/>
    </xf>
    <xf numFmtId="1" fontId="12" fillId="3" borderId="0" xfId="0" applyNumberFormat="1" applyFont="1" applyFill="1" applyAlignment="1">
      <alignment horizontal="center" vertical="center"/>
    </xf>
    <xf numFmtId="165" fontId="2" fillId="3" borderId="0" xfId="0" applyNumberFormat="1" applyFont="1" applyFill="1" applyAlignment="1">
      <alignment horizontal="center"/>
    </xf>
    <xf numFmtId="166" fontId="2" fillId="3" borderId="0" xfId="0" applyNumberFormat="1" applyFont="1" applyFill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3" fontId="10" fillId="5" borderId="1" xfId="0" applyNumberFormat="1" applyFont="1" applyFill="1" applyBorder="1" applyAlignment="1">
      <alignment horizontal="left" vertical="center"/>
    </xf>
    <xf numFmtId="3" fontId="9" fillId="5" borderId="1" xfId="0" applyNumberFormat="1" applyFont="1" applyFill="1" applyBorder="1" applyAlignment="1">
      <alignment horizontal="center" vertical="center"/>
    </xf>
    <xf numFmtId="164" fontId="11" fillId="5" borderId="1" xfId="0" applyNumberFormat="1" applyFont="1" applyFill="1" applyBorder="1" applyAlignment="1">
      <alignment horizontal="center" vertical="center"/>
    </xf>
    <xf numFmtId="2" fontId="12" fillId="5" borderId="1" xfId="0" applyNumberFormat="1" applyFont="1" applyFill="1" applyBorder="1" applyAlignment="1">
      <alignment horizontal="center" vertical="center"/>
    </xf>
    <xf numFmtId="165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9" fillId="5" borderId="0" xfId="0" applyNumberFormat="1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164" fontId="9" fillId="5" borderId="1" xfId="0" applyNumberFormat="1" applyFont="1" applyFill="1" applyBorder="1" applyAlignment="1">
      <alignment horizontal="center" vertical="center" wrapText="1"/>
    </xf>
    <xf numFmtId="3" fontId="2" fillId="5" borderId="0" xfId="0" applyNumberFormat="1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left" vertical="center"/>
    </xf>
    <xf numFmtId="164" fontId="4" fillId="5" borderId="1" xfId="0" applyNumberFormat="1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64" fontId="4" fillId="5" borderId="2" xfId="0" applyNumberFormat="1" applyFont="1" applyFill="1" applyBorder="1" applyAlignment="1">
      <alignment horizontal="center" vertical="center"/>
    </xf>
    <xf numFmtId="3" fontId="1" fillId="5" borderId="3" xfId="0" applyNumberFormat="1" applyFont="1" applyFill="1" applyBorder="1" applyAlignment="1">
      <alignment horizontal="center" vertical="center"/>
    </xf>
    <xf numFmtId="0" fontId="0" fillId="3" borderId="1" xfId="0" applyFill="1" applyBorder="1"/>
    <xf numFmtId="3" fontId="5" fillId="2" borderId="1" xfId="0" applyNumberFormat="1" applyFont="1" applyFill="1" applyBorder="1" applyAlignment="1" applyProtection="1">
      <alignment horizontal="center" vertical="center"/>
    </xf>
    <xf numFmtId="3" fontId="5" fillId="2" borderId="1" xfId="0" applyNumberFormat="1" applyFont="1" applyFill="1" applyBorder="1" applyAlignment="1" applyProtection="1">
      <alignment horizontal="center" vertical="center" wrapText="1"/>
    </xf>
    <xf numFmtId="164" fontId="5" fillId="2" borderId="1" xfId="0" applyNumberFormat="1" applyFont="1" applyFill="1" applyBorder="1" applyAlignment="1" applyProtection="1">
      <alignment horizontal="center" vertical="center" wrapText="1"/>
    </xf>
    <xf numFmtId="165" fontId="5" fillId="2" borderId="1" xfId="0" applyNumberFormat="1" applyFont="1" applyFill="1" applyBorder="1" applyAlignment="1" applyProtection="1">
      <alignment horizontal="center" vertical="center" wrapText="1"/>
    </xf>
    <xf numFmtId="3" fontId="13" fillId="2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Font="1"/>
    <xf numFmtId="0" fontId="9" fillId="3" borderId="1" xfId="0" applyFont="1" applyFill="1" applyBorder="1" applyAlignment="1" applyProtection="1">
      <alignment horizontal="center" vertical="center"/>
    </xf>
    <xf numFmtId="165" fontId="2" fillId="3" borderId="1" xfId="0" applyNumberFormat="1" applyFont="1" applyFill="1" applyBorder="1" applyAlignment="1" applyProtection="1">
      <alignment horizontal="center" vertical="center"/>
      <protection locked="0"/>
    </xf>
    <xf numFmtId="164" fontId="9" fillId="3" borderId="1" xfId="0" applyNumberFormat="1" applyFont="1" applyFill="1" applyBorder="1" applyAlignment="1" applyProtection="1">
      <alignment horizontal="center" vertical="center"/>
      <protection locked="0"/>
    </xf>
    <xf numFmtId="3" fontId="9" fillId="3" borderId="1" xfId="0" applyNumberFormat="1" applyFont="1" applyFill="1" applyBorder="1" applyAlignment="1" applyProtection="1">
      <alignment horizontal="center" vertical="center"/>
      <protection locked="0"/>
    </xf>
    <xf numFmtId="0" fontId="0" fillId="3" borderId="1" xfId="0" applyFill="1" applyBorder="1" applyProtection="1">
      <protection locked="0"/>
    </xf>
    <xf numFmtId="0" fontId="0" fillId="3" borderId="0" xfId="0" applyFill="1"/>
    <xf numFmtId="0" fontId="0" fillId="0" borderId="0" xfId="0" applyAlignment="1">
      <alignment horizontal="center"/>
    </xf>
    <xf numFmtId="2" fontId="5" fillId="2" borderId="1" xfId="0" applyNumberFormat="1" applyFont="1" applyFill="1" applyBorder="1" applyAlignment="1" applyProtection="1">
      <alignment horizontal="center" vertical="center" wrapText="1"/>
    </xf>
    <xf numFmtId="0" fontId="14" fillId="0" borderId="0" xfId="0" applyFont="1"/>
    <xf numFmtId="165" fontId="13" fillId="2" borderId="1" xfId="0" applyNumberFormat="1" applyFont="1" applyFill="1" applyBorder="1" applyAlignment="1" applyProtection="1">
      <alignment horizontal="center" vertical="center" wrapText="1"/>
    </xf>
    <xf numFmtId="0" fontId="7" fillId="0" borderId="0" xfId="0" applyFont="1"/>
    <xf numFmtId="165" fontId="12" fillId="3" borderId="1" xfId="0" applyNumberFormat="1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AppData/Roaming/Skype/My%20Skype%20Received%20Files/TONG%20HOP%20CHAM%20CONG%20NAM%2020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áng 2"/>
      <sheetName val="Tháng 3"/>
      <sheetName val="Tháng 4"/>
      <sheetName val="Tháng 6"/>
      <sheetName val="Tháng 6 xưởng"/>
      <sheetName val="Tháng 7"/>
      <sheetName val="Tháng 8"/>
      <sheetName val="Tháng 9- ms nhan"/>
      <sheetName val="Tháng 10"/>
      <sheetName val="Sheet1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A1" t="str">
            <v>QuangNH</v>
          </cell>
          <cell r="B1" t="str">
            <v>Quang@hoplongtech.com.vn</v>
          </cell>
        </row>
        <row r="2">
          <cell r="A2" t="str">
            <v>BacVD</v>
          </cell>
          <cell r="B2" t="str">
            <v>Bac@hoplongtech.com.vn</v>
          </cell>
        </row>
        <row r="3">
          <cell r="A3" t="str">
            <v>DangDV</v>
          </cell>
          <cell r="B3" t="str">
            <v>Dang@hoplongtech.com.vn</v>
          </cell>
        </row>
        <row r="4">
          <cell r="A4" t="str">
            <v>HaiHT</v>
          </cell>
          <cell r="B4" t="str">
            <v>hai.ha@hoplongtech.com.vn</v>
          </cell>
        </row>
        <row r="5">
          <cell r="A5" t="str">
            <v>NinhTA</v>
          </cell>
          <cell r="B5" t="str">
            <v>ninhta@hoplongtech.com.vn</v>
          </cell>
        </row>
        <row r="6">
          <cell r="A6" t="str">
            <v>TaiND</v>
          </cell>
          <cell r="B6" t="str">
            <v>tai@hoplongtech.com.vn</v>
          </cell>
        </row>
        <row r="7">
          <cell r="A7" t="str">
            <v>LucDV</v>
          </cell>
          <cell r="B7" t="str">
            <v>luc@hoplongtech.com.vn</v>
          </cell>
        </row>
        <row r="8">
          <cell r="A8" t="str">
            <v>ChungVX</v>
          </cell>
          <cell r="B8" t="str">
            <v>chung.hoplongtech@gmail.com</v>
          </cell>
        </row>
        <row r="9">
          <cell r="A9" t="str">
            <v>TaiDH</v>
          </cell>
          <cell r="B9" t="str">
            <v>assassin.nowhere@gmail.com</v>
          </cell>
        </row>
        <row r="10">
          <cell r="A10" t="str">
            <v>HaiND</v>
          </cell>
          <cell r="B10" t="str">
            <v>nguyenduyhai1988@gmail.com</v>
          </cell>
        </row>
        <row r="11">
          <cell r="A11" t="str">
            <v>QuanPH</v>
          </cell>
          <cell r="B11" t="str">
            <v>Quan@hoplongtech.com.vn</v>
          </cell>
        </row>
        <row r="12">
          <cell r="A12" t="str">
            <v>DucTV</v>
          </cell>
          <cell r="B12" t="str">
            <v>Duc@hoplongtech.com.vn</v>
          </cell>
        </row>
        <row r="13">
          <cell r="A13" t="str">
            <v>HungHM</v>
          </cell>
          <cell r="B13" t="str">
            <v>thuat.hung@hoplongtech.com.vn</v>
          </cell>
        </row>
        <row r="14">
          <cell r="A14" t="str">
            <v>DiepVN</v>
          </cell>
          <cell r="B14" t="str">
            <v>diepvungoc.hn@gmail.com</v>
          </cell>
        </row>
        <row r="15">
          <cell r="A15" t="str">
            <v>TraiNV</v>
          </cell>
          <cell r="B15" t="str">
            <v>trainguyennd@gmail.com</v>
          </cell>
        </row>
        <row r="16">
          <cell r="A16" t="str">
            <v>DuDV</v>
          </cell>
          <cell r="B16" t="str">
            <v>Nicodatinh92@gmail.com</v>
          </cell>
        </row>
        <row r="17">
          <cell r="A17" t="str">
            <v>DinhNV</v>
          </cell>
          <cell r="B17" t="str">
            <v>nguyenvandinh31071996@gmail.com</v>
          </cell>
        </row>
        <row r="18">
          <cell r="A18" t="str">
            <v>ThangVX</v>
          </cell>
          <cell r="B18" t="str">
            <v>thang.vu@hoplongtech.com.vn</v>
          </cell>
        </row>
        <row r="19">
          <cell r="A19" t="str">
            <v>TamNV</v>
          </cell>
          <cell r="B19" t="str">
            <v>tambk.tdh3@gmail.com</v>
          </cell>
        </row>
        <row r="20">
          <cell r="A20" t="str">
            <v>QuynhDT</v>
          </cell>
          <cell r="B20" t="str">
            <v>quynh@hoplongtech.com.vn</v>
          </cell>
        </row>
        <row r="21">
          <cell r="A21" t="str">
            <v>PhucNV</v>
          </cell>
          <cell r="B21" t="str">
            <v>nguyenphuc.dcn@gmail.com</v>
          </cell>
        </row>
        <row r="22">
          <cell r="A22" t="str">
            <v>ThanhNV</v>
          </cell>
          <cell r="B22" t="str">
            <v>thanh.nguyen@hoplongtech.com.vn</v>
          </cell>
        </row>
        <row r="23">
          <cell r="A23" t="str">
            <v>NgocLH</v>
          </cell>
          <cell r="B23" t="str">
            <v>luonghoangngoc@gmail.com</v>
          </cell>
        </row>
        <row r="24">
          <cell r="A24" t="str">
            <v>HuongCD</v>
          </cell>
          <cell r="B24" t="str">
            <v>Huong@hoplongtech.com.vn</v>
          </cell>
        </row>
        <row r="25">
          <cell r="A25" t="str">
            <v>DaoLQ</v>
          </cell>
          <cell r="B25" t="str">
            <v>Dao@hoplongtech.com.vn</v>
          </cell>
        </row>
        <row r="26">
          <cell r="A26" t="str">
            <v>TuanTM</v>
          </cell>
          <cell r="B26" t="str">
            <v>Tuan@hoplongtech.com.vn</v>
          </cell>
        </row>
        <row r="27">
          <cell r="A27" t="str">
            <v>LichDTT</v>
          </cell>
          <cell r="B27" t="str">
            <v>Lich@hoplongtech.com.vn</v>
          </cell>
        </row>
        <row r="28">
          <cell r="A28" t="str">
            <v>TuoiNT</v>
          </cell>
          <cell r="B28" t="str">
            <v>Tuoi@hoplongtech.com.vn</v>
          </cell>
        </row>
        <row r="29">
          <cell r="A29" t="str">
            <v>HuongDTT</v>
          </cell>
          <cell r="B29" t="str">
            <v>huong.dang@hoplongtech.com.vn</v>
          </cell>
        </row>
        <row r="30">
          <cell r="A30" t="str">
            <v>TrungLV</v>
          </cell>
          <cell r="B30" t="str">
            <v>trung.le@hoplongtech.com.vn</v>
          </cell>
        </row>
        <row r="31">
          <cell r="A31" t="str">
            <v>ThanhDN</v>
          </cell>
          <cell r="B31" t="str">
            <v>thanh@hoplongtech.com.vn</v>
          </cell>
        </row>
        <row r="32">
          <cell r="A32" t="str">
            <v>TiepPT</v>
          </cell>
          <cell r="B32" t="str">
            <v>tiep@hoplongtech.com.vn</v>
          </cell>
        </row>
        <row r="33">
          <cell r="A33" t="str">
            <v>LoiNS</v>
          </cell>
          <cell r="B33" t="str">
            <v>loi@hoplongtech.com.vn</v>
          </cell>
        </row>
        <row r="34">
          <cell r="A34" t="str">
            <v>KhoaTM</v>
          </cell>
          <cell r="B34" t="str">
            <v>khoa@hoplongtech.com.vn</v>
          </cell>
        </row>
        <row r="35">
          <cell r="A35" t="str">
            <v>DanNT</v>
          </cell>
          <cell r="B35" t="str">
            <v>dan@hoplongtech.com.vn</v>
          </cell>
        </row>
        <row r="36">
          <cell r="A36" t="str">
            <v>NhungNTH</v>
          </cell>
          <cell r="B36" t="str">
            <v>nhung@hoplongtech.com.vn</v>
          </cell>
        </row>
        <row r="37">
          <cell r="A37" t="str">
            <v>HuongNT</v>
          </cell>
          <cell r="B37" t="str">
            <v>huong.nguyen@hoplongtech.com.vn</v>
          </cell>
        </row>
        <row r="38">
          <cell r="A38" t="str">
            <v>VungLV</v>
          </cell>
          <cell r="B38" t="str">
            <v>vung@hoplongtech.com.vn</v>
          </cell>
        </row>
        <row r="39">
          <cell r="A39" t="str">
            <v>HienNT</v>
          </cell>
          <cell r="B39" t="str">
            <v>hien@hoplongtech.com.vn</v>
          </cell>
        </row>
        <row r="40">
          <cell r="A40" t="str">
            <v>HaiNT</v>
          </cell>
          <cell r="B40" t="str">
            <v>haint@hoplongtech.com.vn</v>
          </cell>
        </row>
        <row r="41">
          <cell r="A41" t="str">
            <v>PhuongPT</v>
          </cell>
          <cell r="B41" t="str">
            <v>sales03@hoplongtech.com.vn</v>
          </cell>
        </row>
        <row r="42">
          <cell r="A42" t="str">
            <v>TanNM</v>
          </cell>
          <cell r="B42" t="str">
            <v>Tan@hoplongtech.com.vn</v>
          </cell>
        </row>
        <row r="43">
          <cell r="A43" t="str">
            <v>LucDK</v>
          </cell>
          <cell r="B43" t="str">
            <v>luc.dao@hoplongtech.com.vn</v>
          </cell>
        </row>
        <row r="44">
          <cell r="A44" t="str">
            <v>HienLT</v>
          </cell>
          <cell r="B44" t="str">
            <v>lamhien2901@gmail.com</v>
          </cell>
        </row>
        <row r="45">
          <cell r="A45" t="str">
            <v>LucLT</v>
          </cell>
          <cell r="B45" t="str">
            <v>luc.le@hoplongtech.com.vn</v>
          </cell>
        </row>
        <row r="46">
          <cell r="A46" t="str">
            <v>HanhVT</v>
          </cell>
          <cell r="B46" t="str">
            <v>hanh@hoplongtech.com.vn</v>
          </cell>
        </row>
        <row r="47">
          <cell r="A47" t="str">
            <v>ThaoVT</v>
          </cell>
          <cell r="B47" t="str">
            <v>Thao@hoplongtech.com.vn</v>
          </cell>
        </row>
        <row r="48">
          <cell r="A48" t="str">
            <v>XoaTT</v>
          </cell>
          <cell r="B48" t="str">
            <v>xoa@hoplongtech.com.vn</v>
          </cell>
        </row>
        <row r="49">
          <cell r="A49" t="str">
            <v>HuongPT</v>
          </cell>
          <cell r="B49" t="str">
            <v>huong.pham@hoplongtech.com.vn</v>
          </cell>
        </row>
        <row r="50">
          <cell r="A50" t="str">
            <v>TrangNT</v>
          </cell>
          <cell r="B50" t="str">
            <v>Trang.nguyen@hoplongtech.com.vn</v>
          </cell>
        </row>
        <row r="51">
          <cell r="A51" t="str">
            <v>NhanVT</v>
          </cell>
          <cell r="B51" t="str">
            <v>nhan@hoplongtech.com.vn</v>
          </cell>
        </row>
        <row r="52">
          <cell r="A52" t="str">
            <v>DungNT</v>
          </cell>
          <cell r="B52" t="str">
            <v>Dung@hoplongtech.com.vn</v>
          </cell>
        </row>
        <row r="53">
          <cell r="A53" t="str">
            <v>TrangLH</v>
          </cell>
          <cell r="B53" t="str">
            <v>trang@hoplongtech.com.vn</v>
          </cell>
        </row>
        <row r="54">
          <cell r="A54" t="str">
            <v>NgaDTT</v>
          </cell>
          <cell r="B54" t="str">
            <v>nga@hoplongtech.com.vn</v>
          </cell>
        </row>
        <row r="55">
          <cell r="A55" t="str">
            <v>PhuongVT</v>
          </cell>
          <cell r="B55" t="str">
            <v>phuong.vu@hoplongtech.com.vn</v>
          </cell>
        </row>
        <row r="56">
          <cell r="A56" t="str">
            <v>HoaNT</v>
          </cell>
          <cell r="B56" t="str">
            <v>hoa@hoplongtech.com.vn</v>
          </cell>
        </row>
        <row r="57">
          <cell r="A57" t="str">
            <v>NhamNT</v>
          </cell>
          <cell r="B57" t="str">
            <v>nham@hoplongtech.com.vn</v>
          </cell>
        </row>
        <row r="58">
          <cell r="A58" t="str">
            <v>TamDH</v>
          </cell>
          <cell r="B58" t="str">
            <v>Tam@hoplongtech.com.vn</v>
          </cell>
        </row>
        <row r="59">
          <cell r="A59" t="str">
            <v>HaTT</v>
          </cell>
          <cell r="B59" t="str">
            <v>ha@hoplongtech.com.vn</v>
          </cell>
        </row>
        <row r="60">
          <cell r="A60" t="str">
            <v>MungNT</v>
          </cell>
          <cell r="B60" t="str">
            <v>mung@hoplongtech.com.vn</v>
          </cell>
        </row>
        <row r="61">
          <cell r="A61" t="str">
            <v>DucNM</v>
          </cell>
          <cell r="B61" t="str">
            <v>minhduc9093@gmail.com</v>
          </cell>
        </row>
        <row r="62">
          <cell r="A62" t="str">
            <v>TienPN</v>
          </cell>
          <cell r="B62" t="str">
            <v>ngoctien2582@gmail.com</v>
          </cell>
        </row>
        <row r="63">
          <cell r="A63" t="str">
            <v>TrinhVV</v>
          </cell>
          <cell r="B63" t="str">
            <v>trjnhgja151@gmail.com</v>
          </cell>
        </row>
        <row r="64">
          <cell r="A64" t="str">
            <v>CuongDV</v>
          </cell>
          <cell r="B64" t="str">
            <v xml:space="preserve"> cuongdang.hoplong@gmail.com</v>
          </cell>
        </row>
        <row r="65">
          <cell r="A65" t="str">
            <v>DuongDV</v>
          </cell>
          <cell r="B65" t="str">
            <v>duongnd1604@gmail.com</v>
          </cell>
        </row>
        <row r="66">
          <cell r="A66" t="str">
            <v>HuyenNTN</v>
          </cell>
          <cell r="B66" t="str">
            <v>export@hoplongtech.com.vn</v>
          </cell>
        </row>
        <row r="67">
          <cell r="A67" t="str">
            <v>HauPV</v>
          </cell>
          <cell r="B67" t="str">
            <v>phamhau0794@gmail.com</v>
          </cell>
        </row>
        <row r="68">
          <cell r="A68" t="str">
            <v>VinhVV</v>
          </cell>
          <cell r="B68" t="str">
            <v>vuvinh6@gmail.com</v>
          </cell>
        </row>
        <row r="69">
          <cell r="A69" t="str">
            <v>GiangNT</v>
          </cell>
          <cell r="B69" t="str">
            <v>sales05@hoplongtech.com.vn</v>
          </cell>
        </row>
      </sheetData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7"/>
  <sheetViews>
    <sheetView topLeftCell="A52" workbookViewId="0">
      <selection activeCell="G56" sqref="G56"/>
    </sheetView>
  </sheetViews>
  <sheetFormatPr defaultRowHeight="15.75" x14ac:dyDescent="0.25"/>
  <cols>
    <col min="1" max="1" width="11.7109375" style="22" customWidth="1"/>
    <col min="2" max="2" width="38.140625" style="22" customWidth="1"/>
    <col min="3" max="3" width="33.28515625" style="51" customWidth="1"/>
    <col min="4" max="4" width="12.28515625" style="21" customWidth="1"/>
    <col min="5" max="5" width="13.140625" style="52" customWidth="1"/>
    <col min="6" max="6" width="12" style="52" customWidth="1"/>
    <col min="7" max="7" width="14.42578125" style="21" customWidth="1"/>
    <col min="8" max="8" width="9.85546875" style="53" customWidth="1"/>
    <col min="9" max="9" width="12.7109375" style="54" customWidth="1"/>
    <col min="10" max="10" width="9.140625" style="55"/>
    <col min="11" max="11" width="10.28515625" style="56" customWidth="1"/>
    <col min="12" max="12" width="11.7109375" style="47" customWidth="1"/>
    <col min="13" max="13" width="24.140625" style="48" customWidth="1"/>
    <col min="14" max="14" width="10" style="48" customWidth="1"/>
    <col min="15" max="16" width="9.140625" style="21"/>
    <col min="17" max="16384" width="9.140625" style="22"/>
  </cols>
  <sheetData>
    <row r="1" spans="1:16" s="11" customFormat="1" ht="31.5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9" t="s">
        <v>11</v>
      </c>
      <c r="M1" s="3" t="s">
        <v>12</v>
      </c>
      <c r="N1" s="3" t="s">
        <v>13</v>
      </c>
      <c r="O1" s="10"/>
      <c r="P1" s="10"/>
    </row>
    <row r="2" spans="1:16" ht="21" customHeight="1" x14ac:dyDescent="0.25">
      <c r="A2" s="12" t="s">
        <v>14</v>
      </c>
      <c r="B2" s="12" t="str">
        <f>VLOOKUP(A2,[1]Sheet1!$A$1:$B$69,2,0)</f>
        <v>Quang@hoplongtech.com.vn</v>
      </c>
      <c r="C2" s="13" t="s">
        <v>15</v>
      </c>
      <c r="D2" s="14">
        <v>26</v>
      </c>
      <c r="E2" s="15"/>
      <c r="F2" s="15"/>
      <c r="G2" s="14"/>
      <c r="H2" s="16"/>
      <c r="I2" s="17"/>
      <c r="J2" s="18"/>
      <c r="K2" s="14">
        <f>D2-J2</f>
        <v>26</v>
      </c>
      <c r="L2" s="19"/>
      <c r="M2" s="20"/>
      <c r="N2" s="14">
        <v>10</v>
      </c>
    </row>
    <row r="3" spans="1:16" ht="21" customHeight="1" x14ac:dyDescent="0.25">
      <c r="A3" s="12" t="s">
        <v>16</v>
      </c>
      <c r="B3" s="12" t="str">
        <f>VLOOKUP(A3,[1]Sheet1!$A$1:$B$69,2,0)</f>
        <v>luonghoangngoc@gmail.com</v>
      </c>
      <c r="C3" s="13" t="s">
        <v>17</v>
      </c>
      <c r="D3" s="14">
        <v>26</v>
      </c>
      <c r="E3" s="15"/>
      <c r="F3" s="15"/>
      <c r="G3" s="14"/>
      <c r="H3" s="16"/>
      <c r="I3" s="17"/>
      <c r="J3" s="18"/>
      <c r="K3" s="14">
        <f t="shared" ref="K3:K65" si="0">D3-J3</f>
        <v>26</v>
      </c>
      <c r="L3" s="19"/>
      <c r="M3" s="20"/>
      <c r="N3" s="14">
        <v>10</v>
      </c>
    </row>
    <row r="4" spans="1:16" ht="21" customHeight="1" x14ac:dyDescent="0.25">
      <c r="A4" s="12" t="s">
        <v>18</v>
      </c>
      <c r="B4" s="12" t="str">
        <f>VLOOKUP(A4,[1]Sheet1!$A$1:$B$69,2,0)</f>
        <v>Huong@hoplongtech.com.vn</v>
      </c>
      <c r="C4" s="13" t="s">
        <v>19</v>
      </c>
      <c r="D4" s="14">
        <v>26</v>
      </c>
      <c r="E4" s="23">
        <f>61/60</f>
        <v>1.0166666666666666</v>
      </c>
      <c r="F4" s="23">
        <f>148/60</f>
        <v>2.4666666666666668</v>
      </c>
      <c r="G4" s="14"/>
      <c r="H4" s="16"/>
      <c r="I4" s="17"/>
      <c r="J4" s="18">
        <v>1.5</v>
      </c>
      <c r="K4" s="14">
        <f t="shared" si="0"/>
        <v>24.5</v>
      </c>
      <c r="L4" s="19"/>
      <c r="M4" s="20"/>
      <c r="N4" s="14">
        <v>10</v>
      </c>
    </row>
    <row r="5" spans="1:16" ht="21" customHeight="1" x14ac:dyDescent="0.25">
      <c r="A5" s="12" t="s">
        <v>20</v>
      </c>
      <c r="B5" s="12" t="str">
        <f>VLOOKUP(A5,[1]Sheet1!$A$1:$B$69,2,0)</f>
        <v>Dao@hoplongtech.com.vn</v>
      </c>
      <c r="C5" s="13" t="s">
        <v>21</v>
      </c>
      <c r="D5" s="14">
        <v>26</v>
      </c>
      <c r="E5" s="23"/>
      <c r="F5" s="23"/>
      <c r="G5" s="14"/>
      <c r="H5" s="16"/>
      <c r="I5" s="17"/>
      <c r="J5" s="18"/>
      <c r="K5" s="14">
        <f t="shared" si="0"/>
        <v>26</v>
      </c>
      <c r="L5" s="19"/>
      <c r="M5" s="20"/>
      <c r="N5" s="14">
        <v>10</v>
      </c>
    </row>
    <row r="6" spans="1:16" ht="21" customHeight="1" x14ac:dyDescent="0.25">
      <c r="A6" s="12" t="s">
        <v>22</v>
      </c>
      <c r="B6" s="12" t="str">
        <f>VLOOKUP(A6,[1]Sheet1!$A$1:$B$69,2,0)</f>
        <v>Bac@hoplongtech.com.vn</v>
      </c>
      <c r="C6" s="13" t="s">
        <v>23</v>
      </c>
      <c r="D6" s="14">
        <v>26</v>
      </c>
      <c r="E6" s="15"/>
      <c r="F6" s="15"/>
      <c r="G6" s="14"/>
      <c r="H6" s="16"/>
      <c r="I6" s="17"/>
      <c r="J6" s="18">
        <v>1</v>
      </c>
      <c r="K6" s="14">
        <f t="shared" si="0"/>
        <v>25</v>
      </c>
      <c r="L6" s="19">
        <v>6000000</v>
      </c>
      <c r="M6" s="20"/>
      <c r="N6" s="14">
        <v>10</v>
      </c>
    </row>
    <row r="7" spans="1:16" ht="21" customHeight="1" x14ac:dyDescent="0.25">
      <c r="A7" s="12" t="s">
        <v>24</v>
      </c>
      <c r="B7" s="12" t="str">
        <f>VLOOKUP(A7,[1]Sheet1!$A$1:$B$69,2,0)</f>
        <v>Tuan@hoplongtech.com.vn</v>
      </c>
      <c r="C7" s="13" t="s">
        <v>25</v>
      </c>
      <c r="D7" s="14">
        <v>26</v>
      </c>
      <c r="E7" s="24">
        <f>101/60</f>
        <v>1.6833333333333333</v>
      </c>
      <c r="F7" s="24"/>
      <c r="G7" s="14"/>
      <c r="H7" s="16"/>
      <c r="I7" s="17">
        <v>1</v>
      </c>
      <c r="J7" s="18">
        <v>0</v>
      </c>
      <c r="K7" s="14">
        <f t="shared" si="0"/>
        <v>26</v>
      </c>
      <c r="L7" s="19"/>
      <c r="M7" s="20"/>
      <c r="N7" s="14">
        <v>10</v>
      </c>
    </row>
    <row r="8" spans="1:16" ht="21" customHeight="1" x14ac:dyDescent="0.25">
      <c r="A8" s="12" t="s">
        <v>26</v>
      </c>
      <c r="B8" s="12" t="str">
        <f>VLOOKUP(A8,[1]Sheet1!$A$1:$B$69,2,0)</f>
        <v>Tan@hoplongtech.com.vn</v>
      </c>
      <c r="C8" s="13" t="s">
        <v>27</v>
      </c>
      <c r="D8" s="14">
        <v>26</v>
      </c>
      <c r="E8" s="15">
        <f>117/60</f>
        <v>1.95</v>
      </c>
      <c r="F8" s="15"/>
      <c r="G8" s="14"/>
      <c r="H8" s="16"/>
      <c r="I8" s="17"/>
      <c r="J8" s="18">
        <v>0</v>
      </c>
      <c r="K8" s="14">
        <f t="shared" si="0"/>
        <v>26</v>
      </c>
      <c r="L8" s="19">
        <v>2000000</v>
      </c>
      <c r="M8" s="20" t="s">
        <v>28</v>
      </c>
      <c r="N8" s="14">
        <v>10</v>
      </c>
    </row>
    <row r="9" spans="1:16" ht="21" customHeight="1" x14ac:dyDescent="0.25">
      <c r="A9" s="12" t="s">
        <v>29</v>
      </c>
      <c r="B9" s="12" t="str">
        <f>VLOOKUP(A9,[1]Sheet1!$A$1:$B$69,2,0)</f>
        <v>hanh@hoplongtech.com.vn</v>
      </c>
      <c r="C9" s="13" t="s">
        <v>30</v>
      </c>
      <c r="D9" s="14">
        <v>26</v>
      </c>
      <c r="E9" s="24">
        <f>92/60</f>
        <v>1.5333333333333334</v>
      </c>
      <c r="F9" s="15"/>
      <c r="G9" s="14"/>
      <c r="H9" s="16">
        <v>7</v>
      </c>
      <c r="I9" s="17">
        <v>1</v>
      </c>
      <c r="J9" s="18">
        <v>1</v>
      </c>
      <c r="K9" s="14">
        <f t="shared" si="0"/>
        <v>25</v>
      </c>
      <c r="L9" s="19"/>
      <c r="M9" s="20"/>
      <c r="N9" s="14">
        <v>10</v>
      </c>
    </row>
    <row r="10" spans="1:16" ht="33.75" customHeight="1" x14ac:dyDescent="0.25">
      <c r="A10" s="12" t="s">
        <v>31</v>
      </c>
      <c r="B10" s="12" t="str">
        <f>VLOOKUP(A10,[1]Sheet1!$A$1:$B$69,2,0)</f>
        <v>nhan@hoplongtech.com.vn</v>
      </c>
      <c r="C10" s="13" t="s">
        <v>32</v>
      </c>
      <c r="D10" s="14">
        <v>26</v>
      </c>
      <c r="E10" s="15">
        <f>402/60</f>
        <v>6.7</v>
      </c>
      <c r="F10" s="15">
        <f>203/60</f>
        <v>3.3833333333333333</v>
      </c>
      <c r="G10" s="25"/>
      <c r="H10" s="16"/>
      <c r="I10" s="26"/>
      <c r="J10" s="18">
        <v>1</v>
      </c>
      <c r="K10" s="14">
        <f t="shared" si="0"/>
        <v>25</v>
      </c>
      <c r="L10" s="27"/>
      <c r="M10" s="28" t="s">
        <v>33</v>
      </c>
      <c r="N10" s="14">
        <v>10</v>
      </c>
    </row>
    <row r="11" spans="1:16" ht="21" customHeight="1" x14ac:dyDescent="0.25">
      <c r="A11" s="12" t="s">
        <v>34</v>
      </c>
      <c r="B11" s="12" t="str">
        <f>VLOOKUP(A11,[1]Sheet1!$A$1:$B$69,2,0)</f>
        <v>Tuoi@hoplongtech.com.vn</v>
      </c>
      <c r="C11" s="29" t="s">
        <v>35</v>
      </c>
      <c r="D11" s="14">
        <v>26</v>
      </c>
      <c r="E11" s="24">
        <f>101/60</f>
        <v>1.6833333333333333</v>
      </c>
      <c r="F11" s="24">
        <v>0.15</v>
      </c>
      <c r="G11" s="14"/>
      <c r="H11" s="16"/>
      <c r="I11" s="17"/>
      <c r="J11" s="18">
        <v>0.5</v>
      </c>
      <c r="K11" s="14">
        <f>D11-J11</f>
        <v>25.5</v>
      </c>
      <c r="L11" s="19"/>
      <c r="M11" s="30"/>
      <c r="N11" s="14">
        <v>10</v>
      </c>
    </row>
    <row r="12" spans="1:16" ht="21" customHeight="1" x14ac:dyDescent="0.25">
      <c r="A12" s="12" t="s">
        <v>36</v>
      </c>
      <c r="B12" s="12" t="str">
        <f>VLOOKUP(A12,[1]Sheet1!$A$1:$B$69,2,0)</f>
        <v>nham@hoplongtech.com.vn</v>
      </c>
      <c r="C12" s="13" t="s">
        <v>37</v>
      </c>
      <c r="D12" s="14">
        <v>26</v>
      </c>
      <c r="E12" s="24">
        <f>18/60</f>
        <v>0.3</v>
      </c>
      <c r="F12" s="15"/>
      <c r="G12" s="14"/>
      <c r="H12" s="16">
        <v>9.25</v>
      </c>
      <c r="I12" s="17"/>
      <c r="J12" s="18">
        <v>1</v>
      </c>
      <c r="K12" s="14">
        <f t="shared" si="0"/>
        <v>25</v>
      </c>
      <c r="L12" s="19"/>
      <c r="M12" s="20"/>
      <c r="N12" s="14">
        <v>10</v>
      </c>
    </row>
    <row r="13" spans="1:16" ht="21" customHeight="1" x14ac:dyDescent="0.25">
      <c r="A13" s="12" t="s">
        <v>38</v>
      </c>
      <c r="B13" s="12" t="str">
        <f>VLOOKUP(A13,[1]Sheet1!$A$1:$B$69,2,0)</f>
        <v>Lich@hoplongtech.com.vn</v>
      </c>
      <c r="C13" s="29" t="s">
        <v>39</v>
      </c>
      <c r="D13" s="14">
        <v>26</v>
      </c>
      <c r="E13" s="24">
        <f>15/60</f>
        <v>0.25</v>
      </c>
      <c r="F13" s="24"/>
      <c r="G13" s="14"/>
      <c r="H13" s="16"/>
      <c r="I13" s="17">
        <v>5</v>
      </c>
      <c r="J13" s="18">
        <v>0.5</v>
      </c>
      <c r="K13" s="14">
        <f t="shared" si="0"/>
        <v>25.5</v>
      </c>
      <c r="L13" s="19">
        <v>2000000</v>
      </c>
      <c r="M13" s="20"/>
      <c r="N13" s="14">
        <v>10</v>
      </c>
    </row>
    <row r="14" spans="1:16" ht="21" customHeight="1" x14ac:dyDescent="0.25">
      <c r="A14" s="12" t="s">
        <v>40</v>
      </c>
      <c r="B14" s="12" t="str">
        <f>VLOOKUP(A14,[1]Sheet1!$A$1:$B$69,2,0)</f>
        <v>trang@hoplongtech.com.vn</v>
      </c>
      <c r="C14" s="13" t="s">
        <v>41</v>
      </c>
      <c r="D14" s="14">
        <v>26</v>
      </c>
      <c r="E14" s="24">
        <f>35/60</f>
        <v>0.58333333333333337</v>
      </c>
      <c r="F14" s="24"/>
      <c r="G14" s="31"/>
      <c r="H14" s="16"/>
      <c r="I14" s="17">
        <v>1</v>
      </c>
      <c r="J14" s="18">
        <v>0</v>
      </c>
      <c r="K14" s="14">
        <f t="shared" si="0"/>
        <v>26</v>
      </c>
      <c r="L14" s="19"/>
      <c r="M14" s="20"/>
      <c r="N14" s="14">
        <v>10</v>
      </c>
    </row>
    <row r="15" spans="1:16" ht="21" customHeight="1" x14ac:dyDescent="0.25">
      <c r="A15" s="12" t="s">
        <v>42</v>
      </c>
      <c r="B15" s="12" t="str">
        <f>VLOOKUP(A15,[1]Sheet1!$A$1:$B$69,2,0)</f>
        <v>Dung@hoplongtech.com.vn</v>
      </c>
      <c r="C15" s="13" t="s">
        <v>43</v>
      </c>
      <c r="D15" s="14">
        <v>26</v>
      </c>
      <c r="E15" s="24">
        <f>10/60</f>
        <v>0.16666666666666666</v>
      </c>
      <c r="F15" s="24"/>
      <c r="G15" s="32"/>
      <c r="H15" s="16"/>
      <c r="I15" s="17">
        <v>1</v>
      </c>
      <c r="J15" s="18">
        <v>3</v>
      </c>
      <c r="K15" s="14">
        <f t="shared" si="0"/>
        <v>23</v>
      </c>
      <c r="L15" s="19">
        <v>1000000</v>
      </c>
      <c r="M15" s="20"/>
      <c r="N15" s="14">
        <v>10</v>
      </c>
    </row>
    <row r="16" spans="1:16" ht="21" customHeight="1" x14ac:dyDescent="0.25">
      <c r="A16" s="12" t="s">
        <v>44</v>
      </c>
      <c r="B16" s="12" t="str">
        <f>VLOOKUP(A16,[1]Sheet1!$A$1:$B$69,2,0)</f>
        <v>Thao@hoplongtech.com.vn</v>
      </c>
      <c r="C16" s="13" t="s">
        <v>45</v>
      </c>
      <c r="D16" s="14">
        <v>26</v>
      </c>
      <c r="E16" s="24">
        <f>138/60</f>
        <v>2.2999999999999998</v>
      </c>
      <c r="F16" s="15">
        <f>70/60</f>
        <v>1.1666666666666667</v>
      </c>
      <c r="G16" s="14"/>
      <c r="H16" s="16"/>
      <c r="I16" s="17"/>
      <c r="J16" s="18">
        <v>1</v>
      </c>
      <c r="K16" s="14">
        <f t="shared" si="0"/>
        <v>25</v>
      </c>
      <c r="L16" s="19"/>
      <c r="M16" s="20"/>
      <c r="N16" s="14">
        <v>10</v>
      </c>
    </row>
    <row r="17" spans="1:16" ht="21" customHeight="1" x14ac:dyDescent="0.25">
      <c r="A17" s="12" t="s">
        <v>46</v>
      </c>
      <c r="B17" s="12" t="str">
        <f>VLOOKUP(A17,[1]Sheet1!$A$1:$B$69,2,0)</f>
        <v>Tam@hoplongtech.com.vn</v>
      </c>
      <c r="C17" s="13" t="s">
        <v>47</v>
      </c>
      <c r="D17" s="14">
        <v>26</v>
      </c>
      <c r="E17" s="24">
        <f>6/60</f>
        <v>0.1</v>
      </c>
      <c r="F17" s="15">
        <f>47/60</f>
        <v>0.78333333333333333</v>
      </c>
      <c r="G17" s="14"/>
      <c r="H17" s="16">
        <v>9</v>
      </c>
      <c r="I17" s="17"/>
      <c r="J17" s="18">
        <v>2</v>
      </c>
      <c r="K17" s="14">
        <f t="shared" si="0"/>
        <v>24</v>
      </c>
      <c r="L17" s="19"/>
      <c r="M17" s="20"/>
      <c r="N17" s="14">
        <v>10</v>
      </c>
    </row>
    <row r="18" spans="1:16" ht="21" customHeight="1" x14ac:dyDescent="0.25">
      <c r="A18" s="12" t="s">
        <v>48</v>
      </c>
      <c r="B18" s="12" t="str">
        <f>VLOOKUP(A18,[1]Sheet1!$A$1:$B$69,2,0)</f>
        <v>huong.dang@hoplongtech.com.vn</v>
      </c>
      <c r="C18" s="13" t="s">
        <v>49</v>
      </c>
      <c r="D18" s="14">
        <v>26</v>
      </c>
      <c r="E18" s="15">
        <f>18/60</f>
        <v>0.3</v>
      </c>
      <c r="F18" s="24"/>
      <c r="G18" s="14"/>
      <c r="H18" s="16"/>
      <c r="I18" s="17">
        <v>1</v>
      </c>
      <c r="J18" s="18">
        <v>0</v>
      </c>
      <c r="K18" s="14">
        <f t="shared" si="0"/>
        <v>26</v>
      </c>
      <c r="L18" s="19">
        <v>2000000</v>
      </c>
      <c r="M18" s="20"/>
      <c r="N18" s="14">
        <v>10</v>
      </c>
    </row>
    <row r="19" spans="1:16" ht="21" customHeight="1" x14ac:dyDescent="0.25">
      <c r="A19" s="12" t="s">
        <v>50</v>
      </c>
      <c r="B19" s="12" t="str">
        <f>VLOOKUP(A19,[1]Sheet1!$A$1:$B$69,2,0)</f>
        <v>Quan@hoplongtech.com.vn</v>
      </c>
      <c r="C19" s="29" t="s">
        <v>51</v>
      </c>
      <c r="D19" s="14">
        <v>26</v>
      </c>
      <c r="E19" s="15">
        <f>120/60</f>
        <v>2</v>
      </c>
      <c r="F19" s="15"/>
      <c r="G19" s="14"/>
      <c r="H19" s="16">
        <v>37</v>
      </c>
      <c r="I19" s="17">
        <v>2</v>
      </c>
      <c r="J19" s="18">
        <v>3</v>
      </c>
      <c r="K19" s="14">
        <f t="shared" si="0"/>
        <v>23</v>
      </c>
      <c r="L19" s="19"/>
      <c r="M19" s="28"/>
      <c r="N19" s="14">
        <v>10</v>
      </c>
      <c r="O19" s="10"/>
      <c r="P19" s="10"/>
    </row>
    <row r="20" spans="1:16" s="11" customFormat="1" ht="21" customHeight="1" x14ac:dyDescent="0.25">
      <c r="A20" s="33" t="s">
        <v>52</v>
      </c>
      <c r="B20" s="12" t="str">
        <f>VLOOKUP(A20,[1]Sheet1!$A$1:$B$69,2,0)</f>
        <v>Duc@hoplongtech.com.vn</v>
      </c>
      <c r="C20" s="29" t="s">
        <v>53</v>
      </c>
      <c r="D20" s="14">
        <v>26</v>
      </c>
      <c r="E20" s="34">
        <f>82/60</f>
        <v>1.3666666666666667</v>
      </c>
      <c r="F20" s="35"/>
      <c r="G20" s="36"/>
      <c r="H20" s="16">
        <v>15</v>
      </c>
      <c r="I20" s="17">
        <v>3</v>
      </c>
      <c r="J20" s="18">
        <v>1</v>
      </c>
      <c r="K20" s="14">
        <f t="shared" si="0"/>
        <v>25</v>
      </c>
      <c r="L20" s="19"/>
      <c r="M20" s="37"/>
      <c r="N20" s="14">
        <v>10</v>
      </c>
      <c r="O20" s="10"/>
      <c r="P20" s="10"/>
    </row>
    <row r="21" spans="1:16" s="11" customFormat="1" ht="21" customHeight="1" x14ac:dyDescent="0.25">
      <c r="A21" s="33" t="s">
        <v>54</v>
      </c>
      <c r="B21" s="12" t="str">
        <f>VLOOKUP(A21,[1]Sheet1!$A$1:$B$69,2,0)</f>
        <v>tai@hoplongtech.com.vn</v>
      </c>
      <c r="C21" s="29" t="s">
        <v>55</v>
      </c>
      <c r="D21" s="14">
        <v>26</v>
      </c>
      <c r="E21" s="35">
        <v>1</v>
      </c>
      <c r="F21" s="35"/>
      <c r="G21" s="19"/>
      <c r="H21" s="16">
        <v>15.5</v>
      </c>
      <c r="I21" s="17">
        <v>1</v>
      </c>
      <c r="J21" s="18">
        <v>1.5</v>
      </c>
      <c r="K21" s="14">
        <f t="shared" si="0"/>
        <v>24.5</v>
      </c>
      <c r="L21" s="19"/>
      <c r="M21" s="37"/>
      <c r="N21" s="14">
        <v>10</v>
      </c>
      <c r="O21" s="10"/>
      <c r="P21" s="10"/>
    </row>
    <row r="22" spans="1:16" s="11" customFormat="1" ht="21" customHeight="1" x14ac:dyDescent="0.25">
      <c r="A22" s="33" t="s">
        <v>56</v>
      </c>
      <c r="B22" s="12" t="str">
        <f>VLOOKUP(A22,[1]Sheet1!$A$1:$B$69,2,0)</f>
        <v>trung.le@hoplongtech.com.vn</v>
      </c>
      <c r="C22" s="29" t="s">
        <v>57</v>
      </c>
      <c r="D22" s="14">
        <v>26</v>
      </c>
      <c r="E22" s="34">
        <f>246/60</f>
        <v>4.0999999999999996</v>
      </c>
      <c r="F22" s="35"/>
      <c r="G22" s="19"/>
      <c r="H22" s="16"/>
      <c r="I22" s="26"/>
      <c r="J22" s="18">
        <v>0.5</v>
      </c>
      <c r="K22" s="14">
        <f t="shared" si="0"/>
        <v>25.5</v>
      </c>
      <c r="L22" s="19"/>
      <c r="M22" s="38"/>
      <c r="N22" s="14">
        <v>10</v>
      </c>
      <c r="O22" s="10"/>
      <c r="P22" s="10"/>
    </row>
    <row r="23" spans="1:16" s="11" customFormat="1" ht="21" customHeight="1" x14ac:dyDescent="0.25">
      <c r="A23" s="33" t="s">
        <v>58</v>
      </c>
      <c r="B23" s="12" t="str">
        <f>VLOOKUP(A23,[1]Sheet1!$A$1:$B$69,2,0)</f>
        <v>minhduc9093@gmail.com</v>
      </c>
      <c r="C23" s="29" t="s">
        <v>59</v>
      </c>
      <c r="D23" s="14">
        <v>26</v>
      </c>
      <c r="E23" s="35">
        <f>16/60</f>
        <v>0.26666666666666666</v>
      </c>
      <c r="F23" s="34"/>
      <c r="G23" s="19"/>
      <c r="H23" s="16">
        <v>8.25</v>
      </c>
      <c r="I23" s="17">
        <v>4</v>
      </c>
      <c r="J23" s="18">
        <v>0</v>
      </c>
      <c r="K23" s="14">
        <f t="shared" si="0"/>
        <v>26</v>
      </c>
      <c r="L23" s="19"/>
      <c r="M23" s="38" t="s">
        <v>60</v>
      </c>
      <c r="N23" s="14">
        <v>10</v>
      </c>
      <c r="O23" s="10"/>
      <c r="P23" s="10"/>
    </row>
    <row r="24" spans="1:16" s="11" customFormat="1" ht="21" customHeight="1" x14ac:dyDescent="0.25">
      <c r="A24" s="33" t="s">
        <v>61</v>
      </c>
      <c r="B24" s="12" t="str">
        <f>VLOOKUP(A24,[1]Sheet1!$A$1:$B$69,2,0)</f>
        <v>thuat.hung@hoplongtech.com.vn</v>
      </c>
      <c r="C24" s="29" t="s">
        <v>62</v>
      </c>
      <c r="D24" s="14">
        <v>26</v>
      </c>
      <c r="E24" s="35"/>
      <c r="F24" s="35"/>
      <c r="G24" s="36"/>
      <c r="H24" s="16">
        <v>13</v>
      </c>
      <c r="I24" s="17">
        <v>4</v>
      </c>
      <c r="J24" s="18">
        <v>1</v>
      </c>
      <c r="K24" s="14">
        <f t="shared" si="0"/>
        <v>25</v>
      </c>
      <c r="L24" s="19"/>
      <c r="M24" s="37"/>
      <c r="N24" s="14">
        <v>10</v>
      </c>
      <c r="O24" s="10"/>
      <c r="P24" s="10"/>
    </row>
    <row r="25" spans="1:16" ht="21" customHeight="1" x14ac:dyDescent="0.25">
      <c r="A25" s="12" t="s">
        <v>63</v>
      </c>
      <c r="B25" s="12" t="str">
        <f>VLOOKUP(A25,[1]Sheet1!$A$1:$B$69,2,0)</f>
        <v>nga@hoplongtech.com.vn</v>
      </c>
      <c r="C25" s="13" t="s">
        <v>64</v>
      </c>
      <c r="D25" s="14">
        <v>26</v>
      </c>
      <c r="E25" s="24"/>
      <c r="F25" s="24"/>
      <c r="G25" s="31"/>
      <c r="H25" s="16">
        <v>6.25</v>
      </c>
      <c r="I25" s="17"/>
      <c r="J25" s="18">
        <v>1</v>
      </c>
      <c r="K25" s="14">
        <f>D25-J25</f>
        <v>25</v>
      </c>
      <c r="L25" s="19"/>
      <c r="M25" s="37"/>
      <c r="N25" s="14">
        <v>10</v>
      </c>
    </row>
    <row r="26" spans="1:16" ht="21" customHeight="1" x14ac:dyDescent="0.25">
      <c r="A26" s="12" t="s">
        <v>65</v>
      </c>
      <c r="B26" s="12" t="str">
        <f>VLOOKUP(A26,[1]Sheet1!$A$1:$B$69,2,0)</f>
        <v>xoa@hoplongtech.com.vn</v>
      </c>
      <c r="C26" s="13" t="s">
        <v>66</v>
      </c>
      <c r="D26" s="14">
        <v>26</v>
      </c>
      <c r="E26" s="24">
        <f>145/60</f>
        <v>2.4166666666666665</v>
      </c>
      <c r="F26" s="24"/>
      <c r="G26" s="32"/>
      <c r="H26" s="16">
        <v>7</v>
      </c>
      <c r="I26" s="17">
        <v>1</v>
      </c>
      <c r="J26" s="18">
        <v>2.5</v>
      </c>
      <c r="K26" s="14">
        <f t="shared" si="0"/>
        <v>23.5</v>
      </c>
      <c r="L26" s="19"/>
      <c r="M26" s="20"/>
      <c r="N26" s="14">
        <v>10</v>
      </c>
    </row>
    <row r="27" spans="1:16" s="11" customFormat="1" ht="21" customHeight="1" x14ac:dyDescent="0.25">
      <c r="A27" s="33" t="s">
        <v>67</v>
      </c>
      <c r="B27" s="12" t="str">
        <f>VLOOKUP(A27,[1]Sheet1!$A$1:$B$69,2,0)</f>
        <v>nhung@hoplongtech.com.vn</v>
      </c>
      <c r="C27" s="29" t="s">
        <v>68</v>
      </c>
      <c r="D27" s="14">
        <v>26</v>
      </c>
      <c r="E27" s="34">
        <f>24/60</f>
        <v>0.4</v>
      </c>
      <c r="F27" s="35"/>
      <c r="G27" s="19"/>
      <c r="H27" s="16"/>
      <c r="I27" s="17"/>
      <c r="J27" s="18">
        <v>2</v>
      </c>
      <c r="K27" s="14">
        <f t="shared" si="0"/>
        <v>24</v>
      </c>
      <c r="L27" s="19"/>
      <c r="M27" s="38"/>
      <c r="N27" s="14">
        <v>10</v>
      </c>
      <c r="O27" s="10"/>
      <c r="P27" s="10"/>
    </row>
    <row r="28" spans="1:16" ht="21" customHeight="1" x14ac:dyDescent="0.25">
      <c r="A28" s="12" t="s">
        <v>69</v>
      </c>
      <c r="B28" s="12" t="str">
        <f>VLOOKUP(A28,[1]Sheet1!$A$1:$B$69,2,0)</f>
        <v>huong.pham@hoplongtech.com.vn</v>
      </c>
      <c r="C28" s="13" t="s">
        <v>70</v>
      </c>
      <c r="D28" s="14">
        <v>26</v>
      </c>
      <c r="E28" s="24">
        <f>8/60</f>
        <v>0.13333333333333333</v>
      </c>
      <c r="F28" s="24"/>
      <c r="G28" s="32"/>
      <c r="H28" s="16">
        <v>7</v>
      </c>
      <c r="I28" s="17">
        <v>1</v>
      </c>
      <c r="J28" s="18">
        <v>2</v>
      </c>
      <c r="K28" s="14">
        <f t="shared" si="0"/>
        <v>24</v>
      </c>
      <c r="L28" s="19"/>
      <c r="M28" s="20"/>
      <c r="N28" s="14">
        <v>10</v>
      </c>
    </row>
    <row r="29" spans="1:16" ht="21" customHeight="1" x14ac:dyDescent="0.25">
      <c r="A29" s="12" t="s">
        <v>71</v>
      </c>
      <c r="B29" s="12" t="str">
        <f>VLOOKUP(A29,[1]Sheet1!$A$1:$B$69,2,0)</f>
        <v>nguyenduyhai1988@gmail.com</v>
      </c>
      <c r="C29" s="29" t="s">
        <v>72</v>
      </c>
      <c r="D29" s="14">
        <v>26</v>
      </c>
      <c r="E29" s="15"/>
      <c r="F29" s="15"/>
      <c r="G29" s="14"/>
      <c r="H29" s="16">
        <v>29</v>
      </c>
      <c r="I29" s="17"/>
      <c r="J29" s="18">
        <v>1.5</v>
      </c>
      <c r="K29" s="14">
        <f t="shared" si="0"/>
        <v>24.5</v>
      </c>
      <c r="L29" s="19"/>
      <c r="M29" s="28"/>
      <c r="N29" s="14">
        <v>10</v>
      </c>
      <c r="O29" s="10"/>
      <c r="P29" s="10"/>
    </row>
    <row r="30" spans="1:16" ht="21" customHeight="1" x14ac:dyDescent="0.25">
      <c r="A30" s="12" t="s">
        <v>73</v>
      </c>
      <c r="B30" s="12" t="str">
        <f>VLOOKUP(A30,[1]Sheet1!$A$1:$B$69,2,0)</f>
        <v>assassin.nowhere@gmail.com</v>
      </c>
      <c r="C30" s="29" t="s">
        <v>74</v>
      </c>
      <c r="D30" s="14">
        <v>26</v>
      </c>
      <c r="E30" s="15">
        <f>20/60</f>
        <v>0.33333333333333331</v>
      </c>
      <c r="F30" s="15"/>
      <c r="G30" s="39"/>
      <c r="H30" s="16">
        <v>13</v>
      </c>
      <c r="I30" s="17"/>
      <c r="J30" s="18">
        <v>3.5</v>
      </c>
      <c r="K30" s="14">
        <f t="shared" si="0"/>
        <v>22.5</v>
      </c>
      <c r="L30" s="19"/>
      <c r="M30" s="28"/>
      <c r="N30" s="14">
        <v>10</v>
      </c>
    </row>
    <row r="31" spans="1:16" ht="21" customHeight="1" x14ac:dyDescent="0.25">
      <c r="A31" s="12" t="s">
        <v>75</v>
      </c>
      <c r="B31" s="12" t="str">
        <f>VLOOKUP(A31,[1]Sheet1!$A$1:$B$69,2,0)</f>
        <v>hai.ha@hoplongtech.com.vn</v>
      </c>
      <c r="C31" s="29" t="s">
        <v>76</v>
      </c>
      <c r="D31" s="14">
        <v>26</v>
      </c>
      <c r="E31" s="15">
        <f>13/60</f>
        <v>0.21666666666666667</v>
      </c>
      <c r="F31" s="15"/>
      <c r="G31" s="14"/>
      <c r="H31" s="16">
        <v>54.5</v>
      </c>
      <c r="I31" s="17">
        <v>2</v>
      </c>
      <c r="J31" s="18">
        <v>2</v>
      </c>
      <c r="K31" s="14">
        <f t="shared" si="0"/>
        <v>24</v>
      </c>
      <c r="L31" s="19"/>
      <c r="M31" s="37"/>
      <c r="N31" s="14">
        <v>10</v>
      </c>
      <c r="P31" s="40"/>
    </row>
    <row r="32" spans="1:16" ht="21" customHeight="1" x14ac:dyDescent="0.25">
      <c r="A32" s="12" t="s">
        <v>77</v>
      </c>
      <c r="B32" s="12" t="str">
        <f>VLOOKUP(A32,[1]Sheet1!$A$1:$B$69,2,0)</f>
        <v>phuong.vu@hoplongtech.com.vn</v>
      </c>
      <c r="C32" s="13" t="s">
        <v>78</v>
      </c>
      <c r="D32" s="14">
        <v>26</v>
      </c>
      <c r="E32" s="24">
        <f>88/60</f>
        <v>1.4666666666666666</v>
      </c>
      <c r="F32" s="24"/>
      <c r="G32" s="14"/>
      <c r="H32" s="16"/>
      <c r="I32" s="17"/>
      <c r="J32" s="18">
        <v>1.5</v>
      </c>
      <c r="K32" s="14">
        <f t="shared" si="0"/>
        <v>24.5</v>
      </c>
      <c r="L32" s="19">
        <v>1000000</v>
      </c>
      <c r="M32" s="14"/>
      <c r="N32" s="14">
        <v>10</v>
      </c>
      <c r="O32" s="10"/>
      <c r="P32" s="10"/>
    </row>
    <row r="33" spans="1:16" ht="21" customHeight="1" x14ac:dyDescent="0.25">
      <c r="A33" s="12" t="s">
        <v>79</v>
      </c>
      <c r="B33" s="12" t="str">
        <f>VLOOKUP(A33,[1]Sheet1!$A$1:$B$69,2,0)</f>
        <v>dan@hoplongtech.com.vn</v>
      </c>
      <c r="C33" s="13" t="s">
        <v>80</v>
      </c>
      <c r="D33" s="14">
        <v>26</v>
      </c>
      <c r="E33" s="24">
        <f>22/60</f>
        <v>0.36666666666666664</v>
      </c>
      <c r="F33" s="24"/>
      <c r="G33" s="14"/>
      <c r="H33" s="16"/>
      <c r="I33" s="17">
        <v>2</v>
      </c>
      <c r="J33" s="18">
        <v>0.5</v>
      </c>
      <c r="K33" s="14">
        <f t="shared" si="0"/>
        <v>25.5</v>
      </c>
      <c r="L33" s="19"/>
      <c r="M33" s="20"/>
      <c r="N33" s="14">
        <v>10</v>
      </c>
      <c r="O33" s="10"/>
      <c r="P33" s="10"/>
    </row>
    <row r="34" spans="1:16" ht="21" customHeight="1" x14ac:dyDescent="0.25">
      <c r="A34" s="12" t="s">
        <v>81</v>
      </c>
      <c r="B34" s="12" t="str">
        <f>VLOOKUP(A34,[1]Sheet1!$A$1:$B$69,2,0)</f>
        <v>huong.nguyen@hoplongtech.com.vn</v>
      </c>
      <c r="C34" s="13" t="s">
        <v>82</v>
      </c>
      <c r="D34" s="14">
        <v>26</v>
      </c>
      <c r="E34" s="15"/>
      <c r="F34" s="15"/>
      <c r="G34" s="14"/>
      <c r="H34" s="16"/>
      <c r="I34" s="17"/>
      <c r="J34" s="18">
        <v>0.5</v>
      </c>
      <c r="K34" s="14">
        <f t="shared" si="0"/>
        <v>25.5</v>
      </c>
      <c r="L34" s="19"/>
      <c r="M34" s="20"/>
      <c r="N34" s="14">
        <v>10</v>
      </c>
    </row>
    <row r="35" spans="1:16" s="11" customFormat="1" ht="21" customHeight="1" x14ac:dyDescent="0.25">
      <c r="A35" s="33" t="s">
        <v>83</v>
      </c>
      <c r="B35" s="12" t="str">
        <f>VLOOKUP(A35,[1]Sheet1!$A$1:$B$69,2,0)</f>
        <v>vung@hoplongtech.com.vn</v>
      </c>
      <c r="C35" s="29" t="s">
        <v>84</v>
      </c>
      <c r="D35" s="14">
        <v>26</v>
      </c>
      <c r="E35" s="34">
        <f>34/60</f>
        <v>0.56666666666666665</v>
      </c>
      <c r="F35" s="35">
        <f>6/60</f>
        <v>0.1</v>
      </c>
      <c r="G35" s="19"/>
      <c r="H35" s="16"/>
      <c r="I35" s="26"/>
      <c r="J35" s="18">
        <v>0</v>
      </c>
      <c r="K35" s="14">
        <f t="shared" si="0"/>
        <v>26</v>
      </c>
      <c r="L35" s="41"/>
      <c r="M35" s="38"/>
      <c r="N35" s="14">
        <v>10</v>
      </c>
      <c r="O35" s="21"/>
      <c r="P35" s="21"/>
    </row>
    <row r="36" spans="1:16" ht="21" customHeight="1" x14ac:dyDescent="0.25">
      <c r="A36" s="12" t="s">
        <v>85</v>
      </c>
      <c r="B36" s="12" t="str">
        <f>VLOOKUP(A36,[1]Sheet1!$A$1:$B$69,2,0)</f>
        <v>chung.hoplongtech@gmail.com</v>
      </c>
      <c r="C36" s="29" t="s">
        <v>86</v>
      </c>
      <c r="D36" s="14">
        <v>26</v>
      </c>
      <c r="E36" s="15"/>
      <c r="F36" s="15"/>
      <c r="G36" s="39"/>
      <c r="H36" s="16">
        <v>14</v>
      </c>
      <c r="I36" s="17"/>
      <c r="J36" s="18">
        <v>0</v>
      </c>
      <c r="K36" s="14">
        <f t="shared" si="0"/>
        <v>26</v>
      </c>
      <c r="L36" s="19"/>
      <c r="M36" s="37"/>
      <c r="N36" s="14">
        <v>10</v>
      </c>
    </row>
    <row r="37" spans="1:16" s="11" customFormat="1" ht="21" customHeight="1" x14ac:dyDescent="0.25">
      <c r="A37" s="33" t="s">
        <v>87</v>
      </c>
      <c r="B37" s="12" t="str">
        <f>VLOOKUP(A37,[1]Sheet1!$A$1:$B$69,2,0)</f>
        <v>hien@hoplongtech.com.vn</v>
      </c>
      <c r="C37" s="42" t="s">
        <v>88</v>
      </c>
      <c r="D37" s="14">
        <v>26</v>
      </c>
      <c r="E37" s="43"/>
      <c r="F37" s="43">
        <f>105/60</f>
        <v>1.75</v>
      </c>
      <c r="G37" s="19"/>
      <c r="H37" s="16"/>
      <c r="I37" s="17">
        <v>1</v>
      </c>
      <c r="J37" s="18">
        <v>1.5</v>
      </c>
      <c r="K37" s="14">
        <f t="shared" si="0"/>
        <v>24.5</v>
      </c>
      <c r="L37" s="19"/>
      <c r="M37" s="33"/>
      <c r="N37" s="14">
        <v>10</v>
      </c>
      <c r="O37" s="21"/>
      <c r="P37" s="21"/>
    </row>
    <row r="38" spans="1:16" ht="21" customHeight="1" x14ac:dyDescent="0.25">
      <c r="A38" s="12" t="s">
        <v>89</v>
      </c>
      <c r="B38" s="12" t="str">
        <f>VLOOKUP(A38,[1]Sheet1!$A$1:$B$69,2,0)</f>
        <v>thanh.nguyen@hoplongtech.com.vn</v>
      </c>
      <c r="C38" s="13" t="s">
        <v>90</v>
      </c>
      <c r="D38" s="14">
        <v>26</v>
      </c>
      <c r="E38" s="24"/>
      <c r="F38" s="15"/>
      <c r="G38" s="14"/>
      <c r="H38" s="16"/>
      <c r="I38" s="17">
        <v>2</v>
      </c>
      <c r="J38" s="18">
        <v>2</v>
      </c>
      <c r="K38" s="14">
        <f t="shared" si="0"/>
        <v>24</v>
      </c>
      <c r="L38" s="19"/>
      <c r="M38" s="28"/>
      <c r="N38" s="14">
        <v>10</v>
      </c>
      <c r="O38" s="44"/>
    </row>
    <row r="39" spans="1:16" s="11" customFormat="1" ht="21" customHeight="1" x14ac:dyDescent="0.25">
      <c r="A39" s="33" t="s">
        <v>91</v>
      </c>
      <c r="B39" s="12" t="str">
        <f>VLOOKUP(A39,[1]Sheet1!$A$1:$B$69,2,0)</f>
        <v>tiep@hoplongtech.com.vn</v>
      </c>
      <c r="C39" s="29" t="s">
        <v>92</v>
      </c>
      <c r="D39" s="19">
        <v>26</v>
      </c>
      <c r="E39" s="35"/>
      <c r="F39" s="35"/>
      <c r="G39" s="19"/>
      <c r="H39" s="16"/>
      <c r="I39" s="17"/>
      <c r="J39" s="18">
        <v>0</v>
      </c>
      <c r="K39" s="19">
        <f t="shared" si="0"/>
        <v>26</v>
      </c>
      <c r="L39" s="19">
        <v>10650000</v>
      </c>
      <c r="M39" s="38"/>
      <c r="N39" s="14">
        <v>10</v>
      </c>
      <c r="O39" s="10"/>
      <c r="P39" s="10"/>
    </row>
    <row r="40" spans="1:16" s="11" customFormat="1" ht="21" customHeight="1" x14ac:dyDescent="0.25">
      <c r="A40" s="33" t="s">
        <v>93</v>
      </c>
      <c r="B40" s="12" t="str">
        <f>VLOOKUP(A40,[1]Sheet1!$A$1:$B$69,2,0)</f>
        <v>loi@hoplongtech.com.vn</v>
      </c>
      <c r="C40" s="29" t="s">
        <v>94</v>
      </c>
      <c r="D40" s="14">
        <v>26</v>
      </c>
      <c r="E40" s="35">
        <f>18/60</f>
        <v>0.3</v>
      </c>
      <c r="F40" s="35"/>
      <c r="G40" s="19"/>
      <c r="H40" s="16"/>
      <c r="I40" s="17">
        <v>2</v>
      </c>
      <c r="J40" s="18">
        <v>0</v>
      </c>
      <c r="K40" s="14">
        <f t="shared" si="0"/>
        <v>26</v>
      </c>
      <c r="L40" s="19">
        <v>2000000</v>
      </c>
      <c r="M40" s="38"/>
      <c r="N40" s="14">
        <v>10</v>
      </c>
      <c r="O40" s="44"/>
      <c r="P40" s="21"/>
    </row>
    <row r="41" spans="1:16" ht="21" customHeight="1" x14ac:dyDescent="0.25">
      <c r="A41" s="12" t="s">
        <v>95</v>
      </c>
      <c r="B41" s="12" t="str">
        <f>VLOOKUP(A41,[1]Sheet1!$A$1:$B$69,2,0)</f>
        <v>khoa@hoplongtech.com.vn</v>
      </c>
      <c r="C41" s="29" t="s">
        <v>96</v>
      </c>
      <c r="D41" s="14">
        <v>26</v>
      </c>
      <c r="E41" s="15"/>
      <c r="F41" s="15"/>
      <c r="G41" s="14"/>
      <c r="H41" s="16"/>
      <c r="I41" s="17"/>
      <c r="J41" s="18">
        <v>0</v>
      </c>
      <c r="K41" s="14">
        <f t="shared" si="0"/>
        <v>26</v>
      </c>
      <c r="L41" s="19"/>
      <c r="M41" s="20"/>
      <c r="N41" s="14">
        <v>10</v>
      </c>
      <c r="O41" s="44"/>
    </row>
    <row r="42" spans="1:16" ht="21" customHeight="1" x14ac:dyDescent="0.25">
      <c r="A42" s="12" t="s">
        <v>97</v>
      </c>
      <c r="B42" s="12" t="str">
        <f>VLOOKUP(A42,[1]Sheet1!$A$1:$B$69,2,0)</f>
        <v>thanh@hoplongtech.com.vn</v>
      </c>
      <c r="C42" s="29" t="s">
        <v>98</v>
      </c>
      <c r="D42" s="14">
        <v>26</v>
      </c>
      <c r="E42" s="15"/>
      <c r="F42" s="15"/>
      <c r="G42" s="14"/>
      <c r="H42" s="16"/>
      <c r="I42" s="17">
        <v>1</v>
      </c>
      <c r="J42" s="18">
        <v>0</v>
      </c>
      <c r="K42" s="14">
        <f t="shared" si="0"/>
        <v>26</v>
      </c>
      <c r="L42" s="19"/>
      <c r="M42" s="20"/>
      <c r="N42" s="14">
        <v>10</v>
      </c>
      <c r="O42" s="44"/>
    </row>
    <row r="43" spans="1:16" ht="21" customHeight="1" x14ac:dyDescent="0.25">
      <c r="A43" s="12" t="s">
        <v>99</v>
      </c>
      <c r="B43" s="12" t="str">
        <f>VLOOKUP(A43,[1]Sheet1!$A$1:$B$69,2,0)</f>
        <v>luc@hoplongtech.com.vn</v>
      </c>
      <c r="C43" s="29" t="s">
        <v>100</v>
      </c>
      <c r="D43" s="14">
        <v>26</v>
      </c>
      <c r="E43" s="15">
        <f>13/60</f>
        <v>0.21666666666666667</v>
      </c>
      <c r="F43" s="15"/>
      <c r="G43" s="39"/>
      <c r="H43" s="16">
        <v>17</v>
      </c>
      <c r="I43" s="17"/>
      <c r="J43" s="18">
        <v>0</v>
      </c>
      <c r="K43" s="14">
        <f t="shared" si="0"/>
        <v>26</v>
      </c>
      <c r="L43" s="19"/>
      <c r="M43" s="37"/>
      <c r="N43" s="14">
        <v>10</v>
      </c>
    </row>
    <row r="44" spans="1:16" ht="21" customHeight="1" x14ac:dyDescent="0.25">
      <c r="A44" s="12" t="s">
        <v>101</v>
      </c>
      <c r="B44" s="12" t="str">
        <f>VLOOKUP(A44,[1]Sheet1!$A$1:$B$69,2,0)</f>
        <v>ninhta@hoplongtech.com.vn</v>
      </c>
      <c r="C44" s="45" t="s">
        <v>102</v>
      </c>
      <c r="D44" s="14">
        <v>26</v>
      </c>
      <c r="E44" s="15"/>
      <c r="F44" s="15"/>
      <c r="G44" s="14"/>
      <c r="H44" s="16"/>
      <c r="I44" s="17"/>
      <c r="J44" s="18">
        <v>0.5</v>
      </c>
      <c r="K44" s="14">
        <f t="shared" si="0"/>
        <v>25.5</v>
      </c>
      <c r="L44" s="19"/>
      <c r="M44" s="28"/>
      <c r="N44" s="14">
        <v>10</v>
      </c>
    </row>
    <row r="45" spans="1:16" ht="21" customHeight="1" x14ac:dyDescent="0.25">
      <c r="A45" s="12" t="s">
        <v>103</v>
      </c>
      <c r="B45" s="12" t="str">
        <f>VLOOKUP(A45,[1]Sheet1!$A$1:$B$69,2,0)</f>
        <v>ngoctien2582@gmail.com</v>
      </c>
      <c r="C45" s="46" t="s">
        <v>104</v>
      </c>
      <c r="D45" s="14">
        <v>26</v>
      </c>
      <c r="E45" s="15">
        <f>432/60</f>
        <v>7.2</v>
      </c>
      <c r="F45" s="15">
        <f>21/60</f>
        <v>0.35</v>
      </c>
      <c r="G45" s="14"/>
      <c r="H45" s="16">
        <v>7</v>
      </c>
      <c r="I45" s="17"/>
      <c r="J45" s="18">
        <v>0.5</v>
      </c>
      <c r="K45" s="14">
        <f t="shared" si="0"/>
        <v>25.5</v>
      </c>
      <c r="L45" s="19">
        <v>500000</v>
      </c>
      <c r="M45" s="20"/>
      <c r="N45" s="14">
        <v>10</v>
      </c>
    </row>
    <row r="46" spans="1:16" ht="21" customHeight="1" x14ac:dyDescent="0.25">
      <c r="A46" s="12" t="s">
        <v>105</v>
      </c>
      <c r="B46" s="12" t="str">
        <f>VLOOKUP(A46,[1]Sheet1!$A$1:$B$69,2,0)</f>
        <v>haint@hoplongtech.com.vn</v>
      </c>
      <c r="C46" s="46" t="s">
        <v>106</v>
      </c>
      <c r="D46" s="14">
        <v>26</v>
      </c>
      <c r="E46" s="15">
        <f>84/60</f>
        <v>1.4</v>
      </c>
      <c r="F46" s="15"/>
      <c r="G46" s="14"/>
      <c r="H46" s="16"/>
      <c r="I46" s="17">
        <v>2</v>
      </c>
      <c r="J46" s="18">
        <v>0</v>
      </c>
      <c r="K46" s="14">
        <f t="shared" si="0"/>
        <v>26</v>
      </c>
      <c r="L46" s="19"/>
      <c r="M46" s="20"/>
      <c r="N46" s="14">
        <v>10</v>
      </c>
      <c r="O46" s="47"/>
      <c r="P46" s="47"/>
    </row>
    <row r="47" spans="1:16" ht="21" customHeight="1" x14ac:dyDescent="0.25">
      <c r="A47" s="12" t="s">
        <v>107</v>
      </c>
      <c r="B47" s="12" t="str">
        <f>VLOOKUP(A47,[1]Sheet1!$A$1:$B$69,2,0)</f>
        <v>Dang@hoplongtech.com.vn</v>
      </c>
      <c r="C47" s="42" t="s">
        <v>108</v>
      </c>
      <c r="D47" s="14">
        <v>26</v>
      </c>
      <c r="E47" s="15">
        <f>116/60</f>
        <v>1.9333333333333333</v>
      </c>
      <c r="F47" s="15">
        <f>32/60</f>
        <v>0.53333333333333333</v>
      </c>
      <c r="G47" s="14"/>
      <c r="H47" s="16"/>
      <c r="I47" s="17">
        <v>1</v>
      </c>
      <c r="J47" s="18">
        <v>0</v>
      </c>
      <c r="K47" s="14">
        <f t="shared" si="0"/>
        <v>26</v>
      </c>
      <c r="L47" s="19"/>
      <c r="M47" s="28"/>
      <c r="N47" s="14">
        <v>10</v>
      </c>
    </row>
    <row r="48" spans="1:16" ht="21" customHeight="1" x14ac:dyDescent="0.25">
      <c r="A48" s="12" t="s">
        <v>109</v>
      </c>
      <c r="B48" s="12" t="str">
        <f>VLOOKUP(A48,[1]Sheet1!$A$1:$B$69,2,0)</f>
        <v>trjnhgja151@gmail.com</v>
      </c>
      <c r="C48" s="45" t="s">
        <v>110</v>
      </c>
      <c r="D48" s="14">
        <v>26</v>
      </c>
      <c r="E48" s="15">
        <f>25/60</f>
        <v>0.41666666666666669</v>
      </c>
      <c r="F48" s="15"/>
      <c r="G48" s="14"/>
      <c r="H48" s="16">
        <v>7</v>
      </c>
      <c r="I48" s="17">
        <v>7</v>
      </c>
      <c r="J48" s="18">
        <v>2</v>
      </c>
      <c r="K48" s="14">
        <f t="shared" si="0"/>
        <v>24</v>
      </c>
      <c r="L48" s="19">
        <v>1000000</v>
      </c>
      <c r="M48" s="20" t="s">
        <v>60</v>
      </c>
      <c r="N48" s="14">
        <v>10</v>
      </c>
    </row>
    <row r="49" spans="1:24" ht="21" customHeight="1" x14ac:dyDescent="0.25">
      <c r="A49" s="12" t="s">
        <v>111</v>
      </c>
      <c r="B49" s="12" t="str">
        <f>VLOOKUP(A49,[1]Sheet1!$A$1:$B$69,2,0)</f>
        <v xml:space="preserve"> cuongdang.hoplong@gmail.com</v>
      </c>
      <c r="C49" s="45" t="s">
        <v>112</v>
      </c>
      <c r="D49" s="14">
        <v>26</v>
      </c>
      <c r="E49" s="15">
        <v>0</v>
      </c>
      <c r="F49" s="15"/>
      <c r="G49" s="14"/>
      <c r="H49" s="16"/>
      <c r="I49" s="17">
        <v>14</v>
      </c>
      <c r="J49" s="18">
        <v>0</v>
      </c>
      <c r="K49" s="14">
        <f t="shared" si="0"/>
        <v>26</v>
      </c>
      <c r="L49" s="19">
        <v>2000000</v>
      </c>
      <c r="M49" s="20"/>
      <c r="N49" s="14">
        <v>10</v>
      </c>
    </row>
    <row r="50" spans="1:24" s="48" customFormat="1" ht="36.75" customHeight="1" x14ac:dyDescent="0.25">
      <c r="A50" s="20" t="s">
        <v>113</v>
      </c>
      <c r="B50" s="12" t="str">
        <f>VLOOKUP(A50,[1]Sheet1!$A$1:$B$69,2,0)</f>
        <v>duongnd1604@gmail.com</v>
      </c>
      <c r="C50" s="46" t="s">
        <v>114</v>
      </c>
      <c r="D50" s="14">
        <v>26</v>
      </c>
      <c r="E50" s="15">
        <f>46/60</f>
        <v>0.76666666666666672</v>
      </c>
      <c r="F50" s="15"/>
      <c r="G50" s="14"/>
      <c r="H50" s="16"/>
      <c r="I50" s="17">
        <v>8</v>
      </c>
      <c r="J50" s="18">
        <v>1</v>
      </c>
      <c r="K50" s="14">
        <f t="shared" si="0"/>
        <v>25</v>
      </c>
      <c r="L50" s="19">
        <v>2000000</v>
      </c>
      <c r="M50" s="28" t="s">
        <v>115</v>
      </c>
      <c r="N50" s="14">
        <v>10</v>
      </c>
      <c r="O50" s="21"/>
      <c r="P50" s="21"/>
      <c r="Q50" s="22"/>
      <c r="R50" s="22"/>
      <c r="S50" s="22"/>
      <c r="T50" s="22"/>
      <c r="U50" s="22"/>
      <c r="V50" s="22"/>
      <c r="W50" s="22"/>
      <c r="X50" s="22"/>
    </row>
    <row r="51" spans="1:24" s="48" customFormat="1" ht="21" customHeight="1" x14ac:dyDescent="0.25">
      <c r="A51" s="20" t="s">
        <v>99</v>
      </c>
      <c r="B51" s="12" t="str">
        <f>VLOOKUP(A51,[1]Sheet1!$A$1:$B$69,2,0)</f>
        <v>luc@hoplongtech.com.vn</v>
      </c>
      <c r="C51" s="13" t="s">
        <v>116</v>
      </c>
      <c r="D51" s="14">
        <v>26</v>
      </c>
      <c r="E51" s="15">
        <f>33/60</f>
        <v>0.55000000000000004</v>
      </c>
      <c r="F51" s="15"/>
      <c r="G51" s="14"/>
      <c r="H51" s="16"/>
      <c r="I51" s="17"/>
      <c r="J51" s="18">
        <v>4</v>
      </c>
      <c r="K51" s="14">
        <f t="shared" si="0"/>
        <v>22</v>
      </c>
      <c r="L51" s="19"/>
      <c r="M51" s="20"/>
      <c r="N51" s="14">
        <v>10</v>
      </c>
      <c r="O51" s="21"/>
      <c r="P51" s="21"/>
      <c r="Q51" s="22"/>
      <c r="R51" s="22"/>
      <c r="S51" s="22"/>
      <c r="T51" s="22"/>
      <c r="U51" s="22"/>
      <c r="V51" s="22"/>
      <c r="W51" s="22"/>
      <c r="X51" s="22"/>
    </row>
    <row r="52" spans="1:24" s="49" customFormat="1" ht="21" customHeight="1" x14ac:dyDescent="0.25">
      <c r="A52" s="38" t="s">
        <v>117</v>
      </c>
      <c r="B52" s="12" t="s">
        <v>118</v>
      </c>
      <c r="C52" s="29" t="s">
        <v>119</v>
      </c>
      <c r="D52" s="19">
        <v>26</v>
      </c>
      <c r="E52" s="35">
        <f>88/60</f>
        <v>1.4666666666666666</v>
      </c>
      <c r="F52" s="35"/>
      <c r="G52" s="19"/>
      <c r="H52" s="16">
        <v>8.8000000000000007</v>
      </c>
      <c r="I52" s="17">
        <v>1</v>
      </c>
      <c r="J52" s="18">
        <v>0</v>
      </c>
      <c r="K52" s="19">
        <f t="shared" si="0"/>
        <v>26</v>
      </c>
      <c r="L52" s="19"/>
      <c r="M52" s="38"/>
      <c r="N52" s="14">
        <v>10</v>
      </c>
      <c r="O52" s="10"/>
      <c r="P52" s="10"/>
      <c r="Q52" s="11"/>
      <c r="R52" s="11"/>
      <c r="S52" s="11"/>
      <c r="T52" s="11"/>
      <c r="U52" s="11"/>
      <c r="V52" s="11"/>
      <c r="W52" s="11"/>
      <c r="X52" s="11"/>
    </row>
    <row r="53" spans="1:24" s="48" customFormat="1" ht="21" customHeight="1" x14ac:dyDescent="0.25">
      <c r="A53" s="20" t="s">
        <v>120</v>
      </c>
      <c r="B53" s="12" t="str">
        <f>VLOOKUP(A53,[1]Sheet1!$A$1:$B$69,2,0)</f>
        <v>hoa@hoplongtech.com.vn</v>
      </c>
      <c r="C53" s="13" t="s">
        <v>121</v>
      </c>
      <c r="D53" s="14">
        <v>26</v>
      </c>
      <c r="E53" s="15"/>
      <c r="F53" s="15"/>
      <c r="G53" s="14"/>
      <c r="H53" s="16">
        <v>6.5</v>
      </c>
      <c r="I53" s="17"/>
      <c r="J53" s="18">
        <v>0</v>
      </c>
      <c r="K53" s="14">
        <f t="shared" si="0"/>
        <v>26</v>
      </c>
      <c r="L53" s="19"/>
      <c r="M53" s="20"/>
      <c r="N53" s="14">
        <v>10</v>
      </c>
      <c r="O53" s="21"/>
      <c r="P53" s="21"/>
      <c r="Q53" s="22"/>
      <c r="R53" s="22"/>
      <c r="S53" s="22"/>
      <c r="T53" s="22"/>
      <c r="U53" s="22"/>
      <c r="V53" s="22"/>
      <c r="W53" s="22"/>
      <c r="X53" s="22"/>
    </row>
    <row r="54" spans="1:24" s="48" customFormat="1" ht="21" customHeight="1" x14ac:dyDescent="0.25">
      <c r="A54" s="20" t="s">
        <v>122</v>
      </c>
      <c r="B54" s="12" t="str">
        <f>VLOOKUP(A54,[1]Sheet1!$A$1:$B$69,2,0)</f>
        <v>trainguyennd@gmail.com</v>
      </c>
      <c r="C54" s="13" t="s">
        <v>123</v>
      </c>
      <c r="D54" s="14">
        <v>26</v>
      </c>
      <c r="E54" s="15">
        <f>54/60</f>
        <v>0.9</v>
      </c>
      <c r="F54" s="15"/>
      <c r="G54" s="39"/>
      <c r="H54" s="16">
        <v>37</v>
      </c>
      <c r="I54" s="17">
        <v>5</v>
      </c>
      <c r="J54" s="18">
        <v>3</v>
      </c>
      <c r="K54" s="14">
        <f t="shared" si="0"/>
        <v>23</v>
      </c>
      <c r="L54" s="19"/>
      <c r="M54" s="37"/>
      <c r="N54" s="14">
        <v>10</v>
      </c>
      <c r="O54" s="21"/>
      <c r="P54" s="21"/>
      <c r="Q54" s="22"/>
      <c r="R54" s="22"/>
      <c r="S54" s="22"/>
      <c r="T54" s="22"/>
      <c r="U54" s="22"/>
      <c r="V54" s="22"/>
      <c r="W54" s="22"/>
      <c r="X54" s="22"/>
    </row>
    <row r="55" spans="1:24" s="48" customFormat="1" ht="21" customHeight="1" x14ac:dyDescent="0.25">
      <c r="A55" s="20" t="s">
        <v>124</v>
      </c>
      <c r="B55" s="12" t="str">
        <f>VLOOKUP(A55,[1]Sheet1!$A$1:$B$69,2,0)</f>
        <v>Nicodatinh92@gmail.com</v>
      </c>
      <c r="C55" s="50" t="s">
        <v>125</v>
      </c>
      <c r="D55" s="14">
        <v>26</v>
      </c>
      <c r="E55" s="15"/>
      <c r="F55" s="15"/>
      <c r="G55" s="14"/>
      <c r="H55" s="16">
        <v>14.5</v>
      </c>
      <c r="I55" s="17">
        <v>1</v>
      </c>
      <c r="J55" s="18">
        <v>2.5</v>
      </c>
      <c r="K55" s="14">
        <f t="shared" si="0"/>
        <v>23.5</v>
      </c>
      <c r="L55" s="19"/>
      <c r="M55" s="28"/>
      <c r="N55" s="14">
        <v>10</v>
      </c>
      <c r="O55" s="21"/>
      <c r="P55" s="21"/>
      <c r="Q55" s="22"/>
      <c r="R55" s="22"/>
      <c r="S55" s="22"/>
      <c r="T55" s="22"/>
      <c r="U55" s="22"/>
      <c r="V55" s="22"/>
      <c r="W55" s="22"/>
      <c r="X55" s="22"/>
    </row>
    <row r="56" spans="1:24" s="48" customFormat="1" ht="21" customHeight="1" x14ac:dyDescent="0.25">
      <c r="A56" s="20" t="s">
        <v>126</v>
      </c>
      <c r="B56" s="12" t="str">
        <f>VLOOKUP(A56,[1]Sheet1!$A$1:$B$69,2,0)</f>
        <v>nguyenvandinh31071996@gmail.com</v>
      </c>
      <c r="C56" s="13" t="s">
        <v>127</v>
      </c>
      <c r="D56" s="14">
        <v>26</v>
      </c>
      <c r="E56" s="15"/>
      <c r="F56" s="15"/>
      <c r="G56" s="14"/>
      <c r="H56" s="16"/>
      <c r="I56" s="17">
        <v>3</v>
      </c>
      <c r="J56" s="18">
        <v>2</v>
      </c>
      <c r="K56" s="14">
        <f t="shared" si="0"/>
        <v>24</v>
      </c>
      <c r="L56" s="19">
        <v>1500000</v>
      </c>
      <c r="M56" s="28"/>
      <c r="N56" s="14">
        <v>10</v>
      </c>
      <c r="O56" s="21"/>
      <c r="P56" s="21"/>
      <c r="Q56" s="22"/>
      <c r="R56" s="22"/>
      <c r="S56" s="22"/>
      <c r="T56" s="22"/>
      <c r="U56" s="22"/>
      <c r="V56" s="22"/>
      <c r="W56" s="22"/>
      <c r="X56" s="22"/>
    </row>
    <row r="57" spans="1:24" s="48" customFormat="1" ht="21" customHeight="1" x14ac:dyDescent="0.25">
      <c r="A57" s="20" t="s">
        <v>128</v>
      </c>
      <c r="B57" s="12" t="str">
        <f>VLOOKUP(A57,[1]Sheet1!$A$1:$B$69,2,0)</f>
        <v>mung@hoplongtech.com.vn</v>
      </c>
      <c r="C57" s="13" t="s">
        <v>129</v>
      </c>
      <c r="D57" s="14">
        <v>26</v>
      </c>
      <c r="E57" s="15">
        <v>8.3333333333333329E-2</v>
      </c>
      <c r="F57" s="15"/>
      <c r="G57" s="14"/>
      <c r="H57" s="16">
        <v>8.25</v>
      </c>
      <c r="I57" s="17">
        <v>1</v>
      </c>
      <c r="J57" s="18">
        <v>3.5</v>
      </c>
      <c r="K57" s="14">
        <f t="shared" si="0"/>
        <v>22.5</v>
      </c>
      <c r="L57" s="19"/>
      <c r="M57" s="20"/>
      <c r="N57" s="14">
        <v>10</v>
      </c>
      <c r="O57" s="21"/>
      <c r="P57" s="21"/>
      <c r="Q57" s="22"/>
      <c r="R57" s="22"/>
      <c r="S57" s="22"/>
      <c r="T57" s="22"/>
      <c r="U57" s="22"/>
      <c r="V57" s="22"/>
      <c r="W57" s="22"/>
      <c r="X57" s="22"/>
    </row>
    <row r="58" spans="1:24" s="48" customFormat="1" ht="21" customHeight="1" x14ac:dyDescent="0.25">
      <c r="A58" s="20" t="s">
        <v>130</v>
      </c>
      <c r="B58" s="12" t="str">
        <f>VLOOKUP(A58,[1]Sheet1!$A$1:$B$69,2,0)</f>
        <v>Trang.nguyen@hoplongtech.com.vn</v>
      </c>
      <c r="C58" s="13" t="s">
        <v>131</v>
      </c>
      <c r="D58" s="14">
        <v>26</v>
      </c>
      <c r="E58" s="15">
        <f>139/60</f>
        <v>2.3166666666666669</v>
      </c>
      <c r="F58" s="15"/>
      <c r="G58" s="14"/>
      <c r="H58" s="16">
        <v>7</v>
      </c>
      <c r="I58" s="17"/>
      <c r="J58" s="18">
        <v>0</v>
      </c>
      <c r="K58" s="14">
        <f t="shared" si="0"/>
        <v>26</v>
      </c>
      <c r="L58" s="19"/>
      <c r="M58" s="20"/>
      <c r="N58" s="14">
        <v>10</v>
      </c>
      <c r="O58" s="21"/>
      <c r="P58" s="21"/>
      <c r="Q58" s="22"/>
      <c r="R58" s="22"/>
      <c r="S58" s="22"/>
      <c r="T58" s="22"/>
      <c r="U58" s="22"/>
      <c r="V58" s="22"/>
      <c r="W58" s="22"/>
      <c r="X58" s="22"/>
    </row>
    <row r="59" spans="1:24" s="48" customFormat="1" ht="21" customHeight="1" x14ac:dyDescent="0.25">
      <c r="A59" s="20" t="s">
        <v>132</v>
      </c>
      <c r="B59" s="12" t="str">
        <f>VLOOKUP(A59,[1]Sheet1!$A$1:$B$69,2,0)</f>
        <v>luc.le@hoplongtech.com.vn</v>
      </c>
      <c r="C59" s="13" t="s">
        <v>133</v>
      </c>
      <c r="D59" s="14">
        <v>26</v>
      </c>
      <c r="E59" s="15">
        <f>16/60</f>
        <v>0.26666666666666666</v>
      </c>
      <c r="F59" s="15"/>
      <c r="G59" s="14"/>
      <c r="H59" s="16"/>
      <c r="I59" s="17"/>
      <c r="J59" s="18">
        <v>0</v>
      </c>
      <c r="K59" s="14">
        <f t="shared" si="0"/>
        <v>26</v>
      </c>
      <c r="L59" s="19"/>
      <c r="M59" s="28"/>
      <c r="N59" s="14">
        <v>10</v>
      </c>
      <c r="O59" s="21"/>
      <c r="P59" s="21"/>
      <c r="Q59" s="22"/>
      <c r="R59" s="22"/>
      <c r="S59" s="22"/>
      <c r="T59" s="22"/>
      <c r="U59" s="22"/>
      <c r="V59" s="22"/>
      <c r="W59" s="22"/>
      <c r="X59" s="22"/>
    </row>
    <row r="60" spans="1:24" s="48" customFormat="1" ht="21" customHeight="1" x14ac:dyDescent="0.25">
      <c r="A60" s="20" t="s">
        <v>134</v>
      </c>
      <c r="B60" s="12" t="str">
        <f>VLOOKUP(A60,[1]Sheet1!$A$1:$B$69,2,0)</f>
        <v>quynh@hoplongtech.com.vn</v>
      </c>
      <c r="C60" s="13" t="s">
        <v>135</v>
      </c>
      <c r="D60" s="14">
        <v>26</v>
      </c>
      <c r="E60" s="15"/>
      <c r="F60" s="15">
        <f>79/60</f>
        <v>1.3166666666666667</v>
      </c>
      <c r="G60" s="14"/>
      <c r="H60" s="16"/>
      <c r="I60" s="17"/>
      <c r="J60" s="18">
        <v>2.5</v>
      </c>
      <c r="K60" s="14">
        <f>D60-J60</f>
        <v>23.5</v>
      </c>
      <c r="L60" s="19"/>
      <c r="M60" s="28"/>
      <c r="N60" s="14">
        <v>10</v>
      </c>
      <c r="O60" s="21"/>
      <c r="P60" s="21"/>
      <c r="Q60" s="22"/>
      <c r="R60" s="22"/>
      <c r="S60" s="22"/>
      <c r="T60" s="22"/>
      <c r="U60" s="22"/>
      <c r="V60" s="22"/>
      <c r="W60" s="22"/>
      <c r="X60" s="22"/>
    </row>
    <row r="61" spans="1:24" ht="21" customHeight="1" x14ac:dyDescent="0.25">
      <c r="A61" s="12" t="s">
        <v>136</v>
      </c>
      <c r="B61" s="12" t="str">
        <f>VLOOKUP(A61,[1]Sheet1!$A$1:$B$69,2,0)</f>
        <v>lamhien2901@gmail.com</v>
      </c>
      <c r="C61" s="13" t="s">
        <v>137</v>
      </c>
      <c r="D61" s="14">
        <v>26</v>
      </c>
      <c r="E61" s="15">
        <f>27/60</f>
        <v>0.45</v>
      </c>
      <c r="F61" s="15"/>
      <c r="G61" s="14"/>
      <c r="H61" s="16"/>
      <c r="I61" s="17"/>
      <c r="J61" s="18">
        <v>0</v>
      </c>
      <c r="K61" s="14">
        <f t="shared" si="0"/>
        <v>26</v>
      </c>
      <c r="L61" s="19"/>
      <c r="M61" s="20"/>
      <c r="N61" s="14">
        <v>10</v>
      </c>
    </row>
    <row r="62" spans="1:24" ht="21" customHeight="1" x14ac:dyDescent="0.25">
      <c r="A62" s="12" t="s">
        <v>138</v>
      </c>
      <c r="B62" s="12" t="str">
        <f>VLOOKUP(A62,[1]Sheet1!$A$1:$B$69,2,0)</f>
        <v>export@hoplongtech.com.vn</v>
      </c>
      <c r="C62" s="13" t="s">
        <v>139</v>
      </c>
      <c r="D62" s="14">
        <v>26</v>
      </c>
      <c r="E62" s="15">
        <f>26/60</f>
        <v>0.43333333333333335</v>
      </c>
      <c r="F62" s="15">
        <f>4/60</f>
        <v>6.6666666666666666E-2</v>
      </c>
      <c r="G62" s="14"/>
      <c r="H62" s="16"/>
      <c r="I62" s="17">
        <v>1</v>
      </c>
      <c r="J62" s="18">
        <v>1</v>
      </c>
      <c r="K62" s="14">
        <f t="shared" si="0"/>
        <v>25</v>
      </c>
      <c r="L62" s="19"/>
      <c r="M62" s="20"/>
      <c r="N62" s="14">
        <v>10</v>
      </c>
    </row>
    <row r="63" spans="1:24" ht="21" customHeight="1" x14ac:dyDescent="0.25">
      <c r="A63" s="12" t="s">
        <v>140</v>
      </c>
      <c r="B63" s="12" t="str">
        <f>VLOOKUP(A63,[1]Sheet1!$A$1:$B$69,2,0)</f>
        <v>vuvinh6@gmail.com</v>
      </c>
      <c r="C63" s="13" t="s">
        <v>141</v>
      </c>
      <c r="D63" s="14">
        <v>26</v>
      </c>
      <c r="E63" s="15"/>
      <c r="F63" s="15"/>
      <c r="G63" s="14"/>
      <c r="H63" s="16">
        <v>6.5</v>
      </c>
      <c r="I63" s="17">
        <v>3</v>
      </c>
      <c r="J63" s="18">
        <v>4</v>
      </c>
      <c r="K63" s="14">
        <f t="shared" si="0"/>
        <v>22</v>
      </c>
      <c r="L63" s="19"/>
      <c r="M63" s="20"/>
      <c r="N63" s="14">
        <v>10</v>
      </c>
    </row>
    <row r="64" spans="1:24" ht="21" customHeight="1" x14ac:dyDescent="0.25">
      <c r="A64" s="12" t="s">
        <v>142</v>
      </c>
      <c r="B64" s="12" t="str">
        <f>VLOOKUP(A64,[1]Sheet1!$A$1:$B$69,2,0)</f>
        <v>phamhau0794@gmail.com</v>
      </c>
      <c r="C64" s="13" t="s">
        <v>143</v>
      </c>
      <c r="D64" s="14">
        <v>26</v>
      </c>
      <c r="E64" s="15"/>
      <c r="F64" s="15"/>
      <c r="G64" s="14"/>
      <c r="H64" s="16">
        <v>16.5</v>
      </c>
      <c r="I64" s="17"/>
      <c r="J64" s="18">
        <v>2</v>
      </c>
      <c r="K64" s="14">
        <f t="shared" si="0"/>
        <v>24</v>
      </c>
      <c r="L64" s="19"/>
      <c r="M64" s="20"/>
      <c r="N64" s="14">
        <v>10</v>
      </c>
    </row>
    <row r="65" spans="1:14" ht="21" customHeight="1" x14ac:dyDescent="0.25">
      <c r="A65" s="12" t="s">
        <v>144</v>
      </c>
      <c r="B65" s="12" t="str">
        <f>VLOOKUP(A65,[1]Sheet1!$A$1:$B$69,2,0)</f>
        <v>nguyenphuc.dcn@gmail.com</v>
      </c>
      <c r="C65" s="13" t="s">
        <v>145</v>
      </c>
      <c r="D65" s="14">
        <v>26</v>
      </c>
      <c r="E65" s="15"/>
      <c r="F65" s="15"/>
      <c r="G65" s="14"/>
      <c r="H65" s="16">
        <v>52.5</v>
      </c>
      <c r="I65" s="17"/>
      <c r="J65" s="18">
        <v>1.5</v>
      </c>
      <c r="K65" s="14">
        <f t="shared" si="0"/>
        <v>24.5</v>
      </c>
      <c r="L65" s="19"/>
      <c r="M65" s="20"/>
      <c r="N65" s="14">
        <v>10</v>
      </c>
    </row>
    <row r="66" spans="1:14" ht="21" customHeight="1" x14ac:dyDescent="0.25">
      <c r="A66" s="12" t="s">
        <v>146</v>
      </c>
      <c r="B66" s="12" t="str">
        <f>VLOOKUP(A66,[1]Sheet1!$A$1:$B$69,2,0)</f>
        <v>sales05@hoplongtech.com.vn</v>
      </c>
      <c r="C66" s="13" t="s">
        <v>147</v>
      </c>
      <c r="D66" s="14">
        <v>25</v>
      </c>
      <c r="E66" s="15">
        <f>13/60</f>
        <v>0.21666666666666667</v>
      </c>
      <c r="F66" s="15"/>
      <c r="G66" s="14"/>
      <c r="H66" s="16"/>
      <c r="I66" s="17"/>
      <c r="J66" s="18">
        <v>0</v>
      </c>
      <c r="K66" s="14">
        <f>D66-J66</f>
        <v>25</v>
      </c>
      <c r="L66" s="19"/>
      <c r="M66" s="20" t="s">
        <v>148</v>
      </c>
      <c r="N66" s="14">
        <v>10</v>
      </c>
    </row>
    <row r="67" spans="1:14" ht="21" customHeight="1" x14ac:dyDescent="0.25">
      <c r="A67" s="12" t="s">
        <v>149</v>
      </c>
      <c r="B67" t="s">
        <v>150</v>
      </c>
      <c r="C67" s="13" t="s">
        <v>151</v>
      </c>
      <c r="D67" s="14">
        <v>26</v>
      </c>
      <c r="E67" s="15">
        <f>4/60</f>
        <v>6.6666666666666666E-2</v>
      </c>
      <c r="F67" s="15"/>
      <c r="G67" s="14"/>
      <c r="H67" s="16">
        <v>21.5</v>
      </c>
      <c r="I67" s="17"/>
      <c r="J67" s="18">
        <v>0</v>
      </c>
      <c r="K67" s="14">
        <f>D67-J67</f>
        <v>26</v>
      </c>
      <c r="L67" s="19"/>
      <c r="M67" s="20"/>
      <c r="N67" s="14">
        <v>10</v>
      </c>
    </row>
  </sheetData>
  <pageMargins left="0.7" right="0.7" top="0.75" bottom="0.75" header="0.3" footer="0.3"/>
  <pageSetup paperSize="9" orientation="portrait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70"/>
  <sheetViews>
    <sheetView topLeftCell="A7" workbookViewId="0">
      <selection activeCell="C17" sqref="C17"/>
    </sheetView>
  </sheetViews>
  <sheetFormatPr defaultRowHeight="15.75" x14ac:dyDescent="0.25"/>
  <cols>
    <col min="1" max="1" width="11.7109375" style="22" customWidth="1"/>
    <col min="2" max="2" width="31.7109375" style="22" customWidth="1"/>
    <col min="3" max="3" width="30.7109375" style="51" customWidth="1"/>
    <col min="4" max="4" width="10" style="21" customWidth="1"/>
    <col min="5" max="5" width="8.85546875" style="52" customWidth="1"/>
    <col min="6" max="6" width="9.140625" style="52" customWidth="1"/>
    <col min="7" max="7" width="10" style="55" customWidth="1"/>
    <col min="8" max="8" width="6.5703125" style="53" customWidth="1"/>
    <col min="9" max="9" width="10.140625" style="55" customWidth="1"/>
    <col min="10" max="10" width="9.7109375" style="55" customWidth="1"/>
    <col min="11" max="11" width="10.7109375" style="55" customWidth="1"/>
    <col min="12" max="12" width="11.7109375" style="47" customWidth="1"/>
    <col min="13" max="13" width="18.7109375" style="48" customWidth="1"/>
    <col min="14" max="14" width="10" style="48" customWidth="1"/>
    <col min="15" max="16" width="9.140625" style="21"/>
    <col min="17" max="16384" width="9.140625" style="22"/>
  </cols>
  <sheetData>
    <row r="2" spans="1:16" ht="35.25" customHeight="1" x14ac:dyDescent="0.25">
      <c r="A2" s="94" t="s">
        <v>160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</row>
    <row r="4" spans="1:16" s="11" customFormat="1" ht="47.25" x14ac:dyDescent="0.25">
      <c r="A4" s="1" t="s">
        <v>0</v>
      </c>
      <c r="B4" s="1" t="s">
        <v>1</v>
      </c>
      <c r="C4" s="1" t="s">
        <v>2</v>
      </c>
      <c r="D4" s="2" t="s">
        <v>3</v>
      </c>
      <c r="E4" s="3" t="s">
        <v>4</v>
      </c>
      <c r="F4" s="3" t="s">
        <v>5</v>
      </c>
      <c r="G4" s="7" t="s">
        <v>156</v>
      </c>
      <c r="H4" s="5" t="s">
        <v>7</v>
      </c>
      <c r="I4" s="7" t="s">
        <v>8</v>
      </c>
      <c r="J4" s="7" t="s">
        <v>9</v>
      </c>
      <c r="K4" s="7" t="s">
        <v>10</v>
      </c>
      <c r="L4" s="9" t="s">
        <v>11</v>
      </c>
      <c r="M4" s="3" t="s">
        <v>12</v>
      </c>
      <c r="N4" s="3" t="s">
        <v>13</v>
      </c>
      <c r="O4" s="10"/>
      <c r="P4" s="10"/>
    </row>
    <row r="5" spans="1:16" ht="21" customHeight="1" x14ac:dyDescent="0.25">
      <c r="A5" s="12" t="s">
        <v>14</v>
      </c>
      <c r="B5" s="12" t="str">
        <f>VLOOKUP(A5,[1]Sheet1!$A$1:$B$69,2,0)</f>
        <v>Quang@hoplongtech.com.vn</v>
      </c>
      <c r="C5" s="13" t="s">
        <v>15</v>
      </c>
      <c r="D5" s="14">
        <v>26</v>
      </c>
      <c r="E5" s="15"/>
      <c r="F5" s="15"/>
      <c r="G5" s="18"/>
      <c r="H5" s="16"/>
      <c r="I5" s="18"/>
      <c r="J5" s="18"/>
      <c r="K5" s="18">
        <f>D5-J5</f>
        <v>26</v>
      </c>
      <c r="L5" s="19"/>
      <c r="M5" s="20"/>
      <c r="N5" s="14">
        <v>11</v>
      </c>
    </row>
    <row r="6" spans="1:16" ht="21" customHeight="1" x14ac:dyDescent="0.25">
      <c r="A6" s="12" t="s">
        <v>16</v>
      </c>
      <c r="B6" s="12" t="str">
        <f>VLOOKUP(A6,[1]Sheet1!$A$1:$B$69,2,0)</f>
        <v>luonghoangngoc@gmail.com</v>
      </c>
      <c r="C6" s="13" t="s">
        <v>17</v>
      </c>
      <c r="D6" s="14">
        <v>26</v>
      </c>
      <c r="E6" s="15"/>
      <c r="F6" s="15"/>
      <c r="G6" s="18"/>
      <c r="H6" s="16"/>
      <c r="I6" s="18"/>
      <c r="J6" s="18"/>
      <c r="K6" s="18">
        <f t="shared" ref="K6:K69" si="0">D6-J6</f>
        <v>26</v>
      </c>
      <c r="L6" s="19"/>
      <c r="M6" s="20"/>
      <c r="N6" s="14">
        <v>11</v>
      </c>
    </row>
    <row r="7" spans="1:16" ht="21" customHeight="1" x14ac:dyDescent="0.25">
      <c r="A7" s="12" t="s">
        <v>18</v>
      </c>
      <c r="B7" s="12" t="str">
        <f>VLOOKUP(A7,[1]Sheet1!$A$1:$B$69,2,0)</f>
        <v>Huong@hoplongtech.com.vn</v>
      </c>
      <c r="C7" s="13" t="s">
        <v>19</v>
      </c>
      <c r="D7" s="14">
        <v>26</v>
      </c>
      <c r="E7" s="23"/>
      <c r="F7" s="23"/>
      <c r="G7" s="18"/>
      <c r="H7" s="16"/>
      <c r="I7" s="18"/>
      <c r="J7" s="18">
        <v>0</v>
      </c>
      <c r="K7" s="18">
        <f t="shared" si="0"/>
        <v>26</v>
      </c>
      <c r="L7" s="19"/>
      <c r="M7" s="20"/>
      <c r="N7" s="14">
        <v>11</v>
      </c>
    </row>
    <row r="8" spans="1:16" ht="21" customHeight="1" x14ac:dyDescent="0.25">
      <c r="A8" s="12" t="s">
        <v>20</v>
      </c>
      <c r="B8" s="12" t="str">
        <f>VLOOKUP(A8,[1]Sheet1!$A$1:$B$69,2,0)</f>
        <v>Dao@hoplongtech.com.vn</v>
      </c>
      <c r="C8" s="13" t="s">
        <v>21</v>
      </c>
      <c r="D8" s="14">
        <v>26</v>
      </c>
      <c r="E8" s="23"/>
      <c r="F8" s="23"/>
      <c r="G8" s="18"/>
      <c r="H8" s="16"/>
      <c r="I8" s="18"/>
      <c r="J8" s="18"/>
      <c r="K8" s="18">
        <f t="shared" si="0"/>
        <v>26</v>
      </c>
      <c r="L8" s="19"/>
      <c r="M8" s="20"/>
      <c r="N8" s="14">
        <v>11</v>
      </c>
    </row>
    <row r="9" spans="1:16" ht="21" customHeight="1" x14ac:dyDescent="0.25">
      <c r="A9" s="12" t="s">
        <v>22</v>
      </c>
      <c r="B9" s="12" t="str">
        <f>VLOOKUP(A9,[1]Sheet1!$A$1:$B$69,2,0)</f>
        <v>Bac@hoplongtech.com.vn</v>
      </c>
      <c r="C9" s="13" t="s">
        <v>23</v>
      </c>
      <c r="D9" s="14">
        <v>26</v>
      </c>
      <c r="E9" s="15"/>
      <c r="F9" s="15"/>
      <c r="G9" s="18"/>
      <c r="H9" s="16"/>
      <c r="I9" s="18"/>
      <c r="J9" s="18">
        <v>7</v>
      </c>
      <c r="K9" s="18">
        <f t="shared" si="0"/>
        <v>19</v>
      </c>
      <c r="L9" s="19"/>
      <c r="M9" s="20"/>
      <c r="N9" s="14">
        <v>11</v>
      </c>
    </row>
    <row r="10" spans="1:16" ht="21" customHeight="1" x14ac:dyDescent="0.25">
      <c r="A10" s="12" t="s">
        <v>24</v>
      </c>
      <c r="B10" s="12" t="str">
        <f>VLOOKUP(A10,[1]Sheet1!$A$1:$B$69,2,0)</f>
        <v>Tuan@hoplongtech.com.vn</v>
      </c>
      <c r="C10" s="13" t="s">
        <v>25</v>
      </c>
      <c r="D10" s="14">
        <v>26</v>
      </c>
      <c r="E10" s="24">
        <f>101/60</f>
        <v>1.6833333333333333</v>
      </c>
      <c r="F10" s="24">
        <f>22/60</f>
        <v>0.36666666666666664</v>
      </c>
      <c r="G10" s="18"/>
      <c r="H10" s="16"/>
      <c r="I10" s="18">
        <v>2</v>
      </c>
      <c r="J10" s="18">
        <v>1</v>
      </c>
      <c r="K10" s="18">
        <f t="shared" si="0"/>
        <v>25</v>
      </c>
      <c r="L10" s="19"/>
      <c r="M10" s="20"/>
      <c r="N10" s="14">
        <v>11</v>
      </c>
    </row>
    <row r="11" spans="1:16" ht="21" customHeight="1" x14ac:dyDescent="0.25">
      <c r="A11" s="12" t="s">
        <v>26</v>
      </c>
      <c r="B11" s="12" t="str">
        <f>VLOOKUP(A11,[1]Sheet1!$A$1:$B$69,2,0)</f>
        <v>Tan@hoplongtech.com.vn</v>
      </c>
      <c r="C11" s="13" t="s">
        <v>27</v>
      </c>
      <c r="D11" s="14">
        <v>26</v>
      </c>
      <c r="E11" s="15">
        <f>108/60</f>
        <v>1.8</v>
      </c>
      <c r="F11" s="15"/>
      <c r="G11" s="18"/>
      <c r="H11" s="16"/>
      <c r="I11" s="18"/>
      <c r="J11" s="18">
        <v>0.5</v>
      </c>
      <c r="K11" s="18">
        <f t="shared" si="0"/>
        <v>25.5</v>
      </c>
      <c r="L11" s="19">
        <v>2000000</v>
      </c>
      <c r="M11" s="20" t="s">
        <v>153</v>
      </c>
      <c r="N11" s="14">
        <v>11</v>
      </c>
    </row>
    <row r="12" spans="1:16" ht="21" customHeight="1" x14ac:dyDescent="0.25">
      <c r="A12" s="12" t="s">
        <v>29</v>
      </c>
      <c r="B12" s="12" t="str">
        <f>VLOOKUP(A12,[1]Sheet1!$A$1:$B$69,2,0)</f>
        <v>hanh@hoplongtech.com.vn</v>
      </c>
      <c r="C12" s="13" t="s">
        <v>30</v>
      </c>
      <c r="D12" s="14">
        <v>26</v>
      </c>
      <c r="E12" s="24">
        <f>68/60</f>
        <v>1.1333333333333333</v>
      </c>
      <c r="F12" s="15">
        <f>39/60</f>
        <v>0.65</v>
      </c>
      <c r="G12" s="18"/>
      <c r="H12" s="16"/>
      <c r="I12" s="18"/>
      <c r="J12" s="18">
        <v>1</v>
      </c>
      <c r="K12" s="18">
        <f t="shared" si="0"/>
        <v>25</v>
      </c>
      <c r="L12" s="19"/>
      <c r="M12" s="20"/>
      <c r="N12" s="14">
        <v>11</v>
      </c>
    </row>
    <row r="13" spans="1:16" s="65" customFormat="1" ht="33.75" customHeight="1" x14ac:dyDescent="0.25">
      <c r="A13" s="57" t="s">
        <v>31</v>
      </c>
      <c r="B13" s="57" t="str">
        <f>VLOOKUP(A13,[1]Sheet1!$A$1:$B$69,2,0)</f>
        <v>nhan@hoplongtech.com.vn</v>
      </c>
      <c r="C13" s="58" t="s">
        <v>32</v>
      </c>
      <c r="D13" s="59"/>
      <c r="E13" s="60"/>
      <c r="F13" s="60"/>
      <c r="G13" s="62"/>
      <c r="H13" s="61"/>
      <c r="I13" s="62"/>
      <c r="J13" s="62"/>
      <c r="K13" s="62"/>
      <c r="L13" s="74"/>
      <c r="M13" s="66" t="s">
        <v>157</v>
      </c>
      <c r="N13" s="59">
        <v>11</v>
      </c>
      <c r="O13" s="64"/>
      <c r="P13" s="64"/>
    </row>
    <row r="14" spans="1:16" ht="21" customHeight="1" x14ac:dyDescent="0.25">
      <c r="A14" s="12" t="s">
        <v>34</v>
      </c>
      <c r="B14" s="12" t="str">
        <f>VLOOKUP(A14,[1]Sheet1!$A$1:$B$69,2,0)</f>
        <v>Tuoi@hoplongtech.com.vn</v>
      </c>
      <c r="C14" s="29" t="s">
        <v>35</v>
      </c>
      <c r="D14" s="14">
        <v>26</v>
      </c>
      <c r="E14" s="24">
        <f>97/60</f>
        <v>1.6166666666666667</v>
      </c>
      <c r="F14" s="24">
        <f>27/60</f>
        <v>0.45</v>
      </c>
      <c r="G14" s="18"/>
      <c r="H14" s="16"/>
      <c r="I14" s="18">
        <v>1</v>
      </c>
      <c r="J14" s="18">
        <v>2.5</v>
      </c>
      <c r="K14" s="18">
        <f t="shared" si="0"/>
        <v>23.5</v>
      </c>
      <c r="L14" s="19"/>
      <c r="M14" s="30"/>
      <c r="N14" s="14">
        <v>11</v>
      </c>
    </row>
    <row r="15" spans="1:16" ht="21" customHeight="1" x14ac:dyDescent="0.25">
      <c r="A15" s="12" t="s">
        <v>36</v>
      </c>
      <c r="B15" s="24" t="str">
        <f>VLOOKUP(A15,[1]Sheet1!$A$1:$B$69,2,0)</f>
        <v>nham@hoplongtech.com.vn</v>
      </c>
      <c r="C15" s="13" t="s">
        <v>37</v>
      </c>
      <c r="D15" s="14">
        <v>26</v>
      </c>
      <c r="E15" s="24">
        <f>11/60</f>
        <v>0.18333333333333332</v>
      </c>
      <c r="F15" s="15">
        <f>47/60</f>
        <v>0.78333333333333333</v>
      </c>
      <c r="G15" s="18"/>
      <c r="H15" s="16"/>
      <c r="I15" s="18"/>
      <c r="J15" s="18">
        <v>1.5</v>
      </c>
      <c r="K15" s="18">
        <f t="shared" si="0"/>
        <v>24.5</v>
      </c>
      <c r="L15" s="19"/>
      <c r="M15" s="20"/>
      <c r="N15" s="14">
        <v>11</v>
      </c>
    </row>
    <row r="16" spans="1:16" ht="21" customHeight="1" x14ac:dyDescent="0.25">
      <c r="A16" s="12" t="s">
        <v>38</v>
      </c>
      <c r="B16" s="12" t="str">
        <f>VLOOKUP(A16,[1]Sheet1!$A$1:$B$69,2,0)</f>
        <v>Lich@hoplongtech.com.vn</v>
      </c>
      <c r="C16" s="29" t="s">
        <v>39</v>
      </c>
      <c r="D16" s="14">
        <v>26</v>
      </c>
      <c r="E16" s="24"/>
      <c r="F16" s="24">
        <f>11/60</f>
        <v>0.18333333333333332</v>
      </c>
      <c r="G16" s="18"/>
      <c r="H16" s="16"/>
      <c r="I16" s="18">
        <v>2</v>
      </c>
      <c r="J16" s="18">
        <v>0.5</v>
      </c>
      <c r="K16" s="18">
        <f t="shared" si="0"/>
        <v>25.5</v>
      </c>
      <c r="L16" s="19"/>
      <c r="M16" s="20"/>
      <c r="N16" s="14">
        <v>11</v>
      </c>
    </row>
    <row r="17" spans="1:16" ht="21" customHeight="1" x14ac:dyDescent="0.25">
      <c r="A17" s="12" t="s">
        <v>40</v>
      </c>
      <c r="B17" s="12" t="str">
        <f>VLOOKUP(A17,[1]Sheet1!$A$1:$B$69,2,0)</f>
        <v>trang@hoplongtech.com.vn</v>
      </c>
      <c r="C17" s="13" t="s">
        <v>41</v>
      </c>
      <c r="D17" s="14">
        <v>26</v>
      </c>
      <c r="E17" s="24">
        <f>17/60</f>
        <v>0.28333333333333333</v>
      </c>
      <c r="F17" s="24">
        <f>52/60</f>
        <v>0.8666666666666667</v>
      </c>
      <c r="G17" s="18"/>
      <c r="H17" s="16"/>
      <c r="I17" s="18">
        <v>1</v>
      </c>
      <c r="J17" s="18">
        <v>1</v>
      </c>
      <c r="K17" s="18">
        <f t="shared" si="0"/>
        <v>25</v>
      </c>
      <c r="L17" s="19"/>
      <c r="M17" s="20"/>
      <c r="N17" s="14">
        <v>11</v>
      </c>
    </row>
    <row r="18" spans="1:16" ht="21" customHeight="1" x14ac:dyDescent="0.25">
      <c r="A18" s="12" t="s">
        <v>42</v>
      </c>
      <c r="B18" s="12" t="str">
        <f>VLOOKUP(A18,[1]Sheet1!$A$1:$B$69,2,0)</f>
        <v>Dung@hoplongtech.com.vn</v>
      </c>
      <c r="C18" s="13" t="s">
        <v>43</v>
      </c>
      <c r="D18" s="14">
        <v>26</v>
      </c>
      <c r="E18" s="24">
        <f>6/60</f>
        <v>0.1</v>
      </c>
      <c r="F18" s="24"/>
      <c r="G18" s="18"/>
      <c r="H18" s="16"/>
      <c r="I18" s="18">
        <v>1</v>
      </c>
      <c r="J18" s="18">
        <v>0</v>
      </c>
      <c r="K18" s="18">
        <f t="shared" si="0"/>
        <v>26</v>
      </c>
      <c r="L18" s="19">
        <v>1000000</v>
      </c>
      <c r="M18" s="20"/>
      <c r="N18" s="14">
        <v>11</v>
      </c>
    </row>
    <row r="19" spans="1:16" ht="21" customHeight="1" x14ac:dyDescent="0.25">
      <c r="A19" s="12" t="s">
        <v>44</v>
      </c>
      <c r="B19" s="12" t="str">
        <f>VLOOKUP(A19,[1]Sheet1!$A$1:$B$69,2,0)</f>
        <v>Thao@hoplongtech.com.vn</v>
      </c>
      <c r="C19" s="13" t="s">
        <v>45</v>
      </c>
      <c r="D19" s="14">
        <v>26</v>
      </c>
      <c r="E19" s="24">
        <f>164/60</f>
        <v>2.7333333333333334</v>
      </c>
      <c r="F19" s="15">
        <v>1.1000000000000001</v>
      </c>
      <c r="G19" s="18"/>
      <c r="H19" s="16"/>
      <c r="I19" s="18">
        <v>1</v>
      </c>
      <c r="J19" s="18">
        <v>2</v>
      </c>
      <c r="K19" s="18">
        <f t="shared" si="0"/>
        <v>24</v>
      </c>
      <c r="L19" s="19"/>
      <c r="M19" s="20"/>
      <c r="N19" s="14">
        <v>11</v>
      </c>
    </row>
    <row r="20" spans="1:16" ht="21" customHeight="1" x14ac:dyDescent="0.25">
      <c r="A20" s="12" t="s">
        <v>46</v>
      </c>
      <c r="B20" s="12" t="str">
        <f>VLOOKUP(A20,[1]Sheet1!$A$1:$B$69,2,0)</f>
        <v>Tam@hoplongtech.com.vn</v>
      </c>
      <c r="C20" s="13" t="s">
        <v>47</v>
      </c>
      <c r="D20" s="14">
        <v>26</v>
      </c>
      <c r="E20" s="24">
        <f>69/60</f>
        <v>1.1499999999999999</v>
      </c>
      <c r="F20" s="15">
        <f>41/60</f>
        <v>0.68333333333333335</v>
      </c>
      <c r="G20" s="18"/>
      <c r="H20" s="16"/>
      <c r="I20" s="18"/>
      <c r="J20" s="18">
        <v>1</v>
      </c>
      <c r="K20" s="18">
        <f t="shared" si="0"/>
        <v>25</v>
      </c>
      <c r="L20" s="19"/>
      <c r="M20" s="20"/>
      <c r="N20" s="14">
        <v>11</v>
      </c>
    </row>
    <row r="21" spans="1:16" ht="21" customHeight="1" x14ac:dyDescent="0.25">
      <c r="A21" s="12" t="s">
        <v>48</v>
      </c>
      <c r="B21" s="12" t="str">
        <f>VLOOKUP(A21,[1]Sheet1!$A$1:$B$69,2,0)</f>
        <v>huong.dang@hoplongtech.com.vn</v>
      </c>
      <c r="C21" s="13" t="s">
        <v>49</v>
      </c>
      <c r="D21" s="14">
        <v>26</v>
      </c>
      <c r="E21" s="15">
        <f>11/60</f>
        <v>0.18333333333333332</v>
      </c>
      <c r="F21" s="24"/>
      <c r="G21" s="18"/>
      <c r="H21" s="16"/>
      <c r="I21" s="18"/>
      <c r="J21" s="18">
        <v>0</v>
      </c>
      <c r="K21" s="18">
        <f t="shared" si="0"/>
        <v>26</v>
      </c>
      <c r="L21" s="19"/>
      <c r="M21" s="20"/>
      <c r="N21" s="14">
        <v>11</v>
      </c>
    </row>
    <row r="22" spans="1:16" ht="21" customHeight="1" x14ac:dyDescent="0.25">
      <c r="A22" s="12" t="s">
        <v>50</v>
      </c>
      <c r="B22" s="12" t="str">
        <f>VLOOKUP(A22,[1]Sheet1!$A$1:$B$69,2,0)</f>
        <v>Quan@hoplongtech.com.vn</v>
      </c>
      <c r="C22" s="29" t="s">
        <v>51</v>
      </c>
      <c r="D22" s="14">
        <v>26</v>
      </c>
      <c r="E22" s="15"/>
      <c r="F22" s="15"/>
      <c r="G22" s="18">
        <v>17.5</v>
      </c>
      <c r="H22" s="16"/>
      <c r="I22" s="18"/>
      <c r="J22" s="18">
        <v>1.5</v>
      </c>
      <c r="K22" s="18">
        <f t="shared" si="0"/>
        <v>24.5</v>
      </c>
      <c r="L22" s="19"/>
      <c r="M22" s="28"/>
      <c r="N22" s="14">
        <v>11</v>
      </c>
      <c r="O22" s="10"/>
      <c r="P22" s="10"/>
    </row>
    <row r="23" spans="1:16" s="11" customFormat="1" ht="21" customHeight="1" x14ac:dyDescent="0.25">
      <c r="A23" s="33" t="s">
        <v>52</v>
      </c>
      <c r="B23" s="12" t="str">
        <f>VLOOKUP(A23,[1]Sheet1!$A$1:$B$69,2,0)</f>
        <v>Duc@hoplongtech.com.vn</v>
      </c>
      <c r="C23" s="29" t="s">
        <v>53</v>
      </c>
      <c r="D23" s="14">
        <v>26</v>
      </c>
      <c r="E23" s="34">
        <f>8/60</f>
        <v>0.13333333333333333</v>
      </c>
      <c r="F23" s="35"/>
      <c r="G23" s="18">
        <v>10</v>
      </c>
      <c r="H23" s="16"/>
      <c r="I23" s="18">
        <v>1</v>
      </c>
      <c r="J23" s="18">
        <v>0</v>
      </c>
      <c r="K23" s="18">
        <f t="shared" si="0"/>
        <v>26</v>
      </c>
      <c r="L23" s="19"/>
      <c r="M23" s="37"/>
      <c r="N23" s="14">
        <v>11</v>
      </c>
      <c r="O23" s="10"/>
      <c r="P23" s="10"/>
    </row>
    <row r="24" spans="1:16" s="11" customFormat="1" ht="21" customHeight="1" x14ac:dyDescent="0.25">
      <c r="A24" s="33" t="s">
        <v>54</v>
      </c>
      <c r="B24" s="12" t="str">
        <f>VLOOKUP(A24,[1]Sheet1!$A$1:$B$69,2,0)</f>
        <v>tai@hoplongtech.com.vn</v>
      </c>
      <c r="C24" s="29" t="s">
        <v>55</v>
      </c>
      <c r="D24" s="14">
        <v>26</v>
      </c>
      <c r="E24" s="35">
        <f>9/60</f>
        <v>0.15</v>
      </c>
      <c r="F24" s="35"/>
      <c r="G24" s="18">
        <v>40</v>
      </c>
      <c r="H24" s="16"/>
      <c r="I24" s="18">
        <v>6</v>
      </c>
      <c r="J24" s="18">
        <v>1</v>
      </c>
      <c r="K24" s="18">
        <f t="shared" si="0"/>
        <v>25</v>
      </c>
      <c r="L24" s="19"/>
      <c r="M24" s="37"/>
      <c r="N24" s="14">
        <v>11</v>
      </c>
      <c r="O24" s="10"/>
      <c r="P24" s="10"/>
    </row>
    <row r="25" spans="1:16" s="11" customFormat="1" ht="21" customHeight="1" x14ac:dyDescent="0.25">
      <c r="A25" s="33" t="s">
        <v>56</v>
      </c>
      <c r="B25" s="12" t="str">
        <f>VLOOKUP(A25,[1]Sheet1!$A$1:$B$69,2,0)</f>
        <v>trung.le@hoplongtech.com.vn</v>
      </c>
      <c r="C25" s="29" t="s">
        <v>57</v>
      </c>
      <c r="D25" s="14">
        <v>26</v>
      </c>
      <c r="E25" s="34">
        <f>99/60</f>
        <v>1.65</v>
      </c>
      <c r="F25" s="35"/>
      <c r="G25" s="18"/>
      <c r="H25" s="16"/>
      <c r="I25" s="18">
        <v>7</v>
      </c>
      <c r="J25" s="18">
        <v>0.5</v>
      </c>
      <c r="K25" s="18">
        <f t="shared" si="0"/>
        <v>25.5</v>
      </c>
      <c r="L25" s="19"/>
      <c r="M25" s="38"/>
      <c r="N25" s="14">
        <v>11</v>
      </c>
      <c r="O25" s="10"/>
      <c r="P25" s="10"/>
    </row>
    <row r="26" spans="1:16" s="11" customFormat="1" ht="30.75" customHeight="1" x14ac:dyDescent="0.25">
      <c r="A26" s="33" t="s">
        <v>58</v>
      </c>
      <c r="B26" s="12" t="str">
        <f>VLOOKUP(A26,[1]Sheet1!$A$1:$B$69,2,0)</f>
        <v>minhduc9093@gmail.com</v>
      </c>
      <c r="C26" s="29" t="s">
        <v>59</v>
      </c>
      <c r="D26" s="14">
        <v>26</v>
      </c>
      <c r="E26" s="35">
        <f>9/60</f>
        <v>0.15</v>
      </c>
      <c r="F26" s="34"/>
      <c r="G26" s="18"/>
      <c r="H26" s="16"/>
      <c r="I26" s="18">
        <v>6</v>
      </c>
      <c r="J26" s="18">
        <v>0</v>
      </c>
      <c r="K26" s="18">
        <f t="shared" si="0"/>
        <v>26</v>
      </c>
      <c r="L26" s="19"/>
      <c r="M26" s="37" t="s">
        <v>158</v>
      </c>
      <c r="N26" s="14">
        <v>11</v>
      </c>
      <c r="O26" s="10"/>
      <c r="P26" s="10"/>
    </row>
    <row r="27" spans="1:16" s="11" customFormat="1" ht="21" customHeight="1" x14ac:dyDescent="0.25">
      <c r="A27" s="33" t="s">
        <v>61</v>
      </c>
      <c r="B27" s="12" t="str">
        <f>VLOOKUP(A27,[1]Sheet1!$A$1:$B$69,2,0)</f>
        <v>thuat.hung@hoplongtech.com.vn</v>
      </c>
      <c r="C27" s="29" t="s">
        <v>62</v>
      </c>
      <c r="D27" s="14">
        <v>26</v>
      </c>
      <c r="E27" s="35">
        <f>15/60</f>
        <v>0.25</v>
      </c>
      <c r="F27" s="35"/>
      <c r="G27" s="18">
        <v>3</v>
      </c>
      <c r="H27" s="16"/>
      <c r="I27" s="18">
        <v>2</v>
      </c>
      <c r="J27" s="18">
        <v>0</v>
      </c>
      <c r="K27" s="18">
        <f t="shared" si="0"/>
        <v>26</v>
      </c>
      <c r="L27" s="19"/>
      <c r="M27" s="37"/>
      <c r="N27" s="14">
        <v>11</v>
      </c>
      <c r="O27" s="10"/>
      <c r="P27" s="10"/>
    </row>
    <row r="28" spans="1:16" ht="21" customHeight="1" x14ac:dyDescent="0.25">
      <c r="A28" s="12" t="s">
        <v>63</v>
      </c>
      <c r="B28" s="12" t="str">
        <f>VLOOKUP(A28,[1]Sheet1!$A$1:$B$69,2,0)</f>
        <v>nga@hoplongtech.com.vn</v>
      </c>
      <c r="C28" s="13" t="s">
        <v>64</v>
      </c>
      <c r="D28" s="14">
        <v>26</v>
      </c>
      <c r="E28" s="24"/>
      <c r="F28" s="24">
        <f>91/60</f>
        <v>1.5166666666666666</v>
      </c>
      <c r="G28" s="18"/>
      <c r="H28" s="16"/>
      <c r="I28" s="18">
        <v>1</v>
      </c>
      <c r="J28" s="18">
        <v>2</v>
      </c>
      <c r="K28" s="18">
        <f t="shared" si="0"/>
        <v>24</v>
      </c>
      <c r="L28" s="19"/>
      <c r="M28" s="37"/>
      <c r="N28" s="14">
        <v>11</v>
      </c>
    </row>
    <row r="29" spans="1:16" ht="21" customHeight="1" x14ac:dyDescent="0.25">
      <c r="A29" s="12" t="s">
        <v>65</v>
      </c>
      <c r="B29" s="12" t="str">
        <f>VLOOKUP(A29,[1]Sheet1!$A$1:$B$69,2,0)</f>
        <v>xoa@hoplongtech.com.vn</v>
      </c>
      <c r="C29" s="13" t="s">
        <v>66</v>
      </c>
      <c r="D29" s="14">
        <v>26</v>
      </c>
      <c r="E29" s="24">
        <f>78/60</f>
        <v>1.3</v>
      </c>
      <c r="F29" s="24"/>
      <c r="G29" s="18"/>
      <c r="H29" s="16"/>
      <c r="I29" s="18">
        <v>2</v>
      </c>
      <c r="J29" s="18">
        <v>0</v>
      </c>
      <c r="K29" s="18">
        <f t="shared" si="0"/>
        <v>26</v>
      </c>
      <c r="L29" s="19"/>
      <c r="M29" s="20"/>
      <c r="N29" s="14">
        <v>11</v>
      </c>
    </row>
    <row r="30" spans="1:16" s="72" customFormat="1" ht="21" customHeight="1" x14ac:dyDescent="0.25">
      <c r="A30" s="68" t="s">
        <v>67</v>
      </c>
      <c r="B30" s="57" t="str">
        <f>VLOOKUP(A30,[1]Sheet1!$A$1:$B$69,2,0)</f>
        <v>nhung@hoplongtech.com.vn</v>
      </c>
      <c r="C30" s="69" t="s">
        <v>68</v>
      </c>
      <c r="D30" s="59"/>
      <c r="E30" s="73"/>
      <c r="F30" s="70"/>
      <c r="G30" s="62"/>
      <c r="H30" s="61"/>
      <c r="I30" s="62"/>
      <c r="J30" s="62"/>
      <c r="K30" s="62">
        <v>0</v>
      </c>
      <c r="L30" s="63"/>
      <c r="M30" s="71" t="s">
        <v>157</v>
      </c>
      <c r="N30" s="59">
        <v>11</v>
      </c>
      <c r="O30" s="67"/>
      <c r="P30" s="67"/>
    </row>
    <row r="31" spans="1:16" ht="21" customHeight="1" x14ac:dyDescent="0.25">
      <c r="A31" s="12" t="s">
        <v>69</v>
      </c>
      <c r="B31" s="12" t="str">
        <f>VLOOKUP(A31,[1]Sheet1!$A$1:$B$69,2,0)</f>
        <v>huong.pham@hoplongtech.com.vn</v>
      </c>
      <c r="C31" s="13" t="s">
        <v>70</v>
      </c>
      <c r="D31" s="14">
        <v>26</v>
      </c>
      <c r="E31" s="24">
        <f>8/60</f>
        <v>0.13333333333333333</v>
      </c>
      <c r="F31" s="24">
        <f>3/60</f>
        <v>0.05</v>
      </c>
      <c r="G31" s="18"/>
      <c r="H31" s="16"/>
      <c r="I31" s="18"/>
      <c r="J31" s="18">
        <v>0</v>
      </c>
      <c r="K31" s="18">
        <f t="shared" si="0"/>
        <v>26</v>
      </c>
      <c r="L31" s="19"/>
      <c r="M31" s="20"/>
      <c r="N31" s="14">
        <v>11</v>
      </c>
    </row>
    <row r="32" spans="1:16" ht="21" customHeight="1" x14ac:dyDescent="0.25">
      <c r="A32" s="12" t="s">
        <v>71</v>
      </c>
      <c r="B32" s="12" t="str">
        <f>VLOOKUP(A32,[1]Sheet1!$A$1:$B$69,2,0)</f>
        <v>nguyenduyhai1988@gmail.com</v>
      </c>
      <c r="C32" s="29" t="s">
        <v>72</v>
      </c>
      <c r="D32" s="14">
        <v>26</v>
      </c>
      <c r="E32" s="15">
        <f>7/60</f>
        <v>0.11666666666666667</v>
      </c>
      <c r="F32" s="15"/>
      <c r="G32" s="18">
        <v>43</v>
      </c>
      <c r="H32" s="16"/>
      <c r="I32" s="18">
        <v>2</v>
      </c>
      <c r="J32" s="18">
        <v>0</v>
      </c>
      <c r="K32" s="18">
        <f t="shared" si="0"/>
        <v>26</v>
      </c>
      <c r="L32" s="19"/>
      <c r="M32" s="28"/>
      <c r="N32" s="14">
        <v>11</v>
      </c>
      <c r="O32" s="10"/>
      <c r="P32" s="10"/>
    </row>
    <row r="33" spans="1:16" ht="21" customHeight="1" x14ac:dyDescent="0.25">
      <c r="A33" s="12" t="s">
        <v>73</v>
      </c>
      <c r="B33" s="12" t="str">
        <f>VLOOKUP(A33,[1]Sheet1!$A$1:$B$69,2,0)</f>
        <v>assassin.nowhere@gmail.com</v>
      </c>
      <c r="C33" s="29" t="s">
        <v>74</v>
      </c>
      <c r="D33" s="14">
        <v>26</v>
      </c>
      <c r="E33" s="15">
        <f>58/60</f>
        <v>0.96666666666666667</v>
      </c>
      <c r="F33" s="15"/>
      <c r="G33" s="18">
        <v>25</v>
      </c>
      <c r="H33" s="16"/>
      <c r="I33" s="18">
        <v>2</v>
      </c>
      <c r="J33" s="18">
        <v>7.5</v>
      </c>
      <c r="K33" s="18">
        <f t="shared" si="0"/>
        <v>18.5</v>
      </c>
      <c r="L33" s="19"/>
      <c r="M33" s="28"/>
      <c r="N33" s="14">
        <v>11</v>
      </c>
    </row>
    <row r="34" spans="1:16" ht="21" customHeight="1" x14ac:dyDescent="0.25">
      <c r="A34" s="12" t="s">
        <v>75</v>
      </c>
      <c r="B34" s="12" t="str">
        <f>VLOOKUP(A34,[1]Sheet1!$A$1:$B$69,2,0)</f>
        <v>hai.ha@hoplongtech.com.vn</v>
      </c>
      <c r="C34" s="29" t="s">
        <v>76</v>
      </c>
      <c r="D34" s="14">
        <v>26</v>
      </c>
      <c r="E34" s="15">
        <f>51/60</f>
        <v>0.85</v>
      </c>
      <c r="F34" s="15"/>
      <c r="G34" s="18">
        <v>33</v>
      </c>
      <c r="H34" s="16"/>
      <c r="I34" s="18">
        <v>7</v>
      </c>
      <c r="J34" s="18">
        <v>0</v>
      </c>
      <c r="K34" s="18">
        <f t="shared" si="0"/>
        <v>26</v>
      </c>
      <c r="L34" s="19"/>
      <c r="M34" s="37"/>
      <c r="N34" s="14">
        <v>11</v>
      </c>
      <c r="P34" s="40"/>
    </row>
    <row r="35" spans="1:16" ht="21" customHeight="1" x14ac:dyDescent="0.25">
      <c r="A35" s="12" t="s">
        <v>77</v>
      </c>
      <c r="B35" s="12" t="str">
        <f>VLOOKUP(A35,[1]Sheet1!$A$1:$B$69,2,0)</f>
        <v>phuong.vu@hoplongtech.com.vn</v>
      </c>
      <c r="C35" s="13" t="s">
        <v>78</v>
      </c>
      <c r="D35" s="14">
        <v>26</v>
      </c>
      <c r="E35" s="24">
        <f>82/60</f>
        <v>1.3666666666666667</v>
      </c>
      <c r="F35" s="24"/>
      <c r="G35" s="18"/>
      <c r="H35" s="16"/>
      <c r="I35" s="18"/>
      <c r="J35" s="18">
        <v>1.5</v>
      </c>
      <c r="K35" s="18">
        <f t="shared" si="0"/>
        <v>24.5</v>
      </c>
      <c r="L35" s="19">
        <v>1000000</v>
      </c>
      <c r="M35" s="14"/>
      <c r="N35" s="14">
        <v>11</v>
      </c>
      <c r="O35" s="10"/>
      <c r="P35" s="10"/>
    </row>
    <row r="36" spans="1:16" ht="21" customHeight="1" x14ac:dyDescent="0.25">
      <c r="A36" s="12" t="s">
        <v>79</v>
      </c>
      <c r="B36" s="12" t="str">
        <f>VLOOKUP(A36,[1]Sheet1!$A$1:$B$69,2,0)</f>
        <v>dan@hoplongtech.com.vn</v>
      </c>
      <c r="C36" s="13" t="s">
        <v>80</v>
      </c>
      <c r="D36" s="14">
        <v>26</v>
      </c>
      <c r="E36" s="24">
        <f>247/60</f>
        <v>4.1166666666666663</v>
      </c>
      <c r="F36" s="24">
        <v>0.28333333333333333</v>
      </c>
      <c r="G36" s="18"/>
      <c r="H36" s="16"/>
      <c r="I36" s="18"/>
      <c r="J36" s="18">
        <v>0</v>
      </c>
      <c r="K36" s="18">
        <f t="shared" si="0"/>
        <v>26</v>
      </c>
      <c r="L36" s="19"/>
      <c r="M36" s="20"/>
      <c r="N36" s="14">
        <v>11</v>
      </c>
      <c r="O36" s="10"/>
      <c r="P36" s="10"/>
    </row>
    <row r="37" spans="1:16" ht="21" customHeight="1" x14ac:dyDescent="0.25">
      <c r="A37" s="12" t="s">
        <v>81</v>
      </c>
      <c r="B37" s="12" t="str">
        <f>VLOOKUP(A37,[1]Sheet1!$A$1:$B$69,2,0)</f>
        <v>huong.nguyen@hoplongtech.com.vn</v>
      </c>
      <c r="C37" s="13" t="s">
        <v>82</v>
      </c>
      <c r="D37" s="14">
        <v>26</v>
      </c>
      <c r="E37" s="15"/>
      <c r="F37" s="15"/>
      <c r="G37" s="18"/>
      <c r="H37" s="16"/>
      <c r="I37" s="18"/>
      <c r="J37" s="18">
        <v>0</v>
      </c>
      <c r="K37" s="18">
        <f t="shared" si="0"/>
        <v>26</v>
      </c>
      <c r="L37" s="19">
        <v>3500000</v>
      </c>
      <c r="M37" s="20" t="s">
        <v>153</v>
      </c>
      <c r="N37" s="14">
        <v>11</v>
      </c>
    </row>
    <row r="38" spans="1:16" s="11" customFormat="1" ht="21" customHeight="1" x14ac:dyDescent="0.25">
      <c r="A38" s="33" t="s">
        <v>83</v>
      </c>
      <c r="B38" s="12" t="str">
        <f>VLOOKUP(A38,[1]Sheet1!$A$1:$B$69,2,0)</f>
        <v>vung@hoplongtech.com.vn</v>
      </c>
      <c r="C38" s="29" t="s">
        <v>84</v>
      </c>
      <c r="D38" s="14">
        <v>26</v>
      </c>
      <c r="E38" s="34">
        <f>30/60</f>
        <v>0.5</v>
      </c>
      <c r="F38" s="35">
        <f>69/60</f>
        <v>1.1499999999999999</v>
      </c>
      <c r="G38" s="18"/>
      <c r="H38" s="16"/>
      <c r="I38" s="18"/>
      <c r="J38" s="18">
        <v>0</v>
      </c>
      <c r="K38" s="18">
        <f t="shared" si="0"/>
        <v>26</v>
      </c>
      <c r="L38" s="41"/>
      <c r="M38" s="38"/>
      <c r="N38" s="14">
        <v>11</v>
      </c>
      <c r="O38" s="21"/>
      <c r="P38" s="21"/>
    </row>
    <row r="39" spans="1:16" ht="21" customHeight="1" x14ac:dyDescent="0.25">
      <c r="A39" s="12" t="s">
        <v>85</v>
      </c>
      <c r="B39" s="12" t="str">
        <f>VLOOKUP(A39,[1]Sheet1!$A$1:$B$69,2,0)</f>
        <v>chung.hoplongtech@gmail.com</v>
      </c>
      <c r="C39" s="29" t="s">
        <v>86</v>
      </c>
      <c r="D39" s="14">
        <v>26</v>
      </c>
      <c r="E39" s="15"/>
      <c r="F39" s="15">
        <f>104/60</f>
        <v>1.7333333333333334</v>
      </c>
      <c r="G39" s="18">
        <v>15</v>
      </c>
      <c r="H39" s="16"/>
      <c r="I39" s="18"/>
      <c r="J39" s="18">
        <v>2</v>
      </c>
      <c r="K39" s="18">
        <f t="shared" si="0"/>
        <v>24</v>
      </c>
      <c r="L39" s="19"/>
      <c r="M39" s="37"/>
      <c r="N39" s="14">
        <v>11</v>
      </c>
    </row>
    <row r="40" spans="1:16" s="11" customFormat="1" ht="21" customHeight="1" x14ac:dyDescent="0.25">
      <c r="A40" s="33" t="s">
        <v>87</v>
      </c>
      <c r="B40" s="12" t="str">
        <f>VLOOKUP(A40,[1]Sheet1!$A$1:$B$69,2,0)</f>
        <v>hien@hoplongtech.com.vn</v>
      </c>
      <c r="C40" s="42" t="s">
        <v>88</v>
      </c>
      <c r="D40" s="14">
        <v>26</v>
      </c>
      <c r="E40" s="43">
        <f>19/60</f>
        <v>0.31666666666666665</v>
      </c>
      <c r="F40" s="43"/>
      <c r="G40" s="18"/>
      <c r="H40" s="16"/>
      <c r="I40" s="18"/>
      <c r="J40" s="18">
        <v>0.5</v>
      </c>
      <c r="K40" s="18">
        <f t="shared" si="0"/>
        <v>25.5</v>
      </c>
      <c r="L40" s="19"/>
      <c r="M40" s="33"/>
      <c r="N40" s="14">
        <v>11</v>
      </c>
      <c r="O40" s="21"/>
      <c r="P40" s="21"/>
    </row>
    <row r="41" spans="1:16" ht="21" customHeight="1" x14ac:dyDescent="0.25">
      <c r="A41" s="12" t="s">
        <v>89</v>
      </c>
      <c r="B41" s="12" t="str">
        <f>VLOOKUP(A41,[1]Sheet1!$A$1:$B$69,2,0)</f>
        <v>thanh.nguyen@hoplongtech.com.vn</v>
      </c>
      <c r="C41" s="13" t="s">
        <v>90</v>
      </c>
      <c r="D41" s="14">
        <v>26</v>
      </c>
      <c r="E41" s="24">
        <f>99/60</f>
        <v>1.65</v>
      </c>
      <c r="F41" s="15"/>
      <c r="G41" s="18"/>
      <c r="H41" s="16"/>
      <c r="I41" s="18">
        <v>2</v>
      </c>
      <c r="J41" s="18">
        <v>0.5</v>
      </c>
      <c r="K41" s="18">
        <f t="shared" si="0"/>
        <v>25.5</v>
      </c>
      <c r="L41" s="19">
        <v>3000000</v>
      </c>
      <c r="M41" s="28" t="s">
        <v>153</v>
      </c>
      <c r="N41" s="14">
        <v>11</v>
      </c>
      <c r="O41" s="44"/>
    </row>
    <row r="42" spans="1:16" s="11" customFormat="1" ht="21" customHeight="1" x14ac:dyDescent="0.25">
      <c r="A42" s="33" t="s">
        <v>91</v>
      </c>
      <c r="B42" s="12" t="str">
        <f>VLOOKUP(A42,[1]Sheet1!$A$1:$B$69,2,0)</f>
        <v>tiep@hoplongtech.com.vn</v>
      </c>
      <c r="C42" s="29" t="s">
        <v>92</v>
      </c>
      <c r="D42" s="19">
        <v>26</v>
      </c>
      <c r="E42" s="35"/>
      <c r="F42" s="35"/>
      <c r="G42" s="18"/>
      <c r="H42" s="16"/>
      <c r="I42" s="18"/>
      <c r="J42" s="18">
        <v>0</v>
      </c>
      <c r="K42" s="18">
        <f t="shared" si="0"/>
        <v>26</v>
      </c>
      <c r="L42" s="19"/>
      <c r="M42" s="38"/>
      <c r="N42" s="14">
        <v>11</v>
      </c>
      <c r="O42" s="10"/>
      <c r="P42" s="10"/>
    </row>
    <row r="43" spans="1:16" s="11" customFormat="1" ht="21" customHeight="1" x14ac:dyDescent="0.25">
      <c r="A43" s="33" t="s">
        <v>93</v>
      </c>
      <c r="B43" s="12" t="str">
        <f>VLOOKUP(A43,[1]Sheet1!$A$1:$B$69,2,0)</f>
        <v>loi@hoplongtech.com.vn</v>
      </c>
      <c r="C43" s="29" t="s">
        <v>94</v>
      </c>
      <c r="D43" s="14">
        <v>26</v>
      </c>
      <c r="E43" s="35">
        <f>140/60</f>
        <v>2.3333333333333335</v>
      </c>
      <c r="F43" s="35">
        <f>5/60</f>
        <v>8.3333333333333329E-2</v>
      </c>
      <c r="G43" s="18"/>
      <c r="H43" s="16"/>
      <c r="I43" s="18"/>
      <c r="J43" s="18">
        <v>1</v>
      </c>
      <c r="K43" s="18">
        <f t="shared" si="0"/>
        <v>25</v>
      </c>
      <c r="L43" s="19">
        <v>2000000</v>
      </c>
      <c r="M43" s="38"/>
      <c r="N43" s="14">
        <v>11</v>
      </c>
      <c r="O43" s="44"/>
      <c r="P43" s="21"/>
    </row>
    <row r="44" spans="1:16" ht="21" customHeight="1" x14ac:dyDescent="0.25">
      <c r="A44" s="12" t="s">
        <v>95</v>
      </c>
      <c r="B44" s="12" t="str">
        <f>VLOOKUP(A44,[1]Sheet1!$A$1:$B$69,2,0)</f>
        <v>khoa@hoplongtech.com.vn</v>
      </c>
      <c r="C44" s="29" t="s">
        <v>96</v>
      </c>
      <c r="D44" s="14">
        <v>26</v>
      </c>
      <c r="E44" s="15"/>
      <c r="F44" s="15"/>
      <c r="G44" s="18"/>
      <c r="H44" s="16"/>
      <c r="I44" s="18"/>
      <c r="J44" s="18">
        <v>0</v>
      </c>
      <c r="K44" s="18">
        <f t="shared" si="0"/>
        <v>26</v>
      </c>
      <c r="L44" s="19"/>
      <c r="M44" s="20"/>
      <c r="N44" s="14">
        <v>11</v>
      </c>
      <c r="O44" s="44"/>
    </row>
    <row r="45" spans="1:16" ht="21" customHeight="1" x14ac:dyDescent="0.25">
      <c r="A45" s="12" t="s">
        <v>97</v>
      </c>
      <c r="B45" s="12" t="str">
        <f>VLOOKUP(A45,[1]Sheet1!$A$1:$B$69,2,0)</f>
        <v>thanh@hoplongtech.com.vn</v>
      </c>
      <c r="C45" s="29" t="s">
        <v>98</v>
      </c>
      <c r="D45" s="14">
        <v>26</v>
      </c>
      <c r="E45" s="15">
        <f>56/60</f>
        <v>0.93333333333333335</v>
      </c>
      <c r="F45" s="15">
        <f>154/60</f>
        <v>2.5666666666666669</v>
      </c>
      <c r="G45" s="18"/>
      <c r="H45" s="16"/>
      <c r="I45" s="18">
        <v>2</v>
      </c>
      <c r="J45" s="18">
        <v>1</v>
      </c>
      <c r="K45" s="18">
        <f t="shared" si="0"/>
        <v>25</v>
      </c>
      <c r="L45" s="19"/>
      <c r="M45" s="20"/>
      <c r="N45" s="14">
        <v>11</v>
      </c>
      <c r="O45" s="44"/>
    </row>
    <row r="46" spans="1:16" ht="21" customHeight="1" x14ac:dyDescent="0.25">
      <c r="A46" s="12" t="s">
        <v>99</v>
      </c>
      <c r="B46" s="12" t="str">
        <f>VLOOKUP(A46,[1]Sheet1!$A$1:$B$69,2,0)</f>
        <v>luc@hoplongtech.com.vn</v>
      </c>
      <c r="C46" s="29" t="s">
        <v>100</v>
      </c>
      <c r="D46" s="14">
        <v>26</v>
      </c>
      <c r="E46" s="15">
        <f>85/60</f>
        <v>1.4166666666666667</v>
      </c>
      <c r="F46" s="15">
        <f>122/60</f>
        <v>2.0333333333333332</v>
      </c>
      <c r="G46" s="18">
        <v>19</v>
      </c>
      <c r="H46" s="16"/>
      <c r="I46" s="18"/>
      <c r="J46" s="18">
        <v>1</v>
      </c>
      <c r="K46" s="18">
        <f t="shared" si="0"/>
        <v>25</v>
      </c>
      <c r="L46" s="19"/>
      <c r="M46" s="37"/>
      <c r="N46" s="14">
        <v>11</v>
      </c>
    </row>
    <row r="47" spans="1:16" ht="21" customHeight="1" x14ac:dyDescent="0.25">
      <c r="A47" s="12" t="s">
        <v>101</v>
      </c>
      <c r="B47" s="12" t="str">
        <f>VLOOKUP(A47,[1]Sheet1!$A$1:$B$69,2,0)</f>
        <v>ninhta@hoplongtech.com.vn</v>
      </c>
      <c r="C47" s="45" t="s">
        <v>102</v>
      </c>
      <c r="D47" s="14">
        <v>26</v>
      </c>
      <c r="E47" s="15"/>
      <c r="F47" s="15"/>
      <c r="G47" s="18"/>
      <c r="H47" s="16"/>
      <c r="I47" s="18"/>
      <c r="J47" s="18">
        <v>0</v>
      </c>
      <c r="K47" s="18">
        <f t="shared" si="0"/>
        <v>26</v>
      </c>
      <c r="L47" s="19"/>
      <c r="M47" s="28"/>
      <c r="N47" s="14">
        <v>11</v>
      </c>
    </row>
    <row r="48" spans="1:16" ht="21" customHeight="1" x14ac:dyDescent="0.25">
      <c r="A48" s="12" t="s">
        <v>103</v>
      </c>
      <c r="B48" s="12" t="str">
        <f>VLOOKUP(A48,[1]Sheet1!$A$1:$B$69,2,0)</f>
        <v>ngoctien2582@gmail.com</v>
      </c>
      <c r="C48" s="46" t="s">
        <v>104</v>
      </c>
      <c r="D48" s="14">
        <v>26</v>
      </c>
      <c r="E48" s="15">
        <f>610/60</f>
        <v>10.166666666666666</v>
      </c>
      <c r="F48" s="15"/>
      <c r="G48" s="18"/>
      <c r="H48" s="16"/>
      <c r="I48" s="18"/>
      <c r="J48" s="18">
        <v>1</v>
      </c>
      <c r="K48" s="18">
        <f t="shared" si="0"/>
        <v>25</v>
      </c>
      <c r="L48" s="19">
        <v>500000</v>
      </c>
      <c r="M48" s="20"/>
      <c r="N48" s="14">
        <v>11</v>
      </c>
    </row>
    <row r="49" spans="1:24" ht="21" customHeight="1" x14ac:dyDescent="0.25">
      <c r="A49" s="12" t="s">
        <v>105</v>
      </c>
      <c r="B49" s="12" t="str">
        <f>VLOOKUP(A49,[1]Sheet1!$A$1:$B$69,2,0)</f>
        <v>haint@hoplongtech.com.vn</v>
      </c>
      <c r="C49" s="46" t="s">
        <v>106</v>
      </c>
      <c r="D49" s="14">
        <v>26</v>
      </c>
      <c r="E49" s="15">
        <f>75/60</f>
        <v>1.25</v>
      </c>
      <c r="F49" s="15"/>
      <c r="G49" s="18"/>
      <c r="H49" s="16"/>
      <c r="I49" s="18"/>
      <c r="J49" s="18">
        <v>0</v>
      </c>
      <c r="K49" s="18">
        <f t="shared" si="0"/>
        <v>26</v>
      </c>
      <c r="L49" s="19"/>
      <c r="M49" s="20"/>
      <c r="N49" s="14">
        <v>11</v>
      </c>
      <c r="O49" s="47"/>
      <c r="P49" s="47"/>
    </row>
    <row r="50" spans="1:24" ht="21" customHeight="1" x14ac:dyDescent="0.25">
      <c r="A50" s="12" t="s">
        <v>107</v>
      </c>
      <c r="B50" s="12" t="str">
        <f>VLOOKUP(A50,[1]Sheet1!$A$1:$B$69,2,0)</f>
        <v>Dang@hoplongtech.com.vn</v>
      </c>
      <c r="C50" s="42" t="s">
        <v>108</v>
      </c>
      <c r="D50" s="14">
        <v>26</v>
      </c>
      <c r="E50" s="15"/>
      <c r="F50" s="15"/>
      <c r="G50" s="18"/>
      <c r="H50" s="16"/>
      <c r="I50" s="18"/>
      <c r="J50" s="18">
        <v>0.5</v>
      </c>
      <c r="K50" s="18">
        <f t="shared" si="0"/>
        <v>25.5</v>
      </c>
      <c r="L50" s="19"/>
      <c r="M50" s="28"/>
      <c r="N50" s="14">
        <v>11</v>
      </c>
    </row>
    <row r="51" spans="1:24" ht="27.75" customHeight="1" x14ac:dyDescent="0.25">
      <c r="A51" s="12" t="s">
        <v>109</v>
      </c>
      <c r="B51" s="12" t="str">
        <f>VLOOKUP(A51,[1]Sheet1!$A$1:$B$69,2,0)</f>
        <v>trjnhgja151@gmail.com</v>
      </c>
      <c r="C51" s="45" t="s">
        <v>110</v>
      </c>
      <c r="D51" s="14">
        <v>26</v>
      </c>
      <c r="E51" s="15">
        <f>50/60</f>
        <v>0.83333333333333337</v>
      </c>
      <c r="F51" s="15"/>
      <c r="G51" s="18"/>
      <c r="H51" s="16"/>
      <c r="I51" s="18">
        <v>10</v>
      </c>
      <c r="J51" s="18">
        <v>2</v>
      </c>
      <c r="K51" s="18">
        <f t="shared" si="0"/>
        <v>24</v>
      </c>
      <c r="L51" s="19">
        <v>1000000</v>
      </c>
      <c r="M51" s="28" t="s">
        <v>159</v>
      </c>
      <c r="N51" s="14">
        <v>11</v>
      </c>
    </row>
    <row r="52" spans="1:24" ht="21" customHeight="1" x14ac:dyDescent="0.25">
      <c r="A52" s="12" t="s">
        <v>111</v>
      </c>
      <c r="B52" s="12" t="str">
        <f>VLOOKUP(A52,[1]Sheet1!$A$1:$B$69,2,0)</f>
        <v xml:space="preserve"> cuongdang.hoplong@gmail.com</v>
      </c>
      <c r="C52" s="45" t="s">
        <v>112</v>
      </c>
      <c r="D52" s="14">
        <v>26</v>
      </c>
      <c r="E52" s="15"/>
      <c r="F52" s="15"/>
      <c r="G52" s="18"/>
      <c r="H52" s="16"/>
      <c r="I52" s="18">
        <v>8</v>
      </c>
      <c r="J52" s="18">
        <v>1</v>
      </c>
      <c r="K52" s="18">
        <f t="shared" si="0"/>
        <v>25</v>
      </c>
      <c r="L52" s="19"/>
      <c r="M52" s="20"/>
      <c r="N52" s="14">
        <v>11</v>
      </c>
    </row>
    <row r="53" spans="1:24" s="48" customFormat="1" ht="36.75" customHeight="1" x14ac:dyDescent="0.25">
      <c r="A53" s="20" t="s">
        <v>113</v>
      </c>
      <c r="B53" s="12" t="str">
        <f>VLOOKUP(A53,[1]Sheet1!$A$1:$B$69,2,0)</f>
        <v>duongnd1604@gmail.com</v>
      </c>
      <c r="C53" s="46" t="s">
        <v>114</v>
      </c>
      <c r="D53" s="14">
        <v>26</v>
      </c>
      <c r="E53" s="15">
        <f>207/60</f>
        <v>3.45</v>
      </c>
      <c r="F53" s="15"/>
      <c r="G53" s="18">
        <v>7</v>
      </c>
      <c r="H53" s="16"/>
      <c r="I53" s="18">
        <v>10</v>
      </c>
      <c r="J53" s="18">
        <v>1</v>
      </c>
      <c r="K53" s="18">
        <f>D53-J53</f>
        <v>25</v>
      </c>
      <c r="L53" s="19"/>
      <c r="M53" s="28" t="s">
        <v>161</v>
      </c>
      <c r="N53" s="14">
        <v>11</v>
      </c>
      <c r="O53" s="21"/>
      <c r="P53" s="21"/>
      <c r="Q53" s="22"/>
      <c r="R53" s="22"/>
      <c r="S53" s="22"/>
      <c r="T53" s="22"/>
      <c r="U53" s="22"/>
      <c r="V53" s="22"/>
      <c r="W53" s="22"/>
      <c r="X53" s="22"/>
    </row>
    <row r="54" spans="1:24" s="48" customFormat="1" ht="21" customHeight="1" x14ac:dyDescent="0.25">
      <c r="A54" s="20" t="s">
        <v>99</v>
      </c>
      <c r="B54" s="12" t="str">
        <f>VLOOKUP(A54,[1]Sheet1!$A$1:$B$69,2,0)</f>
        <v>luc@hoplongtech.com.vn</v>
      </c>
      <c r="C54" s="13" t="s">
        <v>116</v>
      </c>
      <c r="D54" s="14">
        <v>26</v>
      </c>
      <c r="E54" s="15">
        <f>152/60</f>
        <v>2.5333333333333332</v>
      </c>
      <c r="F54" s="15">
        <f>11/60</f>
        <v>0.18333333333333332</v>
      </c>
      <c r="G54" s="18"/>
      <c r="H54" s="16"/>
      <c r="I54" s="18"/>
      <c r="J54" s="18">
        <v>4.5</v>
      </c>
      <c r="K54" s="18">
        <f t="shared" si="0"/>
        <v>21.5</v>
      </c>
      <c r="L54" s="19"/>
      <c r="M54" s="20"/>
      <c r="N54" s="14">
        <v>11</v>
      </c>
      <c r="O54" s="21"/>
      <c r="P54" s="21"/>
      <c r="Q54" s="22"/>
      <c r="R54" s="22"/>
      <c r="S54" s="22"/>
      <c r="T54" s="22"/>
      <c r="U54" s="22"/>
      <c r="V54" s="22"/>
      <c r="W54" s="22"/>
      <c r="X54" s="22"/>
    </row>
    <row r="55" spans="1:24" s="49" customFormat="1" ht="21" customHeight="1" x14ac:dyDescent="0.25">
      <c r="A55" s="38" t="s">
        <v>117</v>
      </c>
      <c r="B55" s="12" t="s">
        <v>118</v>
      </c>
      <c r="C55" s="29" t="s">
        <v>119</v>
      </c>
      <c r="D55" s="19">
        <v>26</v>
      </c>
      <c r="E55" s="35">
        <f>26/60</f>
        <v>0.43333333333333335</v>
      </c>
      <c r="F55" s="35"/>
      <c r="G55" s="18">
        <v>7.5</v>
      </c>
      <c r="H55" s="16"/>
      <c r="I55" s="18"/>
      <c r="J55" s="18">
        <v>2</v>
      </c>
      <c r="K55" s="18">
        <f t="shared" si="0"/>
        <v>24</v>
      </c>
      <c r="L55" s="19"/>
      <c r="M55" s="38"/>
      <c r="N55" s="14">
        <v>11</v>
      </c>
      <c r="O55" s="10"/>
      <c r="P55" s="10"/>
      <c r="Q55" s="11"/>
      <c r="R55" s="11"/>
      <c r="S55" s="11"/>
      <c r="T55" s="11"/>
      <c r="U55" s="11"/>
      <c r="V55" s="11"/>
      <c r="W55" s="11"/>
      <c r="X55" s="11"/>
    </row>
    <row r="56" spans="1:24" s="48" customFormat="1" ht="21" customHeight="1" x14ac:dyDescent="0.25">
      <c r="A56" s="20" t="s">
        <v>120</v>
      </c>
      <c r="B56" s="12" t="str">
        <f>VLOOKUP(A56,[1]Sheet1!$A$1:$B$69,2,0)</f>
        <v>hoa@hoplongtech.com.vn</v>
      </c>
      <c r="C56" s="13" t="s">
        <v>121</v>
      </c>
      <c r="D56" s="14">
        <v>26</v>
      </c>
      <c r="E56" s="15"/>
      <c r="F56" s="15"/>
      <c r="G56" s="18">
        <v>7</v>
      </c>
      <c r="H56" s="16"/>
      <c r="I56" s="18"/>
      <c r="J56" s="18">
        <v>0.5</v>
      </c>
      <c r="K56" s="18">
        <f t="shared" si="0"/>
        <v>25.5</v>
      </c>
      <c r="L56" s="19"/>
      <c r="M56" s="20"/>
      <c r="N56" s="14">
        <v>11</v>
      </c>
      <c r="O56" s="21"/>
      <c r="P56" s="21"/>
      <c r="Q56" s="22"/>
      <c r="R56" s="22"/>
      <c r="S56" s="22"/>
      <c r="T56" s="22"/>
      <c r="U56" s="22"/>
      <c r="V56" s="22"/>
      <c r="W56" s="22"/>
      <c r="X56" s="22"/>
    </row>
    <row r="57" spans="1:24" s="48" customFormat="1" ht="21" customHeight="1" x14ac:dyDescent="0.25">
      <c r="A57" s="20" t="s">
        <v>122</v>
      </c>
      <c r="B57" s="12" t="str">
        <f>VLOOKUP(A57,[1]Sheet1!$A$1:$B$69,2,0)</f>
        <v>trainguyennd@gmail.com</v>
      </c>
      <c r="C57" s="13" t="s">
        <v>123</v>
      </c>
      <c r="D57" s="14">
        <v>26</v>
      </c>
      <c r="E57" s="15"/>
      <c r="F57" s="15"/>
      <c r="G57" s="18">
        <v>35</v>
      </c>
      <c r="H57" s="16"/>
      <c r="I57" s="18">
        <v>2</v>
      </c>
      <c r="J57" s="18">
        <v>3</v>
      </c>
      <c r="K57" s="18">
        <f t="shared" si="0"/>
        <v>23</v>
      </c>
      <c r="L57" s="19"/>
      <c r="M57" s="37"/>
      <c r="N57" s="14">
        <v>11</v>
      </c>
      <c r="O57" s="21"/>
      <c r="P57" s="21"/>
      <c r="Q57" s="22"/>
      <c r="R57" s="22"/>
      <c r="S57" s="22"/>
      <c r="T57" s="22"/>
      <c r="U57" s="22"/>
      <c r="V57" s="22"/>
      <c r="W57" s="22"/>
      <c r="X57" s="22"/>
    </row>
    <row r="58" spans="1:24" s="48" customFormat="1" ht="21" customHeight="1" x14ac:dyDescent="0.25">
      <c r="A58" s="20" t="s">
        <v>124</v>
      </c>
      <c r="B58" s="12" t="str">
        <f>VLOOKUP(A58,[1]Sheet1!$A$1:$B$69,2,0)</f>
        <v>Nicodatinh92@gmail.com</v>
      </c>
      <c r="C58" s="13" t="s">
        <v>152</v>
      </c>
      <c r="D58" s="14">
        <v>26</v>
      </c>
      <c r="E58" s="15"/>
      <c r="F58" s="15"/>
      <c r="G58" s="18">
        <v>2</v>
      </c>
      <c r="H58" s="16"/>
      <c r="I58" s="18">
        <v>1</v>
      </c>
      <c r="J58" s="18">
        <v>3</v>
      </c>
      <c r="K58" s="18">
        <f t="shared" si="0"/>
        <v>23</v>
      </c>
      <c r="L58" s="19"/>
      <c r="M58" s="28"/>
      <c r="N58" s="14">
        <v>11</v>
      </c>
      <c r="O58" s="21"/>
      <c r="P58" s="21"/>
      <c r="Q58" s="22"/>
      <c r="R58" s="22"/>
      <c r="S58" s="22"/>
      <c r="T58" s="22"/>
      <c r="U58" s="22"/>
      <c r="V58" s="22"/>
      <c r="W58" s="22"/>
      <c r="X58" s="22"/>
    </row>
    <row r="59" spans="1:24" s="48" customFormat="1" ht="21" customHeight="1" x14ac:dyDescent="0.25">
      <c r="A59" s="20" t="s">
        <v>126</v>
      </c>
      <c r="B59" s="12" t="str">
        <f>VLOOKUP(A59,[1]Sheet1!$A$1:$B$69,2,0)</f>
        <v>nguyenvandinh31071996@gmail.com</v>
      </c>
      <c r="C59" s="13" t="s">
        <v>127</v>
      </c>
      <c r="D59" s="14">
        <v>26</v>
      </c>
      <c r="E59" s="15">
        <f>17/60</f>
        <v>0.28333333333333333</v>
      </c>
      <c r="F59" s="15"/>
      <c r="G59" s="18">
        <v>8</v>
      </c>
      <c r="H59" s="16"/>
      <c r="I59" s="18"/>
      <c r="J59" s="18">
        <v>5</v>
      </c>
      <c r="K59" s="18">
        <f t="shared" si="0"/>
        <v>21</v>
      </c>
      <c r="L59" s="19"/>
      <c r="M59" s="28"/>
      <c r="N59" s="14">
        <v>11</v>
      </c>
      <c r="O59" s="21"/>
      <c r="P59" s="21"/>
      <c r="Q59" s="22"/>
      <c r="R59" s="22"/>
      <c r="S59" s="22"/>
      <c r="T59" s="22"/>
      <c r="U59" s="22"/>
      <c r="V59" s="22"/>
      <c r="W59" s="22"/>
      <c r="X59" s="22"/>
    </row>
    <row r="60" spans="1:24" s="48" customFormat="1" ht="21" customHeight="1" x14ac:dyDescent="0.25">
      <c r="A60" s="20" t="s">
        <v>128</v>
      </c>
      <c r="B60" s="12" t="str">
        <f>VLOOKUP(A60,[1]Sheet1!$A$1:$B$69,2,0)</f>
        <v>mung@hoplongtech.com.vn</v>
      </c>
      <c r="C60" s="13" t="s">
        <v>129</v>
      </c>
      <c r="D60" s="14">
        <v>26</v>
      </c>
      <c r="E60" s="15">
        <f>7/60</f>
        <v>0.11666666666666667</v>
      </c>
      <c r="F60" s="15"/>
      <c r="G60" s="18"/>
      <c r="H60" s="16"/>
      <c r="I60" s="18"/>
      <c r="J60" s="18">
        <v>0</v>
      </c>
      <c r="K60" s="18">
        <f t="shared" si="0"/>
        <v>26</v>
      </c>
      <c r="L60" s="19"/>
      <c r="M60" s="20"/>
      <c r="N60" s="14">
        <v>11</v>
      </c>
      <c r="O60" s="21"/>
      <c r="P60" s="21"/>
      <c r="Q60" s="22"/>
      <c r="R60" s="22"/>
      <c r="S60" s="22"/>
      <c r="T60" s="22"/>
      <c r="U60" s="22"/>
      <c r="V60" s="22"/>
      <c r="W60" s="22"/>
      <c r="X60" s="22"/>
    </row>
    <row r="61" spans="1:24" s="48" customFormat="1" ht="21" customHeight="1" x14ac:dyDescent="0.25">
      <c r="A61" s="20" t="s">
        <v>130</v>
      </c>
      <c r="B61" s="12" t="str">
        <f>VLOOKUP(A61,[1]Sheet1!$A$1:$B$69,2,0)</f>
        <v>Trang.nguyen@hoplongtech.com.vn</v>
      </c>
      <c r="C61" s="13" t="s">
        <v>131</v>
      </c>
      <c r="D61" s="14">
        <v>26</v>
      </c>
      <c r="E61" s="15">
        <f>38/60</f>
        <v>0.6333333333333333</v>
      </c>
      <c r="F61" s="15"/>
      <c r="G61" s="18"/>
      <c r="H61" s="16"/>
      <c r="I61" s="18"/>
      <c r="J61" s="18">
        <v>1.5</v>
      </c>
      <c r="K61" s="18">
        <f t="shared" si="0"/>
        <v>24.5</v>
      </c>
      <c r="L61" s="19"/>
      <c r="M61" s="20"/>
      <c r="N61" s="14">
        <v>11</v>
      </c>
      <c r="O61" s="21"/>
      <c r="P61" s="21"/>
      <c r="Q61" s="22"/>
      <c r="R61" s="22"/>
      <c r="S61" s="22"/>
      <c r="T61" s="22"/>
      <c r="U61" s="22"/>
      <c r="V61" s="22"/>
      <c r="W61" s="22"/>
      <c r="X61" s="22"/>
    </row>
    <row r="62" spans="1:24" s="48" customFormat="1" ht="21" customHeight="1" x14ac:dyDescent="0.25">
      <c r="A62" s="20" t="s">
        <v>132</v>
      </c>
      <c r="B62" s="12" t="str">
        <f>VLOOKUP(A62,[1]Sheet1!$A$1:$B$69,2,0)</f>
        <v>luc.le@hoplongtech.com.vn</v>
      </c>
      <c r="C62" s="13" t="s">
        <v>133</v>
      </c>
      <c r="D62" s="14">
        <v>26</v>
      </c>
      <c r="E62" s="15">
        <f>83/60</f>
        <v>1.3833333333333333</v>
      </c>
      <c r="F62" s="15">
        <f>16/60</f>
        <v>0.26666666666666666</v>
      </c>
      <c r="G62" s="18"/>
      <c r="H62" s="16"/>
      <c r="I62" s="18"/>
      <c r="J62" s="18">
        <v>0</v>
      </c>
      <c r="K62" s="18">
        <f t="shared" si="0"/>
        <v>26</v>
      </c>
      <c r="L62" s="19"/>
      <c r="M62" s="28"/>
      <c r="N62" s="14">
        <v>11</v>
      </c>
      <c r="O62" s="21"/>
      <c r="P62" s="21"/>
      <c r="Q62" s="22"/>
      <c r="R62" s="22"/>
      <c r="S62" s="22"/>
      <c r="T62" s="22"/>
      <c r="U62" s="22"/>
      <c r="V62" s="22"/>
      <c r="W62" s="22"/>
      <c r="X62" s="22"/>
    </row>
    <row r="63" spans="1:24" s="48" customFormat="1" ht="21" customHeight="1" x14ac:dyDescent="0.25">
      <c r="A63" s="20" t="s">
        <v>134</v>
      </c>
      <c r="B63" s="12" t="str">
        <f>VLOOKUP(A63,[1]Sheet1!$A$1:$B$69,2,0)</f>
        <v>quynh@hoplongtech.com.vn</v>
      </c>
      <c r="C63" s="13" t="s">
        <v>135</v>
      </c>
      <c r="D63" s="14">
        <v>26</v>
      </c>
      <c r="E63" s="15">
        <f>6/60</f>
        <v>0.1</v>
      </c>
      <c r="F63" s="15"/>
      <c r="G63" s="18"/>
      <c r="H63" s="16"/>
      <c r="I63" s="18">
        <v>2</v>
      </c>
      <c r="J63" s="18">
        <v>0.5</v>
      </c>
      <c r="K63" s="18">
        <f t="shared" si="0"/>
        <v>25.5</v>
      </c>
      <c r="L63" s="19"/>
      <c r="M63" s="28"/>
      <c r="N63" s="14">
        <v>11</v>
      </c>
      <c r="O63" s="21"/>
      <c r="P63" s="21"/>
      <c r="Q63" s="22"/>
      <c r="R63" s="22"/>
      <c r="S63" s="22"/>
      <c r="T63" s="22"/>
      <c r="U63" s="22"/>
      <c r="V63" s="22"/>
      <c r="W63" s="22"/>
      <c r="X63" s="22"/>
    </row>
    <row r="64" spans="1:24" ht="21" customHeight="1" x14ac:dyDescent="0.25">
      <c r="A64" s="12" t="s">
        <v>136</v>
      </c>
      <c r="B64" s="12" t="str">
        <f>VLOOKUP(A64,[1]Sheet1!$A$1:$B$69,2,0)</f>
        <v>lamhien2901@gmail.com</v>
      </c>
      <c r="C64" s="13" t="s">
        <v>137</v>
      </c>
      <c r="D64" s="14">
        <v>26</v>
      </c>
      <c r="E64" s="15">
        <f>95/60</f>
        <v>1.5833333333333333</v>
      </c>
      <c r="F64" s="15"/>
      <c r="G64" s="18"/>
      <c r="H64" s="16"/>
      <c r="I64" s="18"/>
      <c r="J64" s="18">
        <v>1</v>
      </c>
      <c r="K64" s="18">
        <f t="shared" si="0"/>
        <v>25</v>
      </c>
      <c r="L64" s="19"/>
      <c r="M64" s="20"/>
      <c r="N64" s="14">
        <v>11</v>
      </c>
    </row>
    <row r="65" spans="1:14" ht="21" customHeight="1" x14ac:dyDescent="0.25">
      <c r="A65" s="12" t="s">
        <v>138</v>
      </c>
      <c r="B65" s="12" t="str">
        <f>VLOOKUP(A65,[1]Sheet1!$A$1:$B$69,2,0)</f>
        <v>export@hoplongtech.com.vn</v>
      </c>
      <c r="C65" s="13" t="s">
        <v>154</v>
      </c>
      <c r="D65" s="14">
        <v>26</v>
      </c>
      <c r="E65" s="15">
        <f>28/60</f>
        <v>0.46666666666666667</v>
      </c>
      <c r="F65" s="15"/>
      <c r="G65" s="18"/>
      <c r="H65" s="16"/>
      <c r="I65" s="18">
        <v>1</v>
      </c>
      <c r="J65" s="18">
        <v>1</v>
      </c>
      <c r="K65" s="18">
        <f t="shared" si="0"/>
        <v>25</v>
      </c>
      <c r="L65" s="19"/>
      <c r="M65" s="20"/>
      <c r="N65" s="14">
        <v>11</v>
      </c>
    </row>
    <row r="66" spans="1:14" ht="21" customHeight="1" x14ac:dyDescent="0.25">
      <c r="A66" s="12" t="s">
        <v>140</v>
      </c>
      <c r="B66" s="12" t="str">
        <f>VLOOKUP(A66,[1]Sheet1!$A$1:$B$69,2,0)</f>
        <v>vuvinh6@gmail.com</v>
      </c>
      <c r="C66" s="13" t="s">
        <v>141</v>
      </c>
      <c r="D66" s="14">
        <v>11</v>
      </c>
      <c r="E66" s="15"/>
      <c r="F66" s="15"/>
      <c r="G66" s="18">
        <v>2</v>
      </c>
      <c r="H66" s="16"/>
      <c r="I66" s="18">
        <v>2</v>
      </c>
      <c r="J66" s="18">
        <v>4.5</v>
      </c>
      <c r="K66" s="18">
        <f t="shared" si="0"/>
        <v>6.5</v>
      </c>
      <c r="L66" s="19"/>
      <c r="M66" s="20" t="s">
        <v>155</v>
      </c>
      <c r="N66" s="14">
        <v>11</v>
      </c>
    </row>
    <row r="67" spans="1:14" ht="21" customHeight="1" x14ac:dyDescent="0.25">
      <c r="A67" s="12" t="s">
        <v>142</v>
      </c>
      <c r="B67" s="12" t="str">
        <f>VLOOKUP(A67,[1]Sheet1!$A$1:$B$69,2,0)</f>
        <v>phamhau0794@gmail.com</v>
      </c>
      <c r="C67" s="13" t="s">
        <v>143</v>
      </c>
      <c r="D67" s="14">
        <v>26</v>
      </c>
      <c r="E67" s="15">
        <f>1/60</f>
        <v>1.6666666666666666E-2</v>
      </c>
      <c r="F67" s="15"/>
      <c r="G67" s="18">
        <v>48.5</v>
      </c>
      <c r="H67" s="16"/>
      <c r="I67" s="18">
        <v>2</v>
      </c>
      <c r="J67" s="18">
        <v>1</v>
      </c>
      <c r="K67" s="18">
        <f t="shared" si="0"/>
        <v>25</v>
      </c>
      <c r="L67" s="19"/>
      <c r="M67" s="20"/>
      <c r="N67" s="14">
        <v>11</v>
      </c>
    </row>
    <row r="68" spans="1:14" s="21" customFormat="1" ht="21" customHeight="1" x14ac:dyDescent="0.25">
      <c r="A68" s="12" t="s">
        <v>144</v>
      </c>
      <c r="B68" s="12" t="str">
        <f>VLOOKUP(A68,[1]Sheet1!$A$1:$B$69,2,0)</f>
        <v>nguyenphuc.dcn@gmail.com</v>
      </c>
      <c r="C68" s="13" t="s">
        <v>145</v>
      </c>
      <c r="D68" s="14">
        <v>26</v>
      </c>
      <c r="E68" s="15">
        <f>6/60</f>
        <v>0.1</v>
      </c>
      <c r="F68" s="15"/>
      <c r="G68" s="18">
        <v>19</v>
      </c>
      <c r="H68" s="16"/>
      <c r="I68" s="18">
        <v>2</v>
      </c>
      <c r="J68" s="18">
        <v>4.5</v>
      </c>
      <c r="K68" s="18">
        <f t="shared" si="0"/>
        <v>21.5</v>
      </c>
      <c r="L68" s="19"/>
      <c r="M68" s="20"/>
      <c r="N68" s="14">
        <v>11</v>
      </c>
    </row>
    <row r="69" spans="1:14" s="21" customFormat="1" ht="21" customHeight="1" x14ac:dyDescent="0.25">
      <c r="A69" s="12" t="s">
        <v>146</v>
      </c>
      <c r="B69" s="12" t="str">
        <f>VLOOKUP(A69,[1]Sheet1!$A$1:$B$69,2,0)</f>
        <v>sales05@hoplongtech.com.vn</v>
      </c>
      <c r="C69" s="13" t="s">
        <v>147</v>
      </c>
      <c r="D69" s="14">
        <v>26</v>
      </c>
      <c r="E69" s="15">
        <f>16/60</f>
        <v>0.26666666666666666</v>
      </c>
      <c r="F69" s="15">
        <f>2/60</f>
        <v>3.3333333333333333E-2</v>
      </c>
      <c r="G69" s="18"/>
      <c r="H69" s="16"/>
      <c r="I69" s="18"/>
      <c r="J69" s="18">
        <v>1</v>
      </c>
      <c r="K69" s="18">
        <f t="shared" si="0"/>
        <v>25</v>
      </c>
      <c r="L69" s="19"/>
      <c r="M69" s="20"/>
      <c r="N69" s="14">
        <v>11</v>
      </c>
    </row>
    <row r="70" spans="1:14" s="21" customFormat="1" ht="21" customHeight="1" x14ac:dyDescent="0.25">
      <c r="A70" s="12" t="s">
        <v>149</v>
      </c>
      <c r="B70" s="75" t="s">
        <v>150</v>
      </c>
      <c r="C70" s="13" t="s">
        <v>151</v>
      </c>
      <c r="D70" s="14">
        <v>26</v>
      </c>
      <c r="E70" s="15">
        <f>11/60</f>
        <v>0.18333333333333332</v>
      </c>
      <c r="F70" s="15"/>
      <c r="G70" s="18">
        <v>11</v>
      </c>
      <c r="H70" s="16"/>
      <c r="I70" s="18"/>
      <c r="J70" s="18">
        <v>3</v>
      </c>
      <c r="K70" s="18">
        <f>D70-J70</f>
        <v>23</v>
      </c>
      <c r="L70" s="19"/>
      <c r="M70" s="20"/>
      <c r="N70" s="14">
        <v>11</v>
      </c>
    </row>
  </sheetData>
  <mergeCells count="1">
    <mergeCell ref="A2:N2"/>
  </mergeCells>
  <pageMargins left="0.7" right="0.7" top="0.75" bottom="0.75" header="0.3" footer="0.3"/>
  <pageSetup paperSize="9" orientation="landscape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topLeftCell="F1" workbookViewId="0">
      <selection activeCell="N1" sqref="N1"/>
    </sheetView>
  </sheetViews>
  <sheetFormatPr defaultRowHeight="15" x14ac:dyDescent="0.25"/>
  <cols>
    <col min="1" max="1" width="11.85546875" customWidth="1"/>
    <col min="2" max="2" width="17.28515625" style="88" customWidth="1"/>
    <col min="3" max="4" width="24.28515625" customWidth="1"/>
    <col min="5" max="5" width="37.42578125" style="92" customWidth="1"/>
    <col min="6" max="6" width="27.28515625" style="90" customWidth="1"/>
    <col min="7" max="7" width="26.28515625" customWidth="1"/>
    <col min="8" max="8" width="24" style="87" customWidth="1"/>
    <col min="9" max="9" width="22" customWidth="1"/>
    <col min="10" max="10" width="26.42578125" style="87" customWidth="1"/>
    <col min="11" max="11" width="11.85546875" customWidth="1"/>
    <col min="12" max="12" width="25" customWidth="1"/>
  </cols>
  <sheetData>
    <row r="1" spans="1:12" s="81" customFormat="1" ht="25.5" customHeight="1" x14ac:dyDescent="0.25">
      <c r="A1" s="76" t="s">
        <v>162</v>
      </c>
      <c r="B1" s="77" t="s">
        <v>163</v>
      </c>
      <c r="C1" s="78" t="s">
        <v>164</v>
      </c>
      <c r="D1" s="78" t="s">
        <v>176</v>
      </c>
      <c r="E1" s="91" t="s">
        <v>165</v>
      </c>
      <c r="F1" s="89" t="s">
        <v>166</v>
      </c>
      <c r="G1" s="79" t="s">
        <v>167</v>
      </c>
      <c r="H1" s="79" t="s">
        <v>168</v>
      </c>
      <c r="I1" s="79" t="s">
        <v>169</v>
      </c>
      <c r="J1" s="80" t="s">
        <v>170</v>
      </c>
      <c r="K1" s="78" t="s">
        <v>171</v>
      </c>
      <c r="L1" s="78" t="s">
        <v>172</v>
      </c>
    </row>
    <row r="2" spans="1:12" s="87" customFormat="1" ht="18.75" customHeight="1" x14ac:dyDescent="0.25">
      <c r="A2" s="82">
        <v>4</v>
      </c>
      <c r="B2" s="85">
        <v>27</v>
      </c>
      <c r="C2" s="24"/>
      <c r="D2" s="24"/>
      <c r="E2" s="93"/>
      <c r="F2" s="34"/>
      <c r="G2" s="83"/>
      <c r="H2" s="83"/>
      <c r="I2" s="83">
        <f>B2-H2</f>
        <v>27</v>
      </c>
      <c r="J2" s="19">
        <v>10000000</v>
      </c>
      <c r="K2" s="84" t="s">
        <v>173</v>
      </c>
      <c r="L2" s="85" t="s">
        <v>175</v>
      </c>
    </row>
    <row r="3" spans="1:12" s="87" customFormat="1" ht="18.75" customHeight="1" x14ac:dyDescent="0.25">
      <c r="A3" s="82">
        <v>26</v>
      </c>
      <c r="B3" s="85">
        <v>27</v>
      </c>
      <c r="C3" s="24"/>
      <c r="D3" s="24"/>
      <c r="E3" s="93"/>
      <c r="F3" s="34"/>
      <c r="G3" s="83"/>
      <c r="H3" s="83"/>
      <c r="I3" s="83">
        <f t="shared" ref="I3:I66" si="0">B3-H3</f>
        <v>27</v>
      </c>
      <c r="J3" s="19"/>
      <c r="K3" s="84"/>
      <c r="L3" s="85" t="s">
        <v>175</v>
      </c>
    </row>
    <row r="4" spans="1:12" s="87" customFormat="1" ht="18.75" customHeight="1" x14ac:dyDescent="0.25">
      <c r="A4" s="82">
        <v>27</v>
      </c>
      <c r="B4" s="85">
        <v>27</v>
      </c>
      <c r="C4" s="24">
        <f>116/60</f>
        <v>1.9333333333333333</v>
      </c>
      <c r="D4" s="24"/>
      <c r="E4" s="93"/>
      <c r="F4" s="34"/>
      <c r="G4" s="83"/>
      <c r="H4" s="83">
        <v>0</v>
      </c>
      <c r="I4" s="83">
        <f t="shared" si="0"/>
        <v>27</v>
      </c>
      <c r="J4" s="19"/>
      <c r="K4" s="86"/>
      <c r="L4" s="85" t="s">
        <v>175</v>
      </c>
    </row>
    <row r="5" spans="1:12" s="87" customFormat="1" ht="18.75" customHeight="1" x14ac:dyDescent="0.25">
      <c r="A5" s="82">
        <v>28</v>
      </c>
      <c r="B5" s="85">
        <v>27</v>
      </c>
      <c r="C5" s="24"/>
      <c r="D5" s="24"/>
      <c r="E5" s="93"/>
      <c r="F5" s="34"/>
      <c r="G5" s="83"/>
      <c r="H5" s="83"/>
      <c r="I5" s="83">
        <f t="shared" si="0"/>
        <v>27</v>
      </c>
      <c r="J5" s="19"/>
      <c r="K5" s="86"/>
      <c r="L5" s="85" t="s">
        <v>175</v>
      </c>
    </row>
    <row r="6" spans="1:12" s="87" customFormat="1" ht="18.75" customHeight="1" x14ac:dyDescent="0.25">
      <c r="A6" s="82">
        <v>5</v>
      </c>
      <c r="B6" s="85">
        <v>27</v>
      </c>
      <c r="C6" s="24"/>
      <c r="D6" s="24"/>
      <c r="E6" s="93"/>
      <c r="F6" s="34"/>
      <c r="G6" s="83"/>
      <c r="H6" s="83"/>
      <c r="I6" s="83">
        <f t="shared" si="0"/>
        <v>27</v>
      </c>
      <c r="J6" s="19"/>
      <c r="K6" s="86"/>
      <c r="L6" s="85" t="s">
        <v>175</v>
      </c>
    </row>
    <row r="7" spans="1:12" s="87" customFormat="1" ht="18.75" customHeight="1" x14ac:dyDescent="0.25">
      <c r="A7" s="82">
        <v>29</v>
      </c>
      <c r="B7" s="85">
        <v>27</v>
      </c>
      <c r="C7" s="24">
        <f>111/60</f>
        <v>1.85</v>
      </c>
      <c r="D7" s="24">
        <f>23/60</f>
        <v>0.38333333333333336</v>
      </c>
      <c r="E7" s="93"/>
      <c r="F7" s="34"/>
      <c r="G7" s="83"/>
      <c r="H7" s="83">
        <v>0</v>
      </c>
      <c r="I7" s="83">
        <f t="shared" si="0"/>
        <v>27</v>
      </c>
      <c r="J7" s="19"/>
      <c r="K7" s="86"/>
      <c r="L7" s="85" t="s">
        <v>175</v>
      </c>
    </row>
    <row r="8" spans="1:12" s="87" customFormat="1" ht="18.75" customHeight="1" x14ac:dyDescent="0.25">
      <c r="A8" s="82">
        <v>45</v>
      </c>
      <c r="B8" s="85">
        <v>27</v>
      </c>
      <c r="C8" s="24">
        <f>108/60</f>
        <v>1.8</v>
      </c>
      <c r="D8" s="24"/>
      <c r="E8" s="93"/>
      <c r="F8" s="34"/>
      <c r="G8" s="83"/>
      <c r="H8" s="83">
        <v>0</v>
      </c>
      <c r="I8" s="83">
        <f t="shared" si="0"/>
        <v>27</v>
      </c>
      <c r="J8" s="19">
        <v>2000000</v>
      </c>
      <c r="K8" s="20" t="s">
        <v>153</v>
      </c>
      <c r="L8" s="85" t="s">
        <v>175</v>
      </c>
    </row>
    <row r="9" spans="1:12" s="87" customFormat="1" ht="18.75" customHeight="1" x14ac:dyDescent="0.25">
      <c r="A9" s="82">
        <v>49</v>
      </c>
      <c r="B9" s="85">
        <v>27</v>
      </c>
      <c r="C9" s="24">
        <f>49/60</f>
        <v>0.81666666666666665</v>
      </c>
      <c r="D9" s="24">
        <f>38/60</f>
        <v>0.6333333333333333</v>
      </c>
      <c r="E9" s="93"/>
      <c r="F9" s="34"/>
      <c r="G9" s="83"/>
      <c r="H9" s="83">
        <v>1</v>
      </c>
      <c r="I9" s="83">
        <f t="shared" si="0"/>
        <v>26</v>
      </c>
      <c r="J9" s="19"/>
      <c r="K9" s="86"/>
      <c r="L9" s="85" t="s">
        <v>175</v>
      </c>
    </row>
    <row r="10" spans="1:12" s="87" customFormat="1" ht="18.75" customHeight="1" x14ac:dyDescent="0.25">
      <c r="A10" s="82">
        <v>54</v>
      </c>
      <c r="B10" s="85"/>
      <c r="C10" s="24"/>
      <c r="D10" s="24"/>
      <c r="E10" s="93"/>
      <c r="F10" s="34"/>
      <c r="G10" s="83"/>
      <c r="H10" s="83"/>
      <c r="I10" s="83"/>
      <c r="J10" s="19"/>
      <c r="K10" s="86"/>
      <c r="L10" s="85" t="s">
        <v>175</v>
      </c>
    </row>
    <row r="11" spans="1:12" s="87" customFormat="1" ht="18.75" customHeight="1" x14ac:dyDescent="0.25">
      <c r="A11" s="82">
        <v>31</v>
      </c>
      <c r="B11" s="85">
        <v>27</v>
      </c>
      <c r="C11" s="24">
        <f>134/60</f>
        <v>2.2333333333333334</v>
      </c>
      <c r="D11" s="24">
        <f>33/60</f>
        <v>0.55000000000000004</v>
      </c>
      <c r="E11" s="93"/>
      <c r="F11" s="34"/>
      <c r="G11" s="83">
        <v>1</v>
      </c>
      <c r="H11" s="83">
        <v>1</v>
      </c>
      <c r="I11" s="83">
        <f t="shared" si="0"/>
        <v>26</v>
      </c>
      <c r="J11" s="19"/>
      <c r="K11" s="86"/>
      <c r="L11" s="85" t="s">
        <v>175</v>
      </c>
    </row>
    <row r="12" spans="1:12" s="87" customFormat="1" ht="18.75" customHeight="1" x14ac:dyDescent="0.25">
      <c r="A12" s="82">
        <v>60</v>
      </c>
      <c r="B12" s="85">
        <v>27</v>
      </c>
      <c r="C12" s="24">
        <f>16/60</f>
        <v>0.26666666666666666</v>
      </c>
      <c r="D12" s="24"/>
      <c r="E12" s="93"/>
      <c r="F12" s="34"/>
      <c r="G12" s="83"/>
      <c r="H12" s="83">
        <v>1</v>
      </c>
      <c r="I12" s="83">
        <f t="shared" si="0"/>
        <v>26</v>
      </c>
      <c r="J12" s="19"/>
      <c r="K12" s="86"/>
      <c r="L12" s="85" t="s">
        <v>175</v>
      </c>
    </row>
    <row r="13" spans="1:12" s="87" customFormat="1" ht="18.75" customHeight="1" x14ac:dyDescent="0.25">
      <c r="A13" s="82">
        <v>30</v>
      </c>
      <c r="B13" s="85">
        <v>27</v>
      </c>
      <c r="C13" s="24"/>
      <c r="D13" s="24"/>
      <c r="E13" s="93"/>
      <c r="F13" s="34"/>
      <c r="G13" s="83">
        <v>1</v>
      </c>
      <c r="H13" s="83">
        <v>0.5</v>
      </c>
      <c r="I13" s="83">
        <f t="shared" si="0"/>
        <v>26.5</v>
      </c>
      <c r="J13" s="19"/>
      <c r="K13" s="86"/>
      <c r="L13" s="85" t="s">
        <v>175</v>
      </c>
    </row>
    <row r="14" spans="1:12" s="87" customFormat="1" ht="18.75" customHeight="1" x14ac:dyDescent="0.25">
      <c r="A14" s="82">
        <v>56</v>
      </c>
      <c r="B14" s="85">
        <v>27</v>
      </c>
      <c r="C14" s="24">
        <f>179/60</f>
        <v>2.9833333333333334</v>
      </c>
      <c r="D14" s="24"/>
      <c r="E14" s="93"/>
      <c r="F14" s="34"/>
      <c r="G14" s="83">
        <v>1</v>
      </c>
      <c r="H14" s="83">
        <v>3</v>
      </c>
      <c r="I14" s="83">
        <f t="shared" si="0"/>
        <v>24</v>
      </c>
      <c r="J14" s="19"/>
      <c r="K14" s="86"/>
      <c r="L14" s="85" t="s">
        <v>175</v>
      </c>
    </row>
    <row r="15" spans="1:12" s="87" customFormat="1" ht="18.75" customHeight="1" x14ac:dyDescent="0.25">
      <c r="A15" s="82">
        <v>55</v>
      </c>
      <c r="B15" s="85">
        <v>27</v>
      </c>
      <c r="C15" s="24">
        <f>14/60</f>
        <v>0.23333333333333334</v>
      </c>
      <c r="D15" s="24"/>
      <c r="E15" s="93">
        <v>4</v>
      </c>
      <c r="F15" s="34"/>
      <c r="G15" s="83">
        <v>1</v>
      </c>
      <c r="H15" s="83">
        <v>1</v>
      </c>
      <c r="I15" s="83">
        <f t="shared" si="0"/>
        <v>26</v>
      </c>
      <c r="J15" s="19">
        <v>1000000</v>
      </c>
      <c r="K15" s="86"/>
      <c r="L15" s="85" t="s">
        <v>175</v>
      </c>
    </row>
    <row r="16" spans="1:12" s="87" customFormat="1" ht="18.75" customHeight="1" x14ac:dyDescent="0.25">
      <c r="A16" s="82">
        <v>50</v>
      </c>
      <c r="B16" s="85">
        <v>27</v>
      </c>
      <c r="C16" s="24">
        <f>183/60</f>
        <v>3.05</v>
      </c>
      <c r="D16" s="24"/>
      <c r="E16" s="93"/>
      <c r="F16" s="34"/>
      <c r="G16" s="83"/>
      <c r="H16" s="83">
        <v>4</v>
      </c>
      <c r="I16" s="83">
        <f t="shared" si="0"/>
        <v>23</v>
      </c>
      <c r="J16" s="19"/>
      <c r="K16" s="86"/>
      <c r="L16" s="85" t="s">
        <v>175</v>
      </c>
    </row>
    <row r="17" spans="1:12" s="87" customFormat="1" ht="18.75" customHeight="1" x14ac:dyDescent="0.25">
      <c r="A17" s="82">
        <v>61</v>
      </c>
      <c r="B17" s="85">
        <v>27</v>
      </c>
      <c r="C17" s="24"/>
      <c r="D17" s="24"/>
      <c r="E17" s="93"/>
      <c r="F17" s="34"/>
      <c r="G17" s="83"/>
      <c r="H17" s="83">
        <v>0.5</v>
      </c>
      <c r="I17" s="83">
        <f t="shared" si="0"/>
        <v>26.5</v>
      </c>
      <c r="J17" s="19">
        <v>3000000</v>
      </c>
      <c r="K17" s="86"/>
      <c r="L17" s="85" t="s">
        <v>175</v>
      </c>
    </row>
    <row r="18" spans="1:12" s="87" customFormat="1" ht="18.75" customHeight="1" x14ac:dyDescent="0.25">
      <c r="A18" s="82">
        <v>32</v>
      </c>
      <c r="B18" s="85">
        <v>27</v>
      </c>
      <c r="C18" s="24">
        <f>9/60</f>
        <v>0.15</v>
      </c>
      <c r="D18" s="24"/>
      <c r="E18" s="93"/>
      <c r="F18" s="34"/>
      <c r="G18" s="83">
        <v>1</v>
      </c>
      <c r="H18" s="83">
        <v>0</v>
      </c>
      <c r="I18" s="83">
        <f t="shared" si="0"/>
        <v>27</v>
      </c>
      <c r="J18" s="19"/>
      <c r="K18" s="86"/>
      <c r="L18" s="85" t="s">
        <v>175</v>
      </c>
    </row>
    <row r="19" spans="1:12" s="87" customFormat="1" ht="18.75" customHeight="1" x14ac:dyDescent="0.25">
      <c r="A19" s="82">
        <v>14</v>
      </c>
      <c r="B19" s="85">
        <v>27</v>
      </c>
      <c r="C19" s="24"/>
      <c r="D19" s="24"/>
      <c r="E19" s="93">
        <v>62.5</v>
      </c>
      <c r="F19" s="34"/>
      <c r="G19" s="83"/>
      <c r="H19" s="83">
        <v>0</v>
      </c>
      <c r="I19" s="83">
        <f t="shared" si="0"/>
        <v>27</v>
      </c>
      <c r="J19" s="19"/>
      <c r="K19" s="86"/>
      <c r="L19" s="85" t="s">
        <v>175</v>
      </c>
    </row>
    <row r="20" spans="1:12" s="87" customFormat="1" ht="18.75" customHeight="1" x14ac:dyDescent="0.25">
      <c r="A20" s="82">
        <v>15</v>
      </c>
      <c r="B20" s="85">
        <v>27</v>
      </c>
      <c r="C20" s="24"/>
      <c r="D20" s="24"/>
      <c r="E20" s="93">
        <v>13.5</v>
      </c>
      <c r="F20" s="34"/>
      <c r="G20" s="83">
        <v>2</v>
      </c>
      <c r="H20" s="83">
        <v>1.5</v>
      </c>
      <c r="I20" s="83">
        <f t="shared" si="0"/>
        <v>25.5</v>
      </c>
      <c r="J20" s="19"/>
      <c r="K20" s="86"/>
      <c r="L20" s="85" t="s">
        <v>175</v>
      </c>
    </row>
    <row r="21" spans="1:12" s="87" customFormat="1" ht="18.75" customHeight="1" x14ac:dyDescent="0.25">
      <c r="A21" s="82">
        <v>9</v>
      </c>
      <c r="B21" s="85">
        <v>27</v>
      </c>
      <c r="C21" s="24"/>
      <c r="D21" s="24">
        <f>180/60</f>
        <v>3</v>
      </c>
      <c r="E21" s="93">
        <v>60.5</v>
      </c>
      <c r="F21" s="34"/>
      <c r="G21" s="83">
        <v>3</v>
      </c>
      <c r="H21" s="83">
        <v>2</v>
      </c>
      <c r="I21" s="83">
        <f t="shared" si="0"/>
        <v>25</v>
      </c>
      <c r="J21" s="19"/>
      <c r="K21" s="86"/>
      <c r="L21" s="85" t="s">
        <v>175</v>
      </c>
    </row>
    <row r="22" spans="1:12" s="87" customFormat="1" ht="18.75" customHeight="1" x14ac:dyDescent="0.25">
      <c r="A22" s="82">
        <v>33</v>
      </c>
      <c r="B22" s="85">
        <v>27</v>
      </c>
      <c r="C22" s="24">
        <f>177/60</f>
        <v>2.95</v>
      </c>
      <c r="D22" s="24"/>
      <c r="E22" s="93"/>
      <c r="F22" s="34"/>
      <c r="G22" s="83">
        <v>2</v>
      </c>
      <c r="H22" s="83">
        <v>3</v>
      </c>
      <c r="I22" s="83">
        <f t="shared" si="0"/>
        <v>24</v>
      </c>
      <c r="J22" s="19">
        <v>2000000</v>
      </c>
      <c r="K22" s="86"/>
      <c r="L22" s="85" t="s">
        <v>175</v>
      </c>
    </row>
    <row r="23" spans="1:12" s="87" customFormat="1" ht="18.75" customHeight="1" x14ac:dyDescent="0.25">
      <c r="A23" s="82">
        <v>64</v>
      </c>
      <c r="B23" s="85">
        <v>27</v>
      </c>
      <c r="C23" s="24">
        <f>16/60</f>
        <v>0.26666666666666666</v>
      </c>
      <c r="D23" s="24"/>
      <c r="E23" s="93"/>
      <c r="F23" s="34"/>
      <c r="G23" s="83"/>
      <c r="H23" s="83">
        <v>1</v>
      </c>
      <c r="I23" s="83">
        <f t="shared" si="0"/>
        <v>26</v>
      </c>
      <c r="J23" s="19">
        <v>2000000</v>
      </c>
      <c r="K23" s="86"/>
      <c r="L23" s="85" t="s">
        <v>175</v>
      </c>
    </row>
    <row r="24" spans="1:12" s="87" customFormat="1" ht="18.75" customHeight="1" x14ac:dyDescent="0.25">
      <c r="A24" s="82">
        <v>16</v>
      </c>
      <c r="B24" s="85">
        <v>27</v>
      </c>
      <c r="C24" s="24"/>
      <c r="D24" s="24"/>
      <c r="E24" s="93">
        <v>11.5</v>
      </c>
      <c r="F24" s="34"/>
      <c r="G24" s="83">
        <v>2</v>
      </c>
      <c r="H24" s="83">
        <v>1</v>
      </c>
      <c r="I24" s="83">
        <f t="shared" si="0"/>
        <v>26</v>
      </c>
      <c r="J24" s="19"/>
      <c r="K24" s="86"/>
      <c r="L24" s="85" t="s">
        <v>175</v>
      </c>
    </row>
    <row r="25" spans="1:12" s="87" customFormat="1" ht="18.75" customHeight="1" x14ac:dyDescent="0.25">
      <c r="A25" s="82">
        <v>57</v>
      </c>
      <c r="B25" s="85">
        <v>27</v>
      </c>
      <c r="C25" s="24">
        <f>2/60</f>
        <v>3.3333333333333333E-2</v>
      </c>
      <c r="D25" s="24"/>
      <c r="E25" s="93">
        <v>5.5</v>
      </c>
      <c r="F25" s="34"/>
      <c r="G25" s="83"/>
      <c r="H25" s="83">
        <v>1</v>
      </c>
      <c r="I25" s="83">
        <f t="shared" si="0"/>
        <v>26</v>
      </c>
      <c r="J25" s="19"/>
      <c r="K25" s="86"/>
      <c r="L25" s="85" t="s">
        <v>175</v>
      </c>
    </row>
    <row r="26" spans="1:12" s="87" customFormat="1" ht="18.75" customHeight="1" x14ac:dyDescent="0.25">
      <c r="A26" s="82">
        <v>51</v>
      </c>
      <c r="B26" s="85">
        <v>27</v>
      </c>
      <c r="C26" s="24">
        <f>185/60</f>
        <v>3.0833333333333335</v>
      </c>
      <c r="D26" s="24">
        <f>120/60</f>
        <v>2</v>
      </c>
      <c r="E26" s="93"/>
      <c r="F26" s="34"/>
      <c r="G26" s="83"/>
      <c r="H26" s="83">
        <v>0</v>
      </c>
      <c r="I26" s="83">
        <f t="shared" si="0"/>
        <v>27</v>
      </c>
      <c r="J26" s="19">
        <v>2000000</v>
      </c>
      <c r="K26" s="86"/>
      <c r="L26" s="85" t="s">
        <v>175</v>
      </c>
    </row>
    <row r="27" spans="1:12" s="87" customFormat="1" ht="18.75" customHeight="1" x14ac:dyDescent="0.25">
      <c r="A27" s="82">
        <v>39</v>
      </c>
      <c r="B27" s="85"/>
      <c r="C27" s="24"/>
      <c r="D27" s="24"/>
      <c r="E27" s="93"/>
      <c r="F27" s="34"/>
      <c r="G27" s="83"/>
      <c r="H27" s="83"/>
      <c r="I27" s="83">
        <f t="shared" si="0"/>
        <v>0</v>
      </c>
      <c r="J27" s="19"/>
      <c r="K27" s="86"/>
      <c r="L27" s="85" t="s">
        <v>175</v>
      </c>
    </row>
    <row r="28" spans="1:12" s="87" customFormat="1" ht="18.75" customHeight="1" x14ac:dyDescent="0.25">
      <c r="A28" s="82">
        <v>52</v>
      </c>
      <c r="B28" s="85">
        <v>27</v>
      </c>
      <c r="C28" s="24">
        <f>7/60</f>
        <v>0.11666666666666667</v>
      </c>
      <c r="D28" s="24"/>
      <c r="E28" s="93"/>
      <c r="F28" s="34"/>
      <c r="G28" s="83"/>
      <c r="H28" s="83">
        <v>1</v>
      </c>
      <c r="I28" s="83">
        <f t="shared" si="0"/>
        <v>26</v>
      </c>
      <c r="J28" s="19"/>
      <c r="K28" s="86"/>
      <c r="L28" s="85" t="s">
        <v>175</v>
      </c>
    </row>
    <row r="29" spans="1:12" s="87" customFormat="1" ht="18.75" customHeight="1" x14ac:dyDescent="0.25">
      <c r="A29" s="82">
        <v>13</v>
      </c>
      <c r="B29" s="85">
        <v>27</v>
      </c>
      <c r="C29" s="24">
        <f>6/60</f>
        <v>0.1</v>
      </c>
      <c r="D29" s="24"/>
      <c r="E29" s="93">
        <v>17.5</v>
      </c>
      <c r="F29" s="34"/>
      <c r="G29" s="83">
        <v>4</v>
      </c>
      <c r="H29" s="83">
        <v>2</v>
      </c>
      <c r="I29" s="83">
        <f t="shared" si="0"/>
        <v>25</v>
      </c>
      <c r="J29" s="19"/>
      <c r="K29" s="86"/>
      <c r="L29" s="85" t="s">
        <v>175</v>
      </c>
    </row>
    <row r="30" spans="1:12" s="87" customFormat="1" ht="18.75" customHeight="1" x14ac:dyDescent="0.25">
      <c r="A30" s="82">
        <v>12</v>
      </c>
      <c r="B30" s="85">
        <v>27</v>
      </c>
      <c r="C30" s="24"/>
      <c r="D30" s="24"/>
      <c r="E30" s="93">
        <v>34</v>
      </c>
      <c r="F30" s="34"/>
      <c r="G30" s="83">
        <v>1</v>
      </c>
      <c r="H30" s="83">
        <v>4.5</v>
      </c>
      <c r="I30" s="83">
        <f t="shared" si="0"/>
        <v>22.5</v>
      </c>
      <c r="J30" s="19"/>
      <c r="K30" s="86"/>
      <c r="L30" s="85" t="s">
        <v>175</v>
      </c>
    </row>
    <row r="31" spans="1:12" s="87" customFormat="1" ht="18.75" customHeight="1" x14ac:dyDescent="0.25">
      <c r="A31" s="82">
        <v>7</v>
      </c>
      <c r="B31" s="85">
        <v>27</v>
      </c>
      <c r="C31" s="24"/>
      <c r="D31" s="24"/>
      <c r="E31" s="93">
        <v>4</v>
      </c>
      <c r="F31" s="34"/>
      <c r="G31" s="83">
        <v>4</v>
      </c>
      <c r="H31" s="83">
        <v>1</v>
      </c>
      <c r="I31" s="83">
        <f t="shared" si="0"/>
        <v>26</v>
      </c>
      <c r="J31" s="19"/>
      <c r="K31" s="86"/>
      <c r="L31" s="85" t="s">
        <v>175</v>
      </c>
    </row>
    <row r="32" spans="1:12" s="87" customFormat="1" ht="18.75" customHeight="1" x14ac:dyDescent="0.25">
      <c r="A32" s="82">
        <v>58</v>
      </c>
      <c r="B32" s="85">
        <v>27</v>
      </c>
      <c r="C32" s="24">
        <f>39/60</f>
        <v>0.65</v>
      </c>
      <c r="D32" s="24">
        <f>54/60</f>
        <v>0.9</v>
      </c>
      <c r="E32" s="93"/>
      <c r="F32" s="34"/>
      <c r="G32" s="83"/>
      <c r="H32" s="83">
        <v>4.5</v>
      </c>
      <c r="I32" s="83">
        <f t="shared" si="0"/>
        <v>22.5</v>
      </c>
      <c r="J32" s="19">
        <v>5000000</v>
      </c>
      <c r="K32" s="86"/>
      <c r="L32" s="85" t="s">
        <v>175</v>
      </c>
    </row>
    <row r="33" spans="1:12" s="87" customFormat="1" ht="18.75" customHeight="1" x14ac:dyDescent="0.25">
      <c r="A33" s="82">
        <v>38</v>
      </c>
      <c r="B33" s="85">
        <v>27</v>
      </c>
      <c r="C33" s="24">
        <f>26/60</f>
        <v>0.43333333333333335</v>
      </c>
      <c r="D33" s="24"/>
      <c r="E33" s="93"/>
      <c r="F33" s="34"/>
      <c r="G33" s="83"/>
      <c r="H33" s="83">
        <v>1</v>
      </c>
      <c r="I33" s="83">
        <f t="shared" si="0"/>
        <v>26</v>
      </c>
      <c r="J33" s="19"/>
      <c r="K33" s="86"/>
      <c r="L33" s="85" t="s">
        <v>175</v>
      </c>
    </row>
    <row r="34" spans="1:12" s="87" customFormat="1" ht="18.75" customHeight="1" x14ac:dyDescent="0.25">
      <c r="A34" s="82">
        <v>40</v>
      </c>
      <c r="B34" s="85">
        <v>27</v>
      </c>
      <c r="C34" s="24">
        <f>25/60</f>
        <v>0.41666666666666669</v>
      </c>
      <c r="D34" s="24"/>
      <c r="E34" s="93"/>
      <c r="F34" s="34"/>
      <c r="G34" s="83"/>
      <c r="H34" s="83">
        <v>0</v>
      </c>
      <c r="I34" s="83">
        <f t="shared" si="0"/>
        <v>27</v>
      </c>
      <c r="J34" s="19">
        <v>3500000</v>
      </c>
      <c r="K34" s="20" t="s">
        <v>153</v>
      </c>
      <c r="L34" s="85" t="s">
        <v>175</v>
      </c>
    </row>
    <row r="35" spans="1:12" s="87" customFormat="1" ht="18.75" customHeight="1" x14ac:dyDescent="0.25">
      <c r="A35" s="82">
        <v>41</v>
      </c>
      <c r="B35" s="85">
        <v>27</v>
      </c>
      <c r="C35" s="24">
        <f>25/60</f>
        <v>0.41666666666666669</v>
      </c>
      <c r="D35" s="24">
        <f>11/60</f>
        <v>0.18333333333333332</v>
      </c>
      <c r="E35" s="93"/>
      <c r="F35" s="34"/>
      <c r="G35" s="83"/>
      <c r="H35" s="83">
        <v>2.5</v>
      </c>
      <c r="I35" s="83">
        <f t="shared" si="0"/>
        <v>24.5</v>
      </c>
      <c r="J35" s="19"/>
      <c r="K35" s="86"/>
      <c r="L35" s="85" t="s">
        <v>175</v>
      </c>
    </row>
    <row r="36" spans="1:12" s="87" customFormat="1" ht="18.75" customHeight="1" x14ac:dyDescent="0.25">
      <c r="A36" s="82">
        <v>11</v>
      </c>
      <c r="B36" s="85">
        <v>27</v>
      </c>
      <c r="C36" s="24"/>
      <c r="D36" s="24"/>
      <c r="E36" s="93">
        <v>20.5</v>
      </c>
      <c r="F36" s="34"/>
      <c r="G36" s="83"/>
      <c r="H36" s="83">
        <v>1</v>
      </c>
      <c r="I36" s="83">
        <f t="shared" si="0"/>
        <v>26</v>
      </c>
      <c r="J36" s="19"/>
      <c r="K36" s="86"/>
      <c r="L36" s="85" t="s">
        <v>175</v>
      </c>
    </row>
    <row r="37" spans="1:12" s="87" customFormat="1" ht="18.75" customHeight="1" x14ac:dyDescent="0.25">
      <c r="A37" s="82">
        <v>42</v>
      </c>
      <c r="B37" s="85">
        <v>27</v>
      </c>
      <c r="C37" s="24">
        <f>45/60</f>
        <v>0.75</v>
      </c>
      <c r="D37" s="24">
        <f>105/60</f>
        <v>1.75</v>
      </c>
      <c r="E37" s="93"/>
      <c r="F37" s="34"/>
      <c r="G37" s="83">
        <v>2</v>
      </c>
      <c r="H37" s="83">
        <v>1</v>
      </c>
      <c r="I37" s="83">
        <f t="shared" si="0"/>
        <v>26</v>
      </c>
      <c r="J37" s="19"/>
      <c r="K37" s="86"/>
      <c r="L37" s="85" t="s">
        <v>175</v>
      </c>
    </row>
    <row r="38" spans="1:12" s="87" customFormat="1" ht="18.75" customHeight="1" x14ac:dyDescent="0.25">
      <c r="A38" s="82">
        <v>23</v>
      </c>
      <c r="B38" s="85">
        <v>27</v>
      </c>
      <c r="C38" s="24">
        <f>300/60</f>
        <v>5</v>
      </c>
      <c r="D38" s="24">
        <f>16/60</f>
        <v>0.26666666666666666</v>
      </c>
      <c r="E38" s="93"/>
      <c r="F38" s="34"/>
      <c r="G38" s="83"/>
      <c r="H38" s="83">
        <v>2</v>
      </c>
      <c r="I38" s="83">
        <f t="shared" si="0"/>
        <v>25</v>
      </c>
      <c r="J38" s="19">
        <v>3000000</v>
      </c>
      <c r="K38" s="28" t="s">
        <v>153</v>
      </c>
      <c r="L38" s="85" t="s">
        <v>175</v>
      </c>
    </row>
    <row r="39" spans="1:12" s="87" customFormat="1" ht="18.75" customHeight="1" x14ac:dyDescent="0.25">
      <c r="A39" s="82">
        <v>35</v>
      </c>
      <c r="B39" s="85">
        <v>27</v>
      </c>
      <c r="C39" s="24"/>
      <c r="D39" s="24"/>
      <c r="E39" s="93"/>
      <c r="F39" s="34"/>
      <c r="G39" s="83"/>
      <c r="H39" s="83">
        <v>1</v>
      </c>
      <c r="I39" s="83">
        <f t="shared" si="0"/>
        <v>26</v>
      </c>
      <c r="J39" s="19">
        <v>5000000</v>
      </c>
      <c r="K39" s="86"/>
      <c r="L39" s="85" t="s">
        <v>175</v>
      </c>
    </row>
    <row r="40" spans="1:12" s="87" customFormat="1" ht="18.75" customHeight="1" x14ac:dyDescent="0.25">
      <c r="A40" s="82">
        <v>17</v>
      </c>
      <c r="B40" s="85">
        <v>24</v>
      </c>
      <c r="C40" s="24"/>
      <c r="D40" s="24"/>
      <c r="E40" s="93"/>
      <c r="F40" s="34"/>
      <c r="G40" s="83">
        <v>1</v>
      </c>
      <c r="H40" s="83">
        <v>1</v>
      </c>
      <c r="I40" s="83">
        <f t="shared" si="0"/>
        <v>23</v>
      </c>
      <c r="J40" s="19"/>
      <c r="K40" s="86" t="s">
        <v>174</v>
      </c>
      <c r="L40" s="85" t="s">
        <v>175</v>
      </c>
    </row>
    <row r="41" spans="1:12" s="87" customFormat="1" ht="18.75" customHeight="1" x14ac:dyDescent="0.25">
      <c r="A41" s="82">
        <v>36</v>
      </c>
      <c r="B41" s="85">
        <v>27</v>
      </c>
      <c r="C41" s="24">
        <f>119/60</f>
        <v>1.9833333333333334</v>
      </c>
      <c r="D41" s="24"/>
      <c r="E41" s="93"/>
      <c r="F41" s="34"/>
      <c r="G41" s="83">
        <v>1</v>
      </c>
      <c r="H41" s="83">
        <v>0</v>
      </c>
      <c r="I41" s="83">
        <f t="shared" si="0"/>
        <v>27</v>
      </c>
      <c r="J41" s="19">
        <v>2000000</v>
      </c>
      <c r="K41" s="86"/>
      <c r="L41" s="85" t="s">
        <v>175</v>
      </c>
    </row>
    <row r="42" spans="1:12" s="87" customFormat="1" ht="18.75" customHeight="1" x14ac:dyDescent="0.25">
      <c r="A42" s="82">
        <v>37</v>
      </c>
      <c r="B42" s="85">
        <v>27</v>
      </c>
      <c r="C42" s="24"/>
      <c r="D42" s="24"/>
      <c r="E42" s="93"/>
      <c r="F42" s="34"/>
      <c r="G42" s="83"/>
      <c r="H42" s="83">
        <v>0</v>
      </c>
      <c r="I42" s="83">
        <f t="shared" si="0"/>
        <v>27</v>
      </c>
      <c r="J42" s="19"/>
      <c r="K42" s="86"/>
      <c r="L42" s="85" t="s">
        <v>175</v>
      </c>
    </row>
    <row r="43" spans="1:12" s="87" customFormat="1" ht="18.75" customHeight="1" x14ac:dyDescent="0.25">
      <c r="A43" s="82">
        <v>34</v>
      </c>
      <c r="B43" s="85">
        <v>27</v>
      </c>
      <c r="C43" s="24"/>
      <c r="D43" s="24">
        <f>20/60</f>
        <v>0.33333333333333331</v>
      </c>
      <c r="E43" s="93"/>
      <c r="F43" s="34"/>
      <c r="G43" s="83">
        <v>1</v>
      </c>
      <c r="H43" s="83">
        <v>0</v>
      </c>
      <c r="I43" s="83">
        <f t="shared" si="0"/>
        <v>27</v>
      </c>
      <c r="J43" s="19">
        <v>3000000</v>
      </c>
      <c r="K43" s="86"/>
      <c r="L43" s="85" t="s">
        <v>175</v>
      </c>
    </row>
    <row r="44" spans="1:12" s="87" customFormat="1" ht="18.75" customHeight="1" x14ac:dyDescent="0.25">
      <c r="A44" s="82">
        <v>10</v>
      </c>
      <c r="B44" s="85">
        <v>27</v>
      </c>
      <c r="C44" s="24"/>
      <c r="D44" s="24"/>
      <c r="E44" s="93">
        <v>4</v>
      </c>
      <c r="F44" s="34"/>
      <c r="G44" s="83"/>
      <c r="H44" s="83">
        <v>0</v>
      </c>
      <c r="I44" s="83">
        <f t="shared" si="0"/>
        <v>27</v>
      </c>
      <c r="J44" s="19"/>
      <c r="K44" s="86"/>
      <c r="L44" s="85" t="s">
        <v>175</v>
      </c>
    </row>
    <row r="45" spans="1:12" s="87" customFormat="1" ht="18.75" customHeight="1" x14ac:dyDescent="0.25">
      <c r="A45" s="82">
        <v>8</v>
      </c>
      <c r="B45" s="85">
        <v>27</v>
      </c>
      <c r="C45" s="24"/>
      <c r="D45" s="24"/>
      <c r="E45" s="93"/>
      <c r="F45" s="34"/>
      <c r="G45" s="83"/>
      <c r="H45" s="83">
        <v>2</v>
      </c>
      <c r="I45" s="83">
        <f t="shared" si="0"/>
        <v>25</v>
      </c>
      <c r="J45" s="19"/>
      <c r="K45" s="86"/>
      <c r="L45" s="85" t="s">
        <v>175</v>
      </c>
    </row>
    <row r="46" spans="1:12" s="87" customFormat="1" ht="18.75" customHeight="1" x14ac:dyDescent="0.25">
      <c r="A46" s="82">
        <v>65</v>
      </c>
      <c r="B46" s="85">
        <v>27</v>
      </c>
      <c r="C46" s="24">
        <f>474/60</f>
        <v>7.9</v>
      </c>
      <c r="D46" s="24">
        <f>90/60</f>
        <v>1.5</v>
      </c>
      <c r="E46" s="93"/>
      <c r="F46" s="34"/>
      <c r="G46" s="83"/>
      <c r="H46" s="83">
        <v>4</v>
      </c>
      <c r="I46" s="83">
        <f t="shared" si="0"/>
        <v>23</v>
      </c>
      <c r="J46" s="19"/>
      <c r="K46" s="86"/>
      <c r="L46" s="85" t="s">
        <v>175</v>
      </c>
    </row>
    <row r="47" spans="1:12" s="87" customFormat="1" ht="18.75" customHeight="1" x14ac:dyDescent="0.25">
      <c r="A47" s="82">
        <v>43</v>
      </c>
      <c r="B47" s="85">
        <v>27</v>
      </c>
      <c r="C47" s="24">
        <f>99/60</f>
        <v>1.65</v>
      </c>
      <c r="D47" s="24"/>
      <c r="E47" s="93"/>
      <c r="F47" s="34"/>
      <c r="G47" s="83">
        <v>1</v>
      </c>
      <c r="H47" s="83">
        <v>0</v>
      </c>
      <c r="I47" s="83">
        <f t="shared" si="0"/>
        <v>27</v>
      </c>
      <c r="J47" s="19"/>
      <c r="K47" s="86"/>
      <c r="L47" s="85" t="s">
        <v>175</v>
      </c>
    </row>
    <row r="48" spans="1:12" s="87" customFormat="1" ht="18.75" customHeight="1" x14ac:dyDescent="0.25">
      <c r="A48" s="82">
        <v>6</v>
      </c>
      <c r="B48" s="85">
        <v>27</v>
      </c>
      <c r="C48" s="24"/>
      <c r="D48" s="24"/>
      <c r="E48" s="93"/>
      <c r="F48" s="34"/>
      <c r="G48" s="83"/>
      <c r="H48" s="83">
        <v>1</v>
      </c>
      <c r="I48" s="83">
        <f t="shared" si="0"/>
        <v>26</v>
      </c>
      <c r="J48" s="19">
        <v>1660000</v>
      </c>
      <c r="K48" s="86"/>
      <c r="L48" s="85" t="s">
        <v>175</v>
      </c>
    </row>
    <row r="49" spans="1:12" s="87" customFormat="1" ht="18.75" customHeight="1" x14ac:dyDescent="0.25">
      <c r="A49" s="82">
        <v>66</v>
      </c>
      <c r="B49" s="85">
        <v>27</v>
      </c>
      <c r="C49" s="24">
        <f>111/60</f>
        <v>1.85</v>
      </c>
      <c r="D49" s="24"/>
      <c r="E49" s="93"/>
      <c r="F49" s="34"/>
      <c r="G49" s="83"/>
      <c r="H49" s="83">
        <v>0</v>
      </c>
      <c r="I49" s="83">
        <f t="shared" si="0"/>
        <v>27</v>
      </c>
      <c r="J49" s="19"/>
      <c r="K49" s="86"/>
      <c r="L49" s="85" t="s">
        <v>175</v>
      </c>
    </row>
    <row r="50" spans="1:12" s="87" customFormat="1" ht="18.75" customHeight="1" x14ac:dyDescent="0.25">
      <c r="A50" s="82">
        <v>67</v>
      </c>
      <c r="B50" s="85">
        <v>27</v>
      </c>
      <c r="C50" s="24"/>
      <c r="D50" s="24"/>
      <c r="E50" s="93"/>
      <c r="F50" s="34"/>
      <c r="G50" s="83"/>
      <c r="H50" s="83">
        <v>0</v>
      </c>
      <c r="I50" s="83">
        <f t="shared" si="0"/>
        <v>27</v>
      </c>
      <c r="J50" s="19">
        <v>2000000</v>
      </c>
      <c r="K50" s="86"/>
      <c r="L50" s="85" t="s">
        <v>175</v>
      </c>
    </row>
    <row r="51" spans="1:12" s="87" customFormat="1" ht="18.75" customHeight="1" x14ac:dyDescent="0.25">
      <c r="A51" s="82">
        <v>68</v>
      </c>
      <c r="B51" s="85">
        <v>27</v>
      </c>
      <c r="C51" s="24">
        <f>112/60</f>
        <v>1.8666666666666667</v>
      </c>
      <c r="D51" s="24"/>
      <c r="E51" s="93"/>
      <c r="F51" s="34"/>
      <c r="G51" s="83"/>
      <c r="H51" s="83">
        <v>1</v>
      </c>
      <c r="I51" s="83">
        <f t="shared" si="0"/>
        <v>26</v>
      </c>
      <c r="J51" s="19">
        <v>2000000</v>
      </c>
      <c r="K51" s="86"/>
      <c r="L51" s="85" t="s">
        <v>175</v>
      </c>
    </row>
    <row r="52" spans="1:12" s="87" customFormat="1" ht="18.75" customHeight="1" x14ac:dyDescent="0.25">
      <c r="A52" s="82">
        <v>46</v>
      </c>
      <c r="B52" s="85">
        <v>27</v>
      </c>
      <c r="C52" s="24">
        <f>147/60</f>
        <v>2.4500000000000002</v>
      </c>
      <c r="D52" s="24"/>
      <c r="E52" s="93"/>
      <c r="F52" s="34"/>
      <c r="G52" s="83"/>
      <c r="H52" s="83">
        <v>7</v>
      </c>
      <c r="I52" s="83">
        <f t="shared" si="0"/>
        <v>20</v>
      </c>
      <c r="J52" s="19"/>
      <c r="K52" s="86"/>
      <c r="L52" s="85" t="s">
        <v>175</v>
      </c>
    </row>
    <row r="53" spans="1:12" s="87" customFormat="1" ht="18.75" customHeight="1" x14ac:dyDescent="0.25">
      <c r="A53" s="82">
        <v>62</v>
      </c>
      <c r="B53" s="85">
        <v>27</v>
      </c>
      <c r="C53" s="24">
        <f>83/60</f>
        <v>1.3833333333333333</v>
      </c>
      <c r="D53" s="24"/>
      <c r="E53" s="93"/>
      <c r="F53" s="34"/>
      <c r="G53" s="83"/>
      <c r="H53" s="83"/>
      <c r="I53" s="83">
        <f t="shared" si="0"/>
        <v>27</v>
      </c>
      <c r="J53" s="19"/>
      <c r="K53" s="86"/>
      <c r="L53" s="85" t="s">
        <v>175</v>
      </c>
    </row>
    <row r="54" spans="1:12" s="87" customFormat="1" ht="18.75" customHeight="1" x14ac:dyDescent="0.25">
      <c r="A54" s="82">
        <v>59</v>
      </c>
      <c r="B54" s="85">
        <v>27</v>
      </c>
      <c r="C54" s="24">
        <f>28/60</f>
        <v>0.46666666666666667</v>
      </c>
      <c r="D54" s="24"/>
      <c r="E54" s="93">
        <v>5</v>
      </c>
      <c r="F54" s="34"/>
      <c r="G54" s="83"/>
      <c r="H54" s="83">
        <v>0</v>
      </c>
      <c r="I54" s="83">
        <f t="shared" si="0"/>
        <v>27</v>
      </c>
      <c r="J54" s="19"/>
      <c r="K54" s="86"/>
      <c r="L54" s="85" t="s">
        <v>175</v>
      </c>
    </row>
    <row r="55" spans="1:12" s="87" customFormat="1" ht="18.75" customHeight="1" x14ac:dyDescent="0.25">
      <c r="A55" s="82">
        <v>18</v>
      </c>
      <c r="B55" s="85">
        <v>27</v>
      </c>
      <c r="C55" s="24">
        <f>300/60</f>
        <v>5</v>
      </c>
      <c r="D55" s="24"/>
      <c r="E55" s="93">
        <v>53</v>
      </c>
      <c r="F55" s="34"/>
      <c r="G55" s="83">
        <v>3</v>
      </c>
      <c r="H55" s="83">
        <v>4</v>
      </c>
      <c r="I55" s="83">
        <f t="shared" si="0"/>
        <v>23</v>
      </c>
      <c r="J55" s="19"/>
      <c r="K55" s="86"/>
      <c r="L55" s="85" t="s">
        <v>175</v>
      </c>
    </row>
    <row r="56" spans="1:12" s="87" customFormat="1" ht="18.75" customHeight="1" x14ac:dyDescent="0.25">
      <c r="A56" s="82">
        <v>19</v>
      </c>
      <c r="B56" s="85">
        <v>27</v>
      </c>
      <c r="C56" s="24"/>
      <c r="D56" s="24"/>
      <c r="E56" s="93">
        <v>7</v>
      </c>
      <c r="F56" s="34"/>
      <c r="G56" s="83">
        <v>4</v>
      </c>
      <c r="H56" s="83">
        <v>1</v>
      </c>
      <c r="I56" s="83">
        <f t="shared" si="0"/>
        <v>26</v>
      </c>
      <c r="J56" s="19"/>
      <c r="K56" s="86"/>
      <c r="L56" s="85" t="s">
        <v>175</v>
      </c>
    </row>
    <row r="57" spans="1:12" s="87" customFormat="1" ht="18.75" customHeight="1" x14ac:dyDescent="0.25">
      <c r="A57" s="82">
        <v>20</v>
      </c>
      <c r="B57" s="85">
        <v>27</v>
      </c>
      <c r="C57" s="24"/>
      <c r="D57" s="24"/>
      <c r="E57" s="93">
        <v>3</v>
      </c>
      <c r="F57" s="34"/>
      <c r="G57" s="83">
        <v>6</v>
      </c>
      <c r="H57" s="83">
        <v>3</v>
      </c>
      <c r="I57" s="83">
        <f t="shared" si="0"/>
        <v>24</v>
      </c>
      <c r="J57" s="19">
        <v>1700000</v>
      </c>
      <c r="K57" s="86"/>
      <c r="L57" s="85" t="s">
        <v>175</v>
      </c>
    </row>
    <row r="58" spans="1:12" s="87" customFormat="1" ht="18.75" customHeight="1" x14ac:dyDescent="0.25">
      <c r="A58" s="82">
        <v>63</v>
      </c>
      <c r="B58" s="85">
        <v>27</v>
      </c>
      <c r="C58" s="24">
        <f>7/60</f>
        <v>0.11666666666666667</v>
      </c>
      <c r="D58" s="24"/>
      <c r="E58" s="93"/>
      <c r="F58" s="34"/>
      <c r="G58" s="83"/>
      <c r="H58" s="83">
        <v>0</v>
      </c>
      <c r="I58" s="83">
        <f t="shared" si="0"/>
        <v>27</v>
      </c>
      <c r="J58" s="19"/>
      <c r="K58" s="86"/>
      <c r="L58" s="85" t="s">
        <v>175</v>
      </c>
    </row>
    <row r="59" spans="1:12" s="87" customFormat="1" ht="18.75" customHeight="1" x14ac:dyDescent="0.25">
      <c r="A59" s="82">
        <v>53</v>
      </c>
      <c r="B59" s="85">
        <v>27</v>
      </c>
      <c r="C59" s="24">
        <f>56/60</f>
        <v>0.93333333333333335</v>
      </c>
      <c r="D59" s="24">
        <f>40/60</f>
        <v>0.66666666666666663</v>
      </c>
      <c r="E59" s="93"/>
      <c r="F59" s="34"/>
      <c r="G59" s="83"/>
      <c r="H59" s="83">
        <v>2.5</v>
      </c>
      <c r="I59" s="83">
        <f t="shared" si="0"/>
        <v>24.5</v>
      </c>
      <c r="J59" s="19"/>
      <c r="K59" s="86"/>
      <c r="L59" s="85" t="s">
        <v>175</v>
      </c>
    </row>
    <row r="60" spans="1:12" s="87" customFormat="1" ht="18.75" customHeight="1" x14ac:dyDescent="0.25">
      <c r="A60" s="82">
        <v>48</v>
      </c>
      <c r="B60" s="85">
        <v>27</v>
      </c>
      <c r="C60" s="24">
        <f>104/60</f>
        <v>1.7333333333333334</v>
      </c>
      <c r="D60" s="24"/>
      <c r="E60" s="93"/>
      <c r="F60" s="34"/>
      <c r="G60" s="83"/>
      <c r="H60" s="83">
        <v>0</v>
      </c>
      <c r="I60" s="83">
        <f t="shared" si="0"/>
        <v>27</v>
      </c>
      <c r="J60" s="19"/>
      <c r="K60" s="86"/>
      <c r="L60" s="85" t="s">
        <v>175</v>
      </c>
    </row>
    <row r="61" spans="1:12" s="87" customFormat="1" ht="18.75" customHeight="1" x14ac:dyDescent="0.25">
      <c r="A61" s="82">
        <v>21</v>
      </c>
      <c r="B61" s="85">
        <v>27</v>
      </c>
      <c r="C61" s="24">
        <f>134/60</f>
        <v>2.2333333333333334</v>
      </c>
      <c r="D61" s="24">
        <f>107/60</f>
        <v>1.7833333333333334</v>
      </c>
      <c r="E61" s="93"/>
      <c r="F61" s="34"/>
      <c r="G61" s="83"/>
      <c r="H61" s="83">
        <v>2</v>
      </c>
      <c r="I61" s="83">
        <f t="shared" si="0"/>
        <v>25</v>
      </c>
      <c r="J61" s="19"/>
      <c r="K61" s="86"/>
      <c r="L61" s="85" t="s">
        <v>175</v>
      </c>
    </row>
    <row r="62" spans="1:12" s="87" customFormat="1" ht="18.75" customHeight="1" x14ac:dyDescent="0.25">
      <c r="A62" s="82">
        <v>47</v>
      </c>
      <c r="B62" s="85">
        <v>27</v>
      </c>
      <c r="C62" s="24">
        <f>76/60</f>
        <v>1.2666666666666666</v>
      </c>
      <c r="D62" s="24">
        <f>39/60</f>
        <v>0.65</v>
      </c>
      <c r="E62" s="93"/>
      <c r="F62" s="34"/>
      <c r="G62" s="83"/>
      <c r="H62" s="83">
        <v>0</v>
      </c>
      <c r="I62" s="83">
        <f t="shared" si="0"/>
        <v>27</v>
      </c>
      <c r="J62" s="19">
        <v>4000000</v>
      </c>
      <c r="K62" s="86"/>
      <c r="L62" s="85" t="s">
        <v>175</v>
      </c>
    </row>
    <row r="63" spans="1:12" s="87" customFormat="1" ht="18.75" customHeight="1" x14ac:dyDescent="0.25">
      <c r="A63" s="82">
        <v>71</v>
      </c>
      <c r="B63" s="85">
        <v>27</v>
      </c>
      <c r="C63" s="24">
        <f>108/60</f>
        <v>1.8</v>
      </c>
      <c r="D63" s="24">
        <f>64/60</f>
        <v>1.0666666666666667</v>
      </c>
      <c r="E63" s="93"/>
      <c r="F63" s="34"/>
      <c r="G63" s="83">
        <v>1</v>
      </c>
      <c r="H63" s="83">
        <v>0</v>
      </c>
      <c r="I63" s="83">
        <f t="shared" si="0"/>
        <v>27</v>
      </c>
      <c r="J63" s="19"/>
      <c r="K63" s="86"/>
      <c r="L63" s="85" t="s">
        <v>175</v>
      </c>
    </row>
    <row r="64" spans="1:12" s="87" customFormat="1" ht="18.75" customHeight="1" x14ac:dyDescent="0.25">
      <c r="A64" s="82">
        <v>24</v>
      </c>
      <c r="B64" s="85">
        <v>27</v>
      </c>
      <c r="C64" s="24">
        <f>23/60</f>
        <v>0.38333333333333336</v>
      </c>
      <c r="D64" s="24">
        <f>77/60</f>
        <v>1.2833333333333334</v>
      </c>
      <c r="E64" s="93">
        <v>24</v>
      </c>
      <c r="F64" s="34"/>
      <c r="G64" s="83">
        <v>3</v>
      </c>
      <c r="H64" s="83">
        <v>3</v>
      </c>
      <c r="I64" s="83">
        <f t="shared" si="0"/>
        <v>24</v>
      </c>
      <c r="J64" s="19"/>
      <c r="K64" s="86"/>
      <c r="L64" s="85" t="s">
        <v>175</v>
      </c>
    </row>
    <row r="65" spans="1:12" s="87" customFormat="1" ht="18.75" customHeight="1" x14ac:dyDescent="0.25">
      <c r="A65" s="82">
        <v>22</v>
      </c>
      <c r="B65" s="85">
        <v>27</v>
      </c>
      <c r="C65" s="24"/>
      <c r="D65" s="24"/>
      <c r="E65" s="93">
        <v>68</v>
      </c>
      <c r="F65" s="34"/>
      <c r="G65" s="83">
        <v>2</v>
      </c>
      <c r="H65" s="83">
        <v>0.5</v>
      </c>
      <c r="I65" s="83">
        <f t="shared" si="0"/>
        <v>26.5</v>
      </c>
      <c r="J65" s="19"/>
      <c r="K65" s="86"/>
      <c r="L65" s="85" t="s">
        <v>175</v>
      </c>
    </row>
    <row r="66" spans="1:12" s="87" customFormat="1" ht="18.75" customHeight="1" x14ac:dyDescent="0.25">
      <c r="A66" s="82">
        <v>44</v>
      </c>
      <c r="B66" s="85">
        <v>27</v>
      </c>
      <c r="C66" s="24"/>
      <c r="D66" s="24"/>
      <c r="E66" s="93"/>
      <c r="F66" s="34"/>
      <c r="G66" s="83"/>
      <c r="H66" s="83">
        <v>2</v>
      </c>
      <c r="I66" s="83">
        <f t="shared" si="0"/>
        <v>25</v>
      </c>
      <c r="J66" s="19"/>
      <c r="K66" s="86"/>
      <c r="L66" s="85" t="s">
        <v>175</v>
      </c>
    </row>
    <row r="67" spans="1:12" s="87" customFormat="1" ht="18.75" customHeight="1" x14ac:dyDescent="0.25">
      <c r="A67" s="82">
        <v>25</v>
      </c>
      <c r="B67" s="85">
        <v>27</v>
      </c>
      <c r="C67" s="24"/>
      <c r="D67" s="24"/>
      <c r="E67" s="93">
        <v>6.5</v>
      </c>
      <c r="F67" s="34"/>
      <c r="G67" s="83"/>
      <c r="H67" s="83">
        <v>2</v>
      </c>
      <c r="I67" s="83">
        <f>B67-H67</f>
        <v>25</v>
      </c>
      <c r="J67" s="19"/>
      <c r="K67" s="86"/>
      <c r="L67" s="85" t="s">
        <v>175</v>
      </c>
    </row>
    <row r="68" spans="1:12" s="87" customFormat="1" ht="18.75" customHeight="1" x14ac:dyDescent="0.25">
      <c r="A68" s="82">
        <v>69</v>
      </c>
      <c r="B68" s="85">
        <v>18</v>
      </c>
      <c r="C68" s="24">
        <f>18/60</f>
        <v>0.3</v>
      </c>
      <c r="D68" s="24"/>
      <c r="E68" s="93"/>
      <c r="F68" s="34"/>
      <c r="G68" s="83"/>
      <c r="H68" s="83">
        <v>0</v>
      </c>
      <c r="I68" s="83">
        <f>B68-H68</f>
        <v>18</v>
      </c>
      <c r="J68" s="19"/>
      <c r="K68" s="86"/>
      <c r="L68" s="85" t="s">
        <v>175</v>
      </c>
    </row>
    <row r="69" spans="1:12" s="87" customFormat="1" ht="18.75" customHeight="1" x14ac:dyDescent="0.25">
      <c r="A69" s="82">
        <v>70</v>
      </c>
      <c r="B69" s="85">
        <v>12</v>
      </c>
      <c r="C69" s="24">
        <f>27/60</f>
        <v>0.45</v>
      </c>
      <c r="D69" s="24"/>
      <c r="E69" s="93"/>
      <c r="F69" s="34"/>
      <c r="G69" s="83"/>
      <c r="H69" s="83">
        <v>1</v>
      </c>
      <c r="I69" s="83">
        <f>B69-H69</f>
        <v>11</v>
      </c>
      <c r="J69" s="19"/>
      <c r="K69" s="86"/>
      <c r="L69" s="85" t="s">
        <v>175</v>
      </c>
    </row>
    <row r="70" spans="1:12" x14ac:dyDescent="0.25">
      <c r="C70" s="8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Tháng 10</vt:lpstr>
      <vt:lpstr>Tháng 11</vt:lpstr>
      <vt:lpstr>Tháng 12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</dc:creator>
  <cp:lastModifiedBy>HIEN</cp:lastModifiedBy>
  <dcterms:created xsi:type="dcterms:W3CDTF">2016-11-23T01:12:16Z</dcterms:created>
  <dcterms:modified xsi:type="dcterms:W3CDTF">2017-01-03T10:13:01Z</dcterms:modified>
</cp:coreProperties>
</file>