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urce\ncCTM\doc\99.Other\importData\交割单\"/>
    </mc:Choice>
  </mc:AlternateContent>
  <bookViews>
    <workbookView xWindow="360" yWindow="105" windowWidth="28035" windowHeight="12330"/>
  </bookViews>
  <sheets>
    <sheet name="20160622 资金流水" sheetId="1" r:id="rId1"/>
  </sheets>
  <calcPr calcId="152511"/>
</workbook>
</file>

<file path=xl/calcChain.xml><?xml version="1.0" encoding="utf-8"?>
<calcChain xmlns="http://schemas.openxmlformats.org/spreadsheetml/2006/main">
  <c r="B10" i="1" l="1"/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A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</calcChain>
</file>

<file path=xl/sharedStrings.xml><?xml version="1.0" encoding="utf-8"?>
<sst xmlns="http://schemas.openxmlformats.org/spreadsheetml/2006/main" count="49" uniqueCount="2">
  <si>
    <t>交易类别</t>
    <phoneticPr fontId="18" type="noConversion"/>
  </si>
  <si>
    <t>日内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</si>
</sst>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sqref="A1:XFD1048576"/>
    </sheetView>
  </sheetViews>
  <sheetFormatPr defaultRowHeight="13.5" x14ac:dyDescent="0.15"/>
  <cols>
    <col min="1" max="2" width="9" style="1"/>
    <col min="3" max="3" width="18" style="1" customWidth="1"/>
    <col min="4" max="4" width="9" style="1"/>
    <col min="5" max="5" width="13.25" style="1" customWidth="1"/>
    <col min="6" max="6" width="17.875" style="1" customWidth="1"/>
    <col min="7" max="7" width="17.5" style="1" customWidth="1"/>
    <col min="8" max="8" width="9" style="1"/>
    <col min="9" max="9" width="24.375" style="1" customWidth="1"/>
    <col min="10" max="12" width="9" style="1"/>
    <col min="13" max="13" width="9.75" style="1" customWidth="1"/>
    <col min="14" max="14" width="9" style="1"/>
    <col min="15" max="15" width="19" style="1" customWidth="1"/>
    <col min="16" max="16384" width="9" style="1"/>
  </cols>
  <sheetData>
    <row r="1" spans="1:16" x14ac:dyDescent="0.15">
      <c r="A1" s="1" t="str">
        <f>"币种"</f>
        <v>币种</v>
      </c>
      <c r="B1" s="1" t="str">
        <f>"证券名称"</f>
        <v>证券名称</v>
      </c>
      <c r="C1" s="1" t="str">
        <f>"成交日期"</f>
        <v>成交日期</v>
      </c>
      <c r="D1" s="1" t="str">
        <f>"成交价格"</f>
        <v>成交价格</v>
      </c>
      <c r="E1" s="1" t="str">
        <f>"成交数量"</f>
        <v>成交数量</v>
      </c>
      <c r="F1" s="1" t="str">
        <f>"发生金额"</f>
        <v>发生金额</v>
      </c>
      <c r="G1" s="1" t="str">
        <f>"资金余额"</f>
        <v>资金余额</v>
      </c>
      <c r="H1" s="1" t="str">
        <f>"合同编号"</f>
        <v>合同编号</v>
      </c>
      <c r="I1" s="1" t="str">
        <f>"业务名称"</f>
        <v>业务名称</v>
      </c>
      <c r="J1" s="1" t="str">
        <f>"手续费"</f>
        <v>手续费</v>
      </c>
      <c r="K1" s="1" t="str">
        <f>"印花税"</f>
        <v>印花税</v>
      </c>
      <c r="L1" s="1" t="str">
        <f>"过户费"</f>
        <v>过户费</v>
      </c>
      <c r="M1" s="1" t="str">
        <f>"结算费"</f>
        <v>结算费</v>
      </c>
      <c r="N1" s="1" t="str">
        <f>"证券代码"</f>
        <v>证券代码</v>
      </c>
      <c r="O1" s="1" t="str">
        <f>"股东代码"</f>
        <v>股东代码</v>
      </c>
      <c r="P1" s="1" t="s">
        <v>0</v>
      </c>
    </row>
    <row r="2" spans="1:16" x14ac:dyDescent="0.15">
      <c r="A2" s="1" t="str">
        <f t="shared" ref="A2:A49" si="0">"人民币"</f>
        <v>人民币</v>
      </c>
      <c r="B2" s="1" t="str">
        <f>"880013"</f>
        <v>880013</v>
      </c>
      <c r="C2" s="1" t="str">
        <f>"20160216000016"</f>
        <v>20160216000016</v>
      </c>
      <c r="D2" s="1" t="str">
        <f>"0.000"</f>
        <v>0.000</v>
      </c>
      <c r="E2" s="1" t="str">
        <f>"0.00"</f>
        <v>0.00</v>
      </c>
      <c r="F2" s="1" t="str">
        <f>"35.89"</f>
        <v>35.89</v>
      </c>
      <c r="G2" s="1" t="str">
        <f>"36.89"</f>
        <v>36.89</v>
      </c>
      <c r="H2" s="1" t="str">
        <f>"---"</f>
        <v>---</v>
      </c>
      <c r="I2" s="1" t="str">
        <f>"股息入帐(天添利)"</f>
        <v>股息入帐(天添利)</v>
      </c>
      <c r="J2" s="1" t="str">
        <f t="shared" ref="J2:M4" si="1">"---"</f>
        <v>---</v>
      </c>
      <c r="K2" s="1" t="str">
        <f t="shared" si="1"/>
        <v>---</v>
      </c>
      <c r="L2" s="1" t="str">
        <f t="shared" si="1"/>
        <v>---</v>
      </c>
      <c r="M2" s="1" t="str">
        <f t="shared" si="1"/>
        <v>---</v>
      </c>
      <c r="N2" s="1" t="str">
        <f>"880013"</f>
        <v>880013</v>
      </c>
      <c r="O2" s="1" t="str">
        <f>"980508075198"</f>
        <v>980508075198</v>
      </c>
      <c r="P2" s="1" t="s">
        <v>1</v>
      </c>
    </row>
    <row r="3" spans="1:16" x14ac:dyDescent="0.15">
      <c r="A3" s="1" t="str">
        <f t="shared" si="0"/>
        <v>人民币</v>
      </c>
      <c r="B3" s="1" t="str">
        <f>"880013"</f>
        <v>880013</v>
      </c>
      <c r="C3" s="1" t="str">
        <f>"20160309000001"</f>
        <v>20160309000001</v>
      </c>
      <c r="D3" s="1" t="str">
        <f>"0.000"</f>
        <v>0.000</v>
      </c>
      <c r="E3" s="1" t="str">
        <f>"0.00"</f>
        <v>0.00</v>
      </c>
      <c r="F3" s="1" t="str">
        <f>"0.10"</f>
        <v>0.10</v>
      </c>
      <c r="G3" s="1" t="str">
        <f>"36.99"</f>
        <v>36.99</v>
      </c>
      <c r="H3" s="1" t="str">
        <f>"---"</f>
        <v>---</v>
      </c>
      <c r="I3" s="1" t="str">
        <f>"股息入帐(天添利)"</f>
        <v>股息入帐(天添利)</v>
      </c>
      <c r="J3" s="1" t="str">
        <f t="shared" si="1"/>
        <v>---</v>
      </c>
      <c r="K3" s="1" t="str">
        <f t="shared" si="1"/>
        <v>---</v>
      </c>
      <c r="L3" s="1" t="str">
        <f t="shared" si="1"/>
        <v>---</v>
      </c>
      <c r="M3" s="1" t="str">
        <f t="shared" si="1"/>
        <v>---</v>
      </c>
      <c r="N3" s="1" t="str">
        <f>"880013"</f>
        <v>880013</v>
      </c>
      <c r="O3" s="1" t="str">
        <f>"980508075198"</f>
        <v>980508075198</v>
      </c>
      <c r="P3" s="1" t="s">
        <v>1</v>
      </c>
    </row>
    <row r="4" spans="1:16" x14ac:dyDescent="0.15">
      <c r="A4" s="1" t="str">
        <f t="shared" si="0"/>
        <v>人民币</v>
      </c>
      <c r="B4" s="1" t="str">
        <f>""</f>
        <v/>
      </c>
      <c r="C4" s="1" t="str">
        <f>"20160318000002"</f>
        <v>20160318000002</v>
      </c>
      <c r="D4" s="1" t="str">
        <f>"---"</f>
        <v>---</v>
      </c>
      <c r="E4" s="1" t="str">
        <f>"---"</f>
        <v>---</v>
      </c>
      <c r="F4" s="1" t="str">
        <f>"2.16"</f>
        <v>2.16</v>
      </c>
      <c r="G4" s="1" t="str">
        <f>"39.15"</f>
        <v>39.15</v>
      </c>
      <c r="H4" s="1" t="str">
        <f>"---"</f>
        <v>---</v>
      </c>
      <c r="I4" s="1" t="str">
        <f>"批量利息归本"</f>
        <v>批量利息归本</v>
      </c>
      <c r="J4" s="1" t="str">
        <f t="shared" si="1"/>
        <v>---</v>
      </c>
      <c r="K4" s="1" t="str">
        <f t="shared" si="1"/>
        <v>---</v>
      </c>
      <c r="L4" s="1" t="str">
        <f t="shared" si="1"/>
        <v>---</v>
      </c>
      <c r="M4" s="1" t="str">
        <f t="shared" si="1"/>
        <v>---</v>
      </c>
      <c r="N4" s="1" t="str">
        <f>"---"</f>
        <v>---</v>
      </c>
      <c r="O4" s="1" t="str">
        <f>"---"</f>
        <v>---</v>
      </c>
      <c r="P4" s="1" t="s">
        <v>1</v>
      </c>
    </row>
    <row r="5" spans="1:16" x14ac:dyDescent="0.15">
      <c r="A5" s="1" t="str">
        <f t="shared" si="0"/>
        <v>人民币</v>
      </c>
      <c r="B5" s="1" t="str">
        <f>"濮耐股份"</f>
        <v>濮耐股份</v>
      </c>
      <c r="C5" s="1" t="str">
        <f>"20160329000008"</f>
        <v>20160329000008</v>
      </c>
      <c r="D5" s="1" t="str">
        <f>"6.420"</f>
        <v>6.420</v>
      </c>
      <c r="E5" s="1" t="str">
        <f>"-6600.00"</f>
        <v>-6600.00</v>
      </c>
      <c r="F5" s="1" t="str">
        <f>"42316.92"</f>
        <v>42316.92</v>
      </c>
      <c r="G5" s="1" t="str">
        <f>"42356.07"</f>
        <v>42356.07</v>
      </c>
      <c r="H5" s="1" t="str">
        <f>"3"</f>
        <v>3</v>
      </c>
      <c r="I5" s="1" t="str">
        <f>"证券卖出(濮耐股份)"</f>
        <v>证券卖出(濮耐股份)</v>
      </c>
      <c r="J5" s="1" t="str">
        <f>"12.71"</f>
        <v>12.71</v>
      </c>
      <c r="K5" s="1" t="str">
        <f>"42.37"</f>
        <v>42.37</v>
      </c>
      <c r="L5" s="1" t="str">
        <f t="shared" ref="L5:M8" si="2">"0.00"</f>
        <v>0.00</v>
      </c>
      <c r="M5" s="1" t="str">
        <f t="shared" si="2"/>
        <v>0.00</v>
      </c>
      <c r="N5" s="1" t="str">
        <f>"002225"</f>
        <v>002225</v>
      </c>
      <c r="O5" s="1" t="str">
        <f>"0055636717"</f>
        <v>0055636717</v>
      </c>
      <c r="P5" s="1" t="s">
        <v>1</v>
      </c>
    </row>
    <row r="6" spans="1:16" x14ac:dyDescent="0.15">
      <c r="A6" s="1" t="str">
        <f t="shared" si="0"/>
        <v>人民币</v>
      </c>
      <c r="B6" s="1" t="str">
        <f>"880013"</f>
        <v>880013</v>
      </c>
      <c r="C6" s="1" t="str">
        <f>"20160329000009"</f>
        <v>20160329000009</v>
      </c>
      <c r="D6" s="1" t="str">
        <f>"1.000"</f>
        <v>1.000</v>
      </c>
      <c r="E6" s="1" t="str">
        <f>"42355.07"</f>
        <v>42355.07</v>
      </c>
      <c r="F6" s="1" t="str">
        <f>"-42355.07"</f>
        <v>-42355.07</v>
      </c>
      <c r="G6" s="1" t="str">
        <f>"1.00"</f>
        <v>1.00</v>
      </c>
      <c r="H6" s="1" t="str">
        <f>""</f>
        <v/>
      </c>
      <c r="I6" s="1" t="str">
        <f>"保证金产品申购(天添利)"</f>
        <v>保证金产品申购(天添利)</v>
      </c>
      <c r="J6" s="1" t="str">
        <f>"0.00"</f>
        <v>0.00</v>
      </c>
      <c r="K6" s="1" t="str">
        <f>"0.00"</f>
        <v>0.00</v>
      </c>
      <c r="L6" s="1" t="str">
        <f t="shared" si="2"/>
        <v>0.00</v>
      </c>
      <c r="M6" s="1" t="str">
        <f t="shared" si="2"/>
        <v>0.00</v>
      </c>
      <c r="N6" s="1" t="str">
        <f>"880013"</f>
        <v>880013</v>
      </c>
      <c r="O6" s="1" t="str">
        <f>"980508075198"</f>
        <v>980508075198</v>
      </c>
      <c r="P6" s="1" t="s">
        <v>1</v>
      </c>
    </row>
    <row r="7" spans="1:16" x14ac:dyDescent="0.15">
      <c r="A7" s="1" t="str">
        <f t="shared" si="0"/>
        <v>人民币</v>
      </c>
      <c r="B7" s="1" t="str">
        <f>"濮耐股份"</f>
        <v>濮耐股份</v>
      </c>
      <c r="C7" s="1" t="str">
        <f>"20160331000021"</f>
        <v>20160331000021</v>
      </c>
      <c r="D7" s="1" t="str">
        <f>"7.120"</f>
        <v>7.120</v>
      </c>
      <c r="E7" s="1" t="str">
        <f>"-6600.00"</f>
        <v>-6600.00</v>
      </c>
      <c r="F7" s="1" t="str">
        <f>"46930.91"</f>
        <v>46930.91</v>
      </c>
      <c r="G7" s="1" t="str">
        <f>"46931.91"</f>
        <v>46931.91</v>
      </c>
      <c r="H7" s="1" t="str">
        <f>"10"</f>
        <v>10</v>
      </c>
      <c r="I7" s="1" t="str">
        <f>"证券卖出(濮耐股份)"</f>
        <v>证券卖出(濮耐股份)</v>
      </c>
      <c r="J7" s="1" t="str">
        <f>"14.10"</f>
        <v>14.10</v>
      </c>
      <c r="K7" s="1" t="str">
        <f>"46.99"</f>
        <v>46.99</v>
      </c>
      <c r="L7" s="1" t="str">
        <f t="shared" si="2"/>
        <v>0.00</v>
      </c>
      <c r="M7" s="1" t="str">
        <f t="shared" si="2"/>
        <v>0.00</v>
      </c>
      <c r="N7" s="1" t="str">
        <f>"002225"</f>
        <v>002225</v>
      </c>
      <c r="O7" s="1" t="str">
        <f>"0055636717"</f>
        <v>0055636717</v>
      </c>
      <c r="P7" s="1" t="s">
        <v>1</v>
      </c>
    </row>
    <row r="8" spans="1:16" x14ac:dyDescent="0.15">
      <c r="A8" s="1" t="str">
        <f t="shared" si="0"/>
        <v>人民币</v>
      </c>
      <c r="B8" s="1" t="str">
        <f>"880013"</f>
        <v>880013</v>
      </c>
      <c r="C8" s="1" t="str">
        <f>"20160331000022"</f>
        <v>20160331000022</v>
      </c>
      <c r="D8" s="1" t="str">
        <f>"1.000"</f>
        <v>1.000</v>
      </c>
      <c r="E8" s="1" t="str">
        <f>"46930.91"</f>
        <v>46930.91</v>
      </c>
      <c r="F8" s="1" t="str">
        <f>"-46930.91"</f>
        <v>-46930.91</v>
      </c>
      <c r="G8" s="1" t="str">
        <f>"1.00"</f>
        <v>1.00</v>
      </c>
      <c r="H8" s="1" t="str">
        <f>""</f>
        <v/>
      </c>
      <c r="I8" s="1" t="str">
        <f>"保证金产品申购(天添利)"</f>
        <v>保证金产品申购(天添利)</v>
      </c>
      <c r="J8" s="1" t="str">
        <f>"0.00"</f>
        <v>0.00</v>
      </c>
      <c r="K8" s="1" t="str">
        <f>"0.00"</f>
        <v>0.00</v>
      </c>
      <c r="L8" s="1" t="str">
        <f t="shared" si="2"/>
        <v>0.00</v>
      </c>
      <c r="M8" s="1" t="str">
        <f t="shared" si="2"/>
        <v>0.00</v>
      </c>
      <c r="N8" s="1" t="str">
        <f>"880013"</f>
        <v>880013</v>
      </c>
      <c r="O8" s="1" t="str">
        <f>"980508075198"</f>
        <v>980508075198</v>
      </c>
      <c r="P8" s="1" t="s">
        <v>1</v>
      </c>
    </row>
    <row r="9" spans="1:16" x14ac:dyDescent="0.15">
      <c r="A9" s="1" t="str">
        <f t="shared" si="0"/>
        <v>人民币</v>
      </c>
      <c r="B9" s="1" t="str">
        <f>"兴业证券"</f>
        <v>兴业证券</v>
      </c>
      <c r="C9" s="1" t="str">
        <f>"20160401000037"</f>
        <v>20160401000037</v>
      </c>
      <c r="D9" s="1" t="str">
        <f>"8.670"</f>
        <v>8.670</v>
      </c>
      <c r="E9" s="1" t="str">
        <f>"4400.00"</f>
        <v>4400.00</v>
      </c>
      <c r="F9" s="1" t="str">
        <f>"-38160.20"</f>
        <v>-38160.20</v>
      </c>
      <c r="G9" s="1" t="str">
        <f>"-38159.20"</f>
        <v>-38159.20</v>
      </c>
      <c r="H9" s="1" t="str">
        <f>"32"</f>
        <v>32</v>
      </c>
      <c r="I9" s="1" t="str">
        <f>"证券买入(兴业证券)"</f>
        <v>证券买入(兴业证券)</v>
      </c>
      <c r="J9" s="1" t="str">
        <f>"11.44"</f>
        <v>11.44</v>
      </c>
      <c r="K9" s="1" t="str">
        <f>"0.00"</f>
        <v>0.00</v>
      </c>
      <c r="L9" s="1" t="str">
        <f>"0.76"</f>
        <v>0.76</v>
      </c>
      <c r="M9" s="1" t="str">
        <f>"0.00"</f>
        <v>0.00</v>
      </c>
      <c r="N9" s="1" t="str">
        <f>"601377"</f>
        <v>601377</v>
      </c>
      <c r="O9" s="1" t="str">
        <f>"A677224972"</f>
        <v>A677224972</v>
      </c>
      <c r="P9" s="1" t="s">
        <v>1</v>
      </c>
    </row>
    <row r="10" spans="1:16" x14ac:dyDescent="0.15">
      <c r="A10" s="1" t="str">
        <f t="shared" si="0"/>
        <v>人民币</v>
      </c>
      <c r="B10" s="1" t="str">
        <f>"掌趣科技"</f>
        <v>掌趣科技</v>
      </c>
      <c r="C10" s="1" t="str">
        <f>"20160401000038"</f>
        <v>20160401000038</v>
      </c>
      <c r="D10" s="1" t="str">
        <f>"11.810"</f>
        <v>11.810</v>
      </c>
      <c r="E10" s="1" t="str">
        <f>"2500.00"</f>
        <v>2500.00</v>
      </c>
      <c r="F10" s="1" t="str">
        <f>"-29533.86"</f>
        <v>-29533.86</v>
      </c>
      <c r="G10" s="1" t="str">
        <f>"-67693.06"</f>
        <v>-67693.06</v>
      </c>
      <c r="H10" s="1" t="str">
        <f>"25"</f>
        <v>25</v>
      </c>
      <c r="I10" s="1" t="str">
        <f>"证券买入(掌趣科技)"</f>
        <v>证券买入(掌趣科技)</v>
      </c>
      <c r="J10" s="1" t="str">
        <f>"8.86"</f>
        <v>8.86</v>
      </c>
      <c r="K10" s="1" t="str">
        <f>"0.00"</f>
        <v>0.00</v>
      </c>
      <c r="L10" s="1" t="str">
        <f>"0.00"</f>
        <v>0.00</v>
      </c>
      <c r="M10" s="1" t="str">
        <f>"0.00"</f>
        <v>0.00</v>
      </c>
      <c r="N10" s="1" t="str">
        <f>"300315"</f>
        <v>300315</v>
      </c>
      <c r="O10" s="1" t="str">
        <f>"0055636717"</f>
        <v>0055636717</v>
      </c>
      <c r="P10" s="1" t="s">
        <v>1</v>
      </c>
    </row>
    <row r="11" spans="1:16" x14ac:dyDescent="0.15">
      <c r="A11" s="1" t="str">
        <f t="shared" si="0"/>
        <v>人民币</v>
      </c>
      <c r="B11" s="1" t="str">
        <f>"掌趣科技"</f>
        <v>掌趣科技</v>
      </c>
      <c r="C11" s="1" t="str">
        <f>"20160401000039"</f>
        <v>20160401000039</v>
      </c>
      <c r="D11" s="1" t="str">
        <f>"11.790"</f>
        <v>11.790</v>
      </c>
      <c r="E11" s="1" t="str">
        <f>"1800.00"</f>
        <v>1800.00</v>
      </c>
      <c r="F11" s="1" t="str">
        <f>"-21228.37"</f>
        <v>-21228.37</v>
      </c>
      <c r="G11" s="1" t="str">
        <f>"-88921.43"</f>
        <v>-88921.43</v>
      </c>
      <c r="H11" s="1" t="str">
        <f>"28"</f>
        <v>28</v>
      </c>
      <c r="I11" s="1" t="str">
        <f>"证券买入(掌趣科技)"</f>
        <v>证券买入(掌趣科技)</v>
      </c>
      <c r="J11" s="1" t="str">
        <f>"6.37"</f>
        <v>6.37</v>
      </c>
      <c r="K11" s="1" t="str">
        <f>"0.00"</f>
        <v>0.00</v>
      </c>
      <c r="L11" s="1" t="str">
        <f>"0.00"</f>
        <v>0.00</v>
      </c>
      <c r="M11" s="1" t="str">
        <f>"0.00"</f>
        <v>0.00</v>
      </c>
      <c r="N11" s="1" t="str">
        <f>"300315"</f>
        <v>300315</v>
      </c>
      <c r="O11" s="1" t="str">
        <f>"0055636717"</f>
        <v>0055636717</v>
      </c>
      <c r="P11" s="1" t="s">
        <v>1</v>
      </c>
    </row>
    <row r="12" spans="1:16" x14ac:dyDescent="0.15">
      <c r="A12" s="1" t="str">
        <f t="shared" si="0"/>
        <v>人民币</v>
      </c>
      <c r="B12" s="1" t="str">
        <f>"880013"</f>
        <v>880013</v>
      </c>
      <c r="C12" s="1" t="str">
        <f>"20160401000040"</f>
        <v>20160401000040</v>
      </c>
      <c r="D12" s="1" t="str">
        <f>"1.000"</f>
        <v>1.000</v>
      </c>
      <c r="E12" s="1" t="str">
        <f>"-88922.43"</f>
        <v>-88922.43</v>
      </c>
      <c r="F12" s="1" t="str">
        <f>"88922.43"</f>
        <v>88922.43</v>
      </c>
      <c r="G12" s="1" t="str">
        <f>"-88921.43"</f>
        <v>-88921.43</v>
      </c>
      <c r="H12" s="1" t="str">
        <f>""</f>
        <v/>
      </c>
      <c r="I12" s="1" t="str">
        <f>"保证金产品赎回(天添利)"</f>
        <v>保证金产品赎回(天添利)</v>
      </c>
      <c r="J12" s="1" t="str">
        <f>"0.00"</f>
        <v>0.00</v>
      </c>
      <c r="K12" s="1" t="str">
        <f>"0.00"</f>
        <v>0.00</v>
      </c>
      <c r="L12" s="1" t="str">
        <f>"0.00"</f>
        <v>0.00</v>
      </c>
      <c r="M12" s="1" t="str">
        <f>"0.00"</f>
        <v>0.00</v>
      </c>
      <c r="N12" s="1" t="str">
        <f>"880013"</f>
        <v>880013</v>
      </c>
      <c r="O12" s="1" t="str">
        <f>"980508075198"</f>
        <v>980508075198</v>
      </c>
      <c r="P12" s="1" t="s">
        <v>1</v>
      </c>
    </row>
    <row r="13" spans="1:16" x14ac:dyDescent="0.15">
      <c r="A13" s="1" t="str">
        <f t="shared" si="0"/>
        <v>人民币</v>
      </c>
      <c r="B13" s="1" t="str">
        <f>"880013"</f>
        <v>880013</v>
      </c>
      <c r="C13" s="1" t="str">
        <f>"20160401000041"</f>
        <v>20160401000041</v>
      </c>
      <c r="D13" s="1" t="str">
        <f>"0.000"</f>
        <v>0.000</v>
      </c>
      <c r="E13" s="1" t="str">
        <f>"0.00"</f>
        <v>0.00</v>
      </c>
      <c r="F13" s="1" t="str">
        <f>"88922.43"</f>
        <v>88922.43</v>
      </c>
      <c r="G13" s="1" t="str">
        <f>"1.00"</f>
        <v>1.00</v>
      </c>
      <c r="H13" s="1" t="str">
        <f>"---"</f>
        <v>---</v>
      </c>
      <c r="I13" s="1" t="str">
        <f>"赎回到帐(天添利)"</f>
        <v>赎回到帐(天添利)</v>
      </c>
      <c r="J13" s="1" t="str">
        <f t="shared" ref="J13:M14" si="3">"---"</f>
        <v>---</v>
      </c>
      <c r="K13" s="1" t="str">
        <f t="shared" si="3"/>
        <v>---</v>
      </c>
      <c r="L13" s="1" t="str">
        <f t="shared" si="3"/>
        <v>---</v>
      </c>
      <c r="M13" s="1" t="str">
        <f t="shared" si="3"/>
        <v>---</v>
      </c>
      <c r="N13" s="1" t="str">
        <f>"880013"</f>
        <v>880013</v>
      </c>
      <c r="O13" s="1" t="str">
        <f>"980508075198"</f>
        <v>980508075198</v>
      </c>
      <c r="P13" s="1" t="s">
        <v>1</v>
      </c>
    </row>
    <row r="14" spans="1:16" x14ac:dyDescent="0.15">
      <c r="A14" s="1" t="str">
        <f t="shared" si="0"/>
        <v>人民币</v>
      </c>
      <c r="B14" s="1" t="str">
        <f>"880013"</f>
        <v>880013</v>
      </c>
      <c r="C14" s="1" t="str">
        <f>"20160407000043"</f>
        <v>20160407000043</v>
      </c>
      <c r="D14" s="1" t="str">
        <f>"0.000"</f>
        <v>0.000</v>
      </c>
      <c r="E14" s="1" t="str">
        <f>"0.00"</f>
        <v>0.00</v>
      </c>
      <c r="F14" s="1" t="str">
        <f>"15.57"</f>
        <v>15.57</v>
      </c>
      <c r="G14" s="1" t="str">
        <f>"16.57"</f>
        <v>16.57</v>
      </c>
      <c r="H14" s="1" t="str">
        <f>"---"</f>
        <v>---</v>
      </c>
      <c r="I14" s="1" t="str">
        <f>"股息入帐(天添利)"</f>
        <v>股息入帐(天添利)</v>
      </c>
      <c r="J14" s="1" t="str">
        <f t="shared" si="3"/>
        <v>---</v>
      </c>
      <c r="K14" s="1" t="str">
        <f t="shared" si="3"/>
        <v>---</v>
      </c>
      <c r="L14" s="1" t="str">
        <f t="shared" si="3"/>
        <v>---</v>
      </c>
      <c r="M14" s="1" t="str">
        <f t="shared" si="3"/>
        <v>---</v>
      </c>
      <c r="N14" s="1" t="str">
        <f>"880013"</f>
        <v>880013</v>
      </c>
      <c r="O14" s="1" t="str">
        <f>"980508075198"</f>
        <v>980508075198</v>
      </c>
      <c r="P14" s="1" t="s">
        <v>1</v>
      </c>
    </row>
    <row r="15" spans="1:16" x14ac:dyDescent="0.15">
      <c r="A15" s="1" t="str">
        <f t="shared" si="0"/>
        <v>人民币</v>
      </c>
      <c r="B15" s="1" t="str">
        <f>"兴业证券"</f>
        <v>兴业证券</v>
      </c>
      <c r="C15" s="1" t="str">
        <f>"20160408000060"</f>
        <v>20160408000060</v>
      </c>
      <c r="D15" s="1" t="str">
        <f>"8.370"</f>
        <v>8.370</v>
      </c>
      <c r="E15" s="1" t="str">
        <f>"5000.00"</f>
        <v>5000.00</v>
      </c>
      <c r="F15" s="1" t="str">
        <f>"-41863.40"</f>
        <v>-41863.40</v>
      </c>
      <c r="G15" s="1" t="str">
        <f>"-41846.83"</f>
        <v>-41846.83</v>
      </c>
      <c r="H15" s="1" t="str">
        <f>"55"</f>
        <v>55</v>
      </c>
      <c r="I15" s="1" t="str">
        <f>"证券买入(兴业证券)"</f>
        <v>证券买入(兴业证券)</v>
      </c>
      <c r="J15" s="1" t="str">
        <f>"12.56"</f>
        <v>12.56</v>
      </c>
      <c r="K15" s="1" t="str">
        <f>"0.00"</f>
        <v>0.00</v>
      </c>
      <c r="L15" s="1" t="str">
        <f>"0.84"</f>
        <v>0.84</v>
      </c>
      <c r="M15" s="1" t="str">
        <f t="shared" ref="M15:M28" si="4">"0.00"</f>
        <v>0.00</v>
      </c>
      <c r="N15" s="1" t="str">
        <f>"601377"</f>
        <v>601377</v>
      </c>
      <c r="O15" s="1" t="str">
        <f>"A677224972"</f>
        <v>A677224972</v>
      </c>
      <c r="P15" s="1" t="s">
        <v>1</v>
      </c>
    </row>
    <row r="16" spans="1:16" x14ac:dyDescent="0.15">
      <c r="A16" s="1" t="str">
        <f t="shared" si="0"/>
        <v>人民币</v>
      </c>
      <c r="B16" s="1" t="str">
        <f>"掌趣科技"</f>
        <v>掌趣科技</v>
      </c>
      <c r="C16" s="1" t="str">
        <f>"20160408000061"</f>
        <v>20160408000061</v>
      </c>
      <c r="D16" s="1" t="str">
        <f>"12.500"</f>
        <v>12.500</v>
      </c>
      <c r="E16" s="1" t="str">
        <f>"-10000.00"</f>
        <v>-10000.00</v>
      </c>
      <c r="F16" s="1" t="str">
        <f>"124837.50"</f>
        <v>124837.50</v>
      </c>
      <c r="G16" s="1" t="str">
        <f>"82990.67"</f>
        <v>82990.67</v>
      </c>
      <c r="H16" s="1" t="str">
        <f>"44"</f>
        <v>44</v>
      </c>
      <c r="I16" s="1" t="str">
        <f>"证券卖出(掌趣科技)"</f>
        <v>证券卖出(掌趣科技)</v>
      </c>
      <c r="J16" s="1" t="str">
        <f>"37.50"</f>
        <v>37.50</v>
      </c>
      <c r="K16" s="1" t="str">
        <f>"125.00"</f>
        <v>125.00</v>
      </c>
      <c r="L16" s="1" t="str">
        <f>"0.00"</f>
        <v>0.00</v>
      </c>
      <c r="M16" s="1" t="str">
        <f t="shared" si="4"/>
        <v>0.00</v>
      </c>
      <c r="N16" s="1" t="str">
        <f>"300315"</f>
        <v>300315</v>
      </c>
      <c r="O16" s="1" t="str">
        <f>"0055636717"</f>
        <v>0055636717</v>
      </c>
      <c r="P16" s="1" t="s">
        <v>1</v>
      </c>
    </row>
    <row r="17" spans="1:16" x14ac:dyDescent="0.15">
      <c r="A17" s="1" t="str">
        <f t="shared" si="0"/>
        <v>人民币</v>
      </c>
      <c r="B17" s="1" t="str">
        <f>"掌趣科技"</f>
        <v>掌趣科技</v>
      </c>
      <c r="C17" s="1" t="str">
        <f>"20160408000062"</f>
        <v>20160408000062</v>
      </c>
      <c r="D17" s="1" t="str">
        <f>"12.490"</f>
        <v>12.490</v>
      </c>
      <c r="E17" s="1" t="str">
        <f>"-10000.00"</f>
        <v>-10000.00</v>
      </c>
      <c r="F17" s="1" t="str">
        <f>"124737.63"</f>
        <v>124737.63</v>
      </c>
      <c r="G17" s="1" t="str">
        <f>"207728.30"</f>
        <v>207728.30</v>
      </c>
      <c r="H17" s="1" t="str">
        <f>"47"</f>
        <v>47</v>
      </c>
      <c r="I17" s="1" t="str">
        <f>"证券卖出(掌趣科技)"</f>
        <v>证券卖出(掌趣科技)</v>
      </c>
      <c r="J17" s="1" t="str">
        <f>"37.47"</f>
        <v>37.47</v>
      </c>
      <c r="K17" s="1" t="str">
        <f>"124.90"</f>
        <v>124.90</v>
      </c>
      <c r="L17" s="1" t="str">
        <f>"0.00"</f>
        <v>0.00</v>
      </c>
      <c r="M17" s="1" t="str">
        <f t="shared" si="4"/>
        <v>0.00</v>
      </c>
      <c r="N17" s="1" t="str">
        <f>"300315"</f>
        <v>300315</v>
      </c>
      <c r="O17" s="1" t="str">
        <f>"0055636717"</f>
        <v>0055636717</v>
      </c>
      <c r="P17" s="1" t="s">
        <v>1</v>
      </c>
    </row>
    <row r="18" spans="1:16" x14ac:dyDescent="0.15">
      <c r="A18" s="1" t="str">
        <f t="shared" si="0"/>
        <v>人民币</v>
      </c>
      <c r="B18" s="1" t="str">
        <f>"880013"</f>
        <v>880013</v>
      </c>
      <c r="C18" s="1" t="str">
        <f>"20160408000063"</f>
        <v>20160408000063</v>
      </c>
      <c r="D18" s="1" t="str">
        <f>"1.000"</f>
        <v>1.000</v>
      </c>
      <c r="E18" s="1" t="str">
        <f>"191021.96"</f>
        <v>191021.96</v>
      </c>
      <c r="F18" s="1" t="str">
        <f>"-191021.96"</f>
        <v>-191021.96</v>
      </c>
      <c r="G18" s="1" t="str">
        <f>"16706.34"</f>
        <v>16706.34</v>
      </c>
      <c r="H18" s="1" t="str">
        <f>""</f>
        <v/>
      </c>
      <c r="I18" s="1" t="str">
        <f>"保证金产品申购(天添利)"</f>
        <v>保证金产品申购(天添利)</v>
      </c>
      <c r="J18" s="1" t="str">
        <f>"0.00"</f>
        <v>0.00</v>
      </c>
      <c r="K18" s="1" t="str">
        <f>"0.00"</f>
        <v>0.00</v>
      </c>
      <c r="L18" s="1" t="str">
        <f>"0.00"</f>
        <v>0.00</v>
      </c>
      <c r="M18" s="1" t="str">
        <f t="shared" si="4"/>
        <v>0.00</v>
      </c>
      <c r="N18" s="1" t="str">
        <f>"880013"</f>
        <v>880013</v>
      </c>
      <c r="O18" s="1" t="str">
        <f>"980508075198"</f>
        <v>980508075198</v>
      </c>
      <c r="P18" s="1" t="s">
        <v>1</v>
      </c>
    </row>
    <row r="19" spans="1:16" x14ac:dyDescent="0.15">
      <c r="A19" s="1" t="str">
        <f t="shared" si="0"/>
        <v>人民币</v>
      </c>
      <c r="B19" s="1" t="str">
        <f>"880013"</f>
        <v>880013</v>
      </c>
      <c r="C19" s="1" t="str">
        <f>"20160411000066"</f>
        <v>20160411000066</v>
      </c>
      <c r="D19" s="1" t="str">
        <f>"1.000"</f>
        <v>1.000</v>
      </c>
      <c r="E19" s="1" t="str">
        <f>"16705.34"</f>
        <v>16705.34</v>
      </c>
      <c r="F19" s="1" t="str">
        <f>"-16705.34"</f>
        <v>-16705.34</v>
      </c>
      <c r="G19" s="1" t="str">
        <f>"1.00"</f>
        <v>1.00</v>
      </c>
      <c r="H19" s="1" t="str">
        <f>""</f>
        <v/>
      </c>
      <c r="I19" s="1" t="str">
        <f>"保证金产品申购(天添利)"</f>
        <v>保证金产品申购(天添利)</v>
      </c>
      <c r="J19" s="1" t="str">
        <f>"0.00"</f>
        <v>0.00</v>
      </c>
      <c r="K19" s="1" t="str">
        <f>"0.00"</f>
        <v>0.00</v>
      </c>
      <c r="L19" s="1" t="str">
        <f>"0.00"</f>
        <v>0.00</v>
      </c>
      <c r="M19" s="1" t="str">
        <f t="shared" si="4"/>
        <v>0.00</v>
      </c>
      <c r="N19" s="1" t="str">
        <f>"880013"</f>
        <v>880013</v>
      </c>
      <c r="O19" s="1" t="str">
        <f>"980508075198"</f>
        <v>980508075198</v>
      </c>
      <c r="P19" s="1" t="s">
        <v>1</v>
      </c>
    </row>
    <row r="20" spans="1:16" x14ac:dyDescent="0.15">
      <c r="A20" s="1" t="str">
        <f t="shared" si="0"/>
        <v>人民币</v>
      </c>
      <c r="B20" s="1" t="str">
        <f>"兴业证券"</f>
        <v>兴业证券</v>
      </c>
      <c r="C20" s="1" t="str">
        <f>"20160413000074"</f>
        <v>20160413000074</v>
      </c>
      <c r="D20" s="1" t="str">
        <f>"9.180"</f>
        <v>9.180</v>
      </c>
      <c r="E20" s="1" t="str">
        <f>"-5000.00"</f>
        <v>-5000.00</v>
      </c>
      <c r="F20" s="1" t="str">
        <f>"45839.41"</f>
        <v>45839.41</v>
      </c>
      <c r="G20" s="1" t="str">
        <f>"45840.41"</f>
        <v>45840.41</v>
      </c>
      <c r="H20" s="1" t="str">
        <f>"67"</f>
        <v>67</v>
      </c>
      <c r="I20" s="1" t="str">
        <f>"证券卖出(兴业证券)"</f>
        <v>证券卖出(兴业证券)</v>
      </c>
      <c r="J20" s="1" t="str">
        <f>"13.77"</f>
        <v>13.77</v>
      </c>
      <c r="K20" s="1" t="str">
        <f>"45.90"</f>
        <v>45.90</v>
      </c>
      <c r="L20" s="1" t="str">
        <f>"0.92"</f>
        <v>0.92</v>
      </c>
      <c r="M20" s="1" t="str">
        <f t="shared" si="4"/>
        <v>0.00</v>
      </c>
      <c r="N20" s="1" t="str">
        <f>"601377"</f>
        <v>601377</v>
      </c>
      <c r="O20" s="1" t="str">
        <f>"A677224972"</f>
        <v>A677224972</v>
      </c>
      <c r="P20" s="1" t="s">
        <v>1</v>
      </c>
    </row>
    <row r="21" spans="1:16" x14ac:dyDescent="0.15">
      <c r="A21" s="1" t="str">
        <f t="shared" si="0"/>
        <v>人民币</v>
      </c>
      <c r="B21" s="1" t="str">
        <f>"880013"</f>
        <v>880013</v>
      </c>
      <c r="C21" s="1" t="str">
        <f>"20160413000075"</f>
        <v>20160413000075</v>
      </c>
      <c r="D21" s="1" t="str">
        <f>"1.000"</f>
        <v>1.000</v>
      </c>
      <c r="E21" s="1" t="str">
        <f>"45839.41"</f>
        <v>45839.41</v>
      </c>
      <c r="F21" s="1" t="str">
        <f>"-45839.41"</f>
        <v>-45839.41</v>
      </c>
      <c r="G21" s="1" t="str">
        <f>"1.00"</f>
        <v>1.00</v>
      </c>
      <c r="H21" s="1" t="str">
        <f>""</f>
        <v/>
      </c>
      <c r="I21" s="1" t="str">
        <f>"保证金产品申购(天添利)"</f>
        <v>保证金产品申购(天添利)</v>
      </c>
      <c r="J21" s="1" t="str">
        <f t="shared" ref="J21:L23" si="5">"0.00"</f>
        <v>0.00</v>
      </c>
      <c r="K21" s="1" t="str">
        <f t="shared" si="5"/>
        <v>0.00</v>
      </c>
      <c r="L21" s="1" t="str">
        <f t="shared" si="5"/>
        <v>0.00</v>
      </c>
      <c r="M21" s="1" t="str">
        <f t="shared" si="4"/>
        <v>0.00</v>
      </c>
      <c r="N21" s="1" t="str">
        <f>"880013"</f>
        <v>880013</v>
      </c>
      <c r="O21" s="1" t="str">
        <f>"980508075198"</f>
        <v>980508075198</v>
      </c>
      <c r="P21" s="1" t="s">
        <v>1</v>
      </c>
    </row>
    <row r="22" spans="1:16" x14ac:dyDescent="0.15">
      <c r="A22" s="1" t="str">
        <f t="shared" si="0"/>
        <v>人民币</v>
      </c>
      <c r="B22" s="1" t="str">
        <f>"天鹅配号"</f>
        <v>天鹅配号</v>
      </c>
      <c r="C22" s="1" t="str">
        <f>"20160415000078"</f>
        <v>20160415000078</v>
      </c>
      <c r="D22" s="1" t="str">
        <f>"0.000"</f>
        <v>0.000</v>
      </c>
      <c r="E22" s="1" t="str">
        <f>"8.00"</f>
        <v>8.00</v>
      </c>
      <c r="F22" s="1" t="str">
        <f>"0.00"</f>
        <v>0.00</v>
      </c>
      <c r="G22" s="1" t="str">
        <f>"1.00"</f>
        <v>1.00</v>
      </c>
      <c r="H22" s="1" t="str">
        <f>"76"</f>
        <v>76</v>
      </c>
      <c r="I22" s="1" t="str">
        <f>"申购配号(天鹅配号)"</f>
        <v>申购配号(天鹅配号)</v>
      </c>
      <c r="J22" s="1" t="str">
        <f t="shared" si="5"/>
        <v>0.00</v>
      </c>
      <c r="K22" s="1" t="str">
        <f t="shared" si="5"/>
        <v>0.00</v>
      </c>
      <c r="L22" s="1" t="str">
        <f t="shared" si="5"/>
        <v>0.00</v>
      </c>
      <c r="M22" s="1" t="str">
        <f t="shared" si="4"/>
        <v>0.00</v>
      </c>
      <c r="N22" s="1" t="str">
        <f>"736029"</f>
        <v>736029</v>
      </c>
      <c r="O22" s="1" t="str">
        <f>"A677224972"</f>
        <v>A677224972</v>
      </c>
      <c r="P22" s="1" t="s">
        <v>1</v>
      </c>
    </row>
    <row r="23" spans="1:16" x14ac:dyDescent="0.15">
      <c r="A23" s="1" t="str">
        <f t="shared" si="0"/>
        <v>人民币</v>
      </c>
      <c r="B23" s="1" t="str">
        <f>"永和智控"</f>
        <v>永和智控</v>
      </c>
      <c r="C23" s="1" t="str">
        <f>"20160419000081"</f>
        <v>20160419000081</v>
      </c>
      <c r="D23" s="1" t="str">
        <f>"0.000"</f>
        <v>0.000</v>
      </c>
      <c r="E23" s="1" t="str">
        <f>"0.00"</f>
        <v>0.00</v>
      </c>
      <c r="F23" s="1" t="str">
        <f>"0.00"</f>
        <v>0.00</v>
      </c>
      <c r="G23" s="1" t="str">
        <f>"1.00"</f>
        <v>1.00</v>
      </c>
      <c r="H23" s="1" t="str">
        <f>"79"</f>
        <v>79</v>
      </c>
      <c r="I23" s="1" t="str">
        <f>"申购配号(永和智控)"</f>
        <v>申购配号(永和智控)</v>
      </c>
      <c r="J23" s="1" t="str">
        <f t="shared" si="5"/>
        <v>0.00</v>
      </c>
      <c r="K23" s="1" t="str">
        <f t="shared" si="5"/>
        <v>0.00</v>
      </c>
      <c r="L23" s="1" t="str">
        <f t="shared" si="5"/>
        <v>0.00</v>
      </c>
      <c r="M23" s="1" t="str">
        <f t="shared" si="4"/>
        <v>0.00</v>
      </c>
      <c r="N23" s="1" t="str">
        <f>"002795"</f>
        <v>002795</v>
      </c>
      <c r="O23" s="1" t="str">
        <f>"0055636717"</f>
        <v>0055636717</v>
      </c>
      <c r="P23" s="1" t="s">
        <v>1</v>
      </c>
    </row>
    <row r="24" spans="1:16" x14ac:dyDescent="0.15">
      <c r="A24" s="1" t="str">
        <f t="shared" si="0"/>
        <v>人民币</v>
      </c>
      <c r="B24" s="1" t="str">
        <f>"兴业证券"</f>
        <v>兴业证券</v>
      </c>
      <c r="C24" s="1" t="str">
        <f>"20160420000017"</f>
        <v>20160420000017</v>
      </c>
      <c r="D24" s="1" t="str">
        <f>"8.480"</f>
        <v>8.480</v>
      </c>
      <c r="E24" s="1" t="str">
        <f>"12000.00"</f>
        <v>12000.00</v>
      </c>
      <c r="F24" s="1" t="str">
        <f>"-101792.57"</f>
        <v>-101792.57</v>
      </c>
      <c r="G24" s="1" t="str">
        <f>"-101791.57"</f>
        <v>-101791.57</v>
      </c>
      <c r="H24" s="1" t="str">
        <f>"1"</f>
        <v>1</v>
      </c>
      <c r="I24" s="1" t="str">
        <f>"证券买入(兴业证券)"</f>
        <v>证券买入(兴业证券)</v>
      </c>
      <c r="J24" s="1" t="str">
        <f>"30.53"</f>
        <v>30.53</v>
      </c>
      <c r="K24" s="1" t="str">
        <f>"0.00"</f>
        <v>0.00</v>
      </c>
      <c r="L24" s="1" t="str">
        <f>"2.04"</f>
        <v>2.04</v>
      </c>
      <c r="M24" s="1" t="str">
        <f t="shared" si="4"/>
        <v>0.00</v>
      </c>
      <c r="N24" s="1" t="str">
        <f>"601377"</f>
        <v>601377</v>
      </c>
      <c r="O24" s="1" t="str">
        <f>"A677224972"</f>
        <v>A677224972</v>
      </c>
      <c r="P24" s="1" t="s">
        <v>1</v>
      </c>
    </row>
    <row r="25" spans="1:16" x14ac:dyDescent="0.15">
      <c r="A25" s="1" t="str">
        <f t="shared" si="0"/>
        <v>人民币</v>
      </c>
      <c r="B25" s="1" t="str">
        <f>"掌趣科技"</f>
        <v>掌趣科技</v>
      </c>
      <c r="C25" s="1" t="str">
        <f>"20160420000018"</f>
        <v>20160420000018</v>
      </c>
      <c r="D25" s="1" t="str">
        <f>"11.940"</f>
        <v>11.940</v>
      </c>
      <c r="E25" s="1" t="str">
        <f>"5000.00"</f>
        <v>5000.00</v>
      </c>
      <c r="F25" s="1" t="str">
        <f>"-59717.91"</f>
        <v>-59717.91</v>
      </c>
      <c r="G25" s="1" t="str">
        <f>"-161509.48"</f>
        <v>-161509.48</v>
      </c>
      <c r="H25" s="1" t="str">
        <f>"3"</f>
        <v>3</v>
      </c>
      <c r="I25" s="1" t="str">
        <f>"证券买入(掌趣科技)"</f>
        <v>证券买入(掌趣科技)</v>
      </c>
      <c r="J25" s="1" t="str">
        <f>"17.91"</f>
        <v>17.91</v>
      </c>
      <c r="K25" s="1" t="str">
        <f>"0.00"</f>
        <v>0.00</v>
      </c>
      <c r="L25" s="1" t="str">
        <f>"0.00"</f>
        <v>0.00</v>
      </c>
      <c r="M25" s="1" t="str">
        <f t="shared" si="4"/>
        <v>0.00</v>
      </c>
      <c r="N25" s="1" t="str">
        <f>"300315"</f>
        <v>300315</v>
      </c>
      <c r="O25" s="1" t="str">
        <f>"0055636717"</f>
        <v>0055636717</v>
      </c>
      <c r="P25" s="1" t="s">
        <v>1</v>
      </c>
    </row>
    <row r="26" spans="1:16" x14ac:dyDescent="0.15">
      <c r="A26" s="1" t="str">
        <f t="shared" si="0"/>
        <v>人民币</v>
      </c>
      <c r="B26" s="1" t="str">
        <f>"掌趣科技"</f>
        <v>掌趣科技</v>
      </c>
      <c r="C26" s="1" t="str">
        <f>"20160420000019"</f>
        <v>20160420000019</v>
      </c>
      <c r="D26" s="1" t="str">
        <f>"11.330"</f>
        <v>11.330</v>
      </c>
      <c r="E26" s="1" t="str">
        <f>"4000.00"</f>
        <v>4000.00</v>
      </c>
      <c r="F26" s="1" t="str">
        <f>"-45333.60"</f>
        <v>-45333.60</v>
      </c>
      <c r="G26" s="1" t="str">
        <f>"-206843.08"</f>
        <v>-206843.08</v>
      </c>
      <c r="H26" s="1" t="str">
        <f>"12"</f>
        <v>12</v>
      </c>
      <c r="I26" s="1" t="str">
        <f>"证券买入(掌趣科技)"</f>
        <v>证券买入(掌趣科技)</v>
      </c>
      <c r="J26" s="1" t="str">
        <f>"13.60"</f>
        <v>13.60</v>
      </c>
      <c r="K26" s="1" t="str">
        <f>"0.00"</f>
        <v>0.00</v>
      </c>
      <c r="L26" s="1" t="str">
        <f>"0.00"</f>
        <v>0.00</v>
      </c>
      <c r="M26" s="1" t="str">
        <f t="shared" si="4"/>
        <v>0.00</v>
      </c>
      <c r="N26" s="1" t="str">
        <f>"300315"</f>
        <v>300315</v>
      </c>
      <c r="O26" s="1" t="str">
        <f>"0055636717"</f>
        <v>0055636717</v>
      </c>
      <c r="P26" s="1" t="s">
        <v>1</v>
      </c>
    </row>
    <row r="27" spans="1:16" x14ac:dyDescent="0.15">
      <c r="A27" s="1" t="str">
        <f t="shared" si="0"/>
        <v>人民币</v>
      </c>
      <c r="B27" s="1" t="str">
        <f>"苏奥传感"</f>
        <v>苏奥传感</v>
      </c>
      <c r="C27" s="1" t="str">
        <f>"20160420000020"</f>
        <v>20160420000020</v>
      </c>
      <c r="D27" s="1" t="str">
        <f>"0.000"</f>
        <v>0.000</v>
      </c>
      <c r="E27" s="1" t="str">
        <f>"0.00"</f>
        <v>0.00</v>
      </c>
      <c r="F27" s="1" t="str">
        <f>"0.00"</f>
        <v>0.00</v>
      </c>
      <c r="G27" s="1" t="str">
        <f>"-206843.08"</f>
        <v>-206843.08</v>
      </c>
      <c r="H27" s="1" t="str">
        <f>"5"</f>
        <v>5</v>
      </c>
      <c r="I27" s="1" t="str">
        <f>"申购配号(苏奥传感)"</f>
        <v>申购配号(苏奥传感)</v>
      </c>
      <c r="J27" s="1" t="str">
        <f>"0.00"</f>
        <v>0.00</v>
      </c>
      <c r="K27" s="1" t="str">
        <f>"0.00"</f>
        <v>0.00</v>
      </c>
      <c r="L27" s="1" t="str">
        <f>"0.00"</f>
        <v>0.00</v>
      </c>
      <c r="M27" s="1" t="str">
        <f t="shared" si="4"/>
        <v>0.00</v>
      </c>
      <c r="N27" s="1" t="str">
        <f>"300507"</f>
        <v>300507</v>
      </c>
      <c r="O27" s="1" t="str">
        <f>"0055636717"</f>
        <v>0055636717</v>
      </c>
      <c r="P27" s="1" t="s">
        <v>1</v>
      </c>
    </row>
    <row r="28" spans="1:16" x14ac:dyDescent="0.15">
      <c r="A28" s="1" t="str">
        <f t="shared" si="0"/>
        <v>人民币</v>
      </c>
      <c r="B28" s="1" t="str">
        <f>"880013"</f>
        <v>880013</v>
      </c>
      <c r="C28" s="1" t="str">
        <f>"20160420000021"</f>
        <v>20160420000021</v>
      </c>
      <c r="D28" s="1" t="str">
        <f>"1.000"</f>
        <v>1.000</v>
      </c>
      <c r="E28" s="1" t="str">
        <f>"-206844.08"</f>
        <v>-206844.08</v>
      </c>
      <c r="F28" s="1" t="str">
        <f>"206844.08"</f>
        <v>206844.08</v>
      </c>
      <c r="G28" s="1" t="str">
        <f>"-206843.08"</f>
        <v>-206843.08</v>
      </c>
      <c r="H28" s="1" t="str">
        <f>""</f>
        <v/>
      </c>
      <c r="I28" s="1" t="str">
        <f>"保证金产品赎回(天添利)"</f>
        <v>保证金产品赎回(天添利)</v>
      </c>
      <c r="J28" s="1" t="str">
        <f>"0.00"</f>
        <v>0.00</v>
      </c>
      <c r="K28" s="1" t="str">
        <f>"0.00"</f>
        <v>0.00</v>
      </c>
      <c r="L28" s="1" t="str">
        <f>"0.00"</f>
        <v>0.00</v>
      </c>
      <c r="M28" s="1" t="str">
        <f t="shared" si="4"/>
        <v>0.00</v>
      </c>
      <c r="N28" s="1" t="str">
        <f>"880013"</f>
        <v>880013</v>
      </c>
      <c r="O28" s="1" t="str">
        <f>"980508075198"</f>
        <v>980508075198</v>
      </c>
      <c r="P28" s="1" t="s">
        <v>1</v>
      </c>
    </row>
    <row r="29" spans="1:16" x14ac:dyDescent="0.15">
      <c r="A29" s="1" t="str">
        <f t="shared" si="0"/>
        <v>人民币</v>
      </c>
      <c r="B29" s="1" t="str">
        <f>"880013"</f>
        <v>880013</v>
      </c>
      <c r="C29" s="1" t="str">
        <f>"20160420000022"</f>
        <v>20160420000022</v>
      </c>
      <c r="D29" s="1" t="str">
        <f>"0.000"</f>
        <v>0.000</v>
      </c>
      <c r="E29" s="1" t="str">
        <f>"0.00"</f>
        <v>0.00</v>
      </c>
      <c r="F29" s="1" t="str">
        <f>"206844.08"</f>
        <v>206844.08</v>
      </c>
      <c r="G29" s="1" t="str">
        <f>"1.00"</f>
        <v>1.00</v>
      </c>
      <c r="H29" s="1" t="str">
        <f>"---"</f>
        <v>---</v>
      </c>
      <c r="I29" s="1" t="str">
        <f>"赎回到帐(天添利)"</f>
        <v>赎回到帐(天添利)</v>
      </c>
      <c r="J29" s="1" t="str">
        <f>"---"</f>
        <v>---</v>
      </c>
      <c r="K29" s="1" t="str">
        <f>"---"</f>
        <v>---</v>
      </c>
      <c r="L29" s="1" t="str">
        <f>"---"</f>
        <v>---</v>
      </c>
      <c r="M29" s="1" t="str">
        <f>"---"</f>
        <v>---</v>
      </c>
      <c r="N29" s="1" t="str">
        <f>"880013"</f>
        <v>880013</v>
      </c>
      <c r="O29" s="1" t="str">
        <f>"980508075198"</f>
        <v>980508075198</v>
      </c>
      <c r="P29" s="1" t="s">
        <v>1</v>
      </c>
    </row>
    <row r="30" spans="1:16" x14ac:dyDescent="0.15">
      <c r="A30" s="1" t="str">
        <f t="shared" si="0"/>
        <v>人民币</v>
      </c>
      <c r="B30" s="1" t="str">
        <f>"多伦配号"</f>
        <v>多伦配号</v>
      </c>
      <c r="C30" s="1" t="str">
        <f>"20160421000025"</f>
        <v>20160421000025</v>
      </c>
      <c r="D30" s="1" t="str">
        <f>"0.000"</f>
        <v>0.000</v>
      </c>
      <c r="E30" s="1" t="str">
        <f>"19.00"</f>
        <v>19.00</v>
      </c>
      <c r="F30" s="1" t="str">
        <f>"0.00"</f>
        <v>0.00</v>
      </c>
      <c r="G30" s="1" t="str">
        <f>"1.00"</f>
        <v>1.00</v>
      </c>
      <c r="H30" s="1" t="str">
        <f>"23"</f>
        <v>23</v>
      </c>
      <c r="I30" s="1" t="str">
        <f>"申购配号(多伦配号)"</f>
        <v>申购配号(多伦配号)</v>
      </c>
      <c r="J30" s="1" t="str">
        <f t="shared" ref="J30:M31" si="6">"0.00"</f>
        <v>0.00</v>
      </c>
      <c r="K30" s="1" t="str">
        <f t="shared" si="6"/>
        <v>0.00</v>
      </c>
      <c r="L30" s="1" t="str">
        <f t="shared" si="6"/>
        <v>0.00</v>
      </c>
      <c r="M30" s="1" t="str">
        <f t="shared" si="6"/>
        <v>0.00</v>
      </c>
      <c r="N30" s="1" t="str">
        <f>"736528"</f>
        <v>736528</v>
      </c>
      <c r="O30" s="1" t="str">
        <f>"A677224972"</f>
        <v>A677224972</v>
      </c>
      <c r="P30" s="1" t="s">
        <v>1</v>
      </c>
    </row>
    <row r="31" spans="1:16" x14ac:dyDescent="0.15">
      <c r="A31" s="1" t="str">
        <f t="shared" si="0"/>
        <v>人民币</v>
      </c>
      <c r="B31" s="1" t="str">
        <f>"汇嘉配号"</f>
        <v>汇嘉配号</v>
      </c>
      <c r="C31" s="1" t="str">
        <f>"20160425000028"</f>
        <v>20160425000028</v>
      </c>
      <c r="D31" s="1" t="str">
        <f>"0.000"</f>
        <v>0.000</v>
      </c>
      <c r="E31" s="1" t="str">
        <f>"0.00"</f>
        <v>0.00</v>
      </c>
      <c r="F31" s="1" t="str">
        <f>"0.00"</f>
        <v>0.00</v>
      </c>
      <c r="G31" s="1" t="str">
        <f>"1.00"</f>
        <v>1.00</v>
      </c>
      <c r="H31" s="1" t="str">
        <f>"26"</f>
        <v>26</v>
      </c>
      <c r="I31" s="1" t="str">
        <f>"申购配号(汇嘉配号)"</f>
        <v>申购配号(汇嘉配号)</v>
      </c>
      <c r="J31" s="1" t="str">
        <f t="shared" si="6"/>
        <v>0.00</v>
      </c>
      <c r="K31" s="1" t="str">
        <f t="shared" si="6"/>
        <v>0.00</v>
      </c>
      <c r="L31" s="1" t="str">
        <f t="shared" si="6"/>
        <v>0.00</v>
      </c>
      <c r="M31" s="1" t="str">
        <f t="shared" si="6"/>
        <v>0.00</v>
      </c>
      <c r="N31" s="1" t="str">
        <f>"736101"</f>
        <v>736101</v>
      </c>
      <c r="O31" s="1" t="str">
        <f>"A677224972"</f>
        <v>A677224972</v>
      </c>
      <c r="P31" s="1" t="s">
        <v>1</v>
      </c>
    </row>
    <row r="32" spans="1:16" x14ac:dyDescent="0.15">
      <c r="A32" s="1" t="str">
        <f t="shared" si="0"/>
        <v>人民币</v>
      </c>
      <c r="B32" s="1" t="str">
        <f>"兴业证券"</f>
        <v>兴业证券</v>
      </c>
      <c r="C32" s="1" t="str">
        <f>"20160509000038"</f>
        <v>20160509000038</v>
      </c>
      <c r="D32" s="1" t="str">
        <f>"7.730"</f>
        <v>7.730</v>
      </c>
      <c r="E32" s="1" t="str">
        <f>"3000.00"</f>
        <v>3000.00</v>
      </c>
      <c r="F32" s="1" t="str">
        <f>"-23197.42"</f>
        <v>-23197.42</v>
      </c>
      <c r="G32" s="1" t="str">
        <f>"-23196.42"</f>
        <v>-23196.42</v>
      </c>
      <c r="H32" s="1" t="str">
        <f>"30"</f>
        <v>30</v>
      </c>
      <c r="I32" s="1" t="str">
        <f>"证券买入(兴业证券)"</f>
        <v>证券买入(兴业证券)</v>
      </c>
      <c r="J32" s="1" t="str">
        <f>"6.96"</f>
        <v>6.96</v>
      </c>
      <c r="K32" s="1" t="str">
        <f>"0.00"</f>
        <v>0.00</v>
      </c>
      <c r="L32" s="1" t="str">
        <f>"0.46"</f>
        <v>0.46</v>
      </c>
      <c r="M32" s="1" t="str">
        <f>"0.00"</f>
        <v>0.00</v>
      </c>
      <c r="N32" s="1" t="str">
        <f>"601377"</f>
        <v>601377</v>
      </c>
      <c r="O32" s="1" t="str">
        <f>"A677224972"</f>
        <v>A677224972</v>
      </c>
      <c r="P32" s="1" t="s">
        <v>1</v>
      </c>
    </row>
    <row r="33" spans="1:16" x14ac:dyDescent="0.15">
      <c r="A33" s="1" t="str">
        <f t="shared" si="0"/>
        <v>人民币</v>
      </c>
      <c r="B33" s="1" t="str">
        <f>"兴业证券"</f>
        <v>兴业证券</v>
      </c>
      <c r="C33" s="1" t="str">
        <f>"20160509000039"</f>
        <v>20160509000039</v>
      </c>
      <c r="D33" s="1" t="str">
        <f>"7.710"</f>
        <v>7.710</v>
      </c>
      <c r="E33" s="1" t="str">
        <f>"3100.00"</f>
        <v>3100.00</v>
      </c>
      <c r="F33" s="1" t="str">
        <f>"-23908.65"</f>
        <v>-23908.65</v>
      </c>
      <c r="G33" s="1" t="str">
        <f>"-47105.07"</f>
        <v>-47105.07</v>
      </c>
      <c r="H33" s="1" t="str">
        <f>"33"</f>
        <v>33</v>
      </c>
      <c r="I33" s="1" t="str">
        <f>"证券买入(兴业证券)"</f>
        <v>证券买入(兴业证券)</v>
      </c>
      <c r="J33" s="1" t="str">
        <f>"7.17"</f>
        <v>7.17</v>
      </c>
      <c r="K33" s="1" t="str">
        <f>"0.00"</f>
        <v>0.00</v>
      </c>
      <c r="L33" s="1" t="str">
        <f>"0.48"</f>
        <v>0.48</v>
      </c>
      <c r="M33" s="1" t="str">
        <f>"0.00"</f>
        <v>0.00</v>
      </c>
      <c r="N33" s="1" t="str">
        <f>"601377"</f>
        <v>601377</v>
      </c>
      <c r="O33" s="1" t="str">
        <f>"A677224972"</f>
        <v>A677224972</v>
      </c>
      <c r="P33" s="1" t="s">
        <v>1</v>
      </c>
    </row>
    <row r="34" spans="1:16" x14ac:dyDescent="0.15">
      <c r="A34" s="1" t="str">
        <f t="shared" si="0"/>
        <v>人民币</v>
      </c>
      <c r="B34" s="1" t="str">
        <f>"880013"</f>
        <v>880013</v>
      </c>
      <c r="C34" s="1" t="str">
        <f>"20160509000040"</f>
        <v>20160509000040</v>
      </c>
      <c r="D34" s="1" t="str">
        <f>"0.000"</f>
        <v>0.000</v>
      </c>
      <c r="E34" s="1" t="str">
        <f>"0.00"</f>
        <v>0.00</v>
      </c>
      <c r="F34" s="1" t="str">
        <f>"105.98"</f>
        <v>105.98</v>
      </c>
      <c r="G34" s="1" t="str">
        <f>"-46999.09"</f>
        <v>-46999.09</v>
      </c>
      <c r="H34" s="1" t="str">
        <f>"---"</f>
        <v>---</v>
      </c>
      <c r="I34" s="1" t="str">
        <f>"股息入帐(天添利)"</f>
        <v>股息入帐(天添利)</v>
      </c>
      <c r="J34" s="1" t="str">
        <f>"---"</f>
        <v>---</v>
      </c>
      <c r="K34" s="1" t="str">
        <f>"---"</f>
        <v>---</v>
      </c>
      <c r="L34" s="1" t="str">
        <f>"---"</f>
        <v>---</v>
      </c>
      <c r="M34" s="1" t="str">
        <f>"---"</f>
        <v>---</v>
      </c>
      <c r="N34" s="1" t="str">
        <f>"880013"</f>
        <v>880013</v>
      </c>
      <c r="O34" s="1" t="str">
        <f>"980508075198"</f>
        <v>980508075198</v>
      </c>
      <c r="P34" s="1" t="s">
        <v>1</v>
      </c>
    </row>
    <row r="35" spans="1:16" x14ac:dyDescent="0.15">
      <c r="A35" s="1" t="str">
        <f t="shared" si="0"/>
        <v>人民币</v>
      </c>
      <c r="B35" s="1" t="str">
        <f>"880013"</f>
        <v>880013</v>
      </c>
      <c r="C35" s="1" t="str">
        <f>"20160509000041"</f>
        <v>20160509000041</v>
      </c>
      <c r="D35" s="1" t="str">
        <f>"1.000"</f>
        <v>1.000</v>
      </c>
      <c r="E35" s="1" t="str">
        <f>"-47106.07"</f>
        <v>-47106.07</v>
      </c>
      <c r="F35" s="1" t="str">
        <f>"47106.07"</f>
        <v>47106.07</v>
      </c>
      <c r="G35" s="1" t="str">
        <f>"-46999.09"</f>
        <v>-46999.09</v>
      </c>
      <c r="H35" s="1" t="str">
        <f>""</f>
        <v/>
      </c>
      <c r="I35" s="1" t="str">
        <f>"保证金产品赎回(天添利)"</f>
        <v>保证金产品赎回(天添利)</v>
      </c>
      <c r="J35" s="1" t="str">
        <f>"0.00"</f>
        <v>0.00</v>
      </c>
      <c r="K35" s="1" t="str">
        <f>"0.00"</f>
        <v>0.00</v>
      </c>
      <c r="L35" s="1" t="str">
        <f>"0.00"</f>
        <v>0.00</v>
      </c>
      <c r="M35" s="1" t="str">
        <f>"0.00"</f>
        <v>0.00</v>
      </c>
      <c r="N35" s="1" t="str">
        <f>"880013"</f>
        <v>880013</v>
      </c>
      <c r="O35" s="1" t="str">
        <f>"980508075198"</f>
        <v>980508075198</v>
      </c>
      <c r="P35" s="1" t="s">
        <v>1</v>
      </c>
    </row>
    <row r="36" spans="1:16" x14ac:dyDescent="0.15">
      <c r="A36" s="1" t="str">
        <f t="shared" si="0"/>
        <v>人民币</v>
      </c>
      <c r="B36" s="1" t="str">
        <f>"880013"</f>
        <v>880013</v>
      </c>
      <c r="C36" s="1" t="str">
        <f>"20160509000042"</f>
        <v>20160509000042</v>
      </c>
      <c r="D36" s="1" t="str">
        <f>"0.000"</f>
        <v>0.000</v>
      </c>
      <c r="E36" s="1" t="str">
        <f>"0.00"</f>
        <v>0.00</v>
      </c>
      <c r="F36" s="1" t="str">
        <f>"47106.07"</f>
        <v>47106.07</v>
      </c>
      <c r="G36" s="1" t="str">
        <f>"106.98"</f>
        <v>106.98</v>
      </c>
      <c r="H36" s="1" t="str">
        <f>"---"</f>
        <v>---</v>
      </c>
      <c r="I36" s="1" t="str">
        <f>"赎回到帐(天添利)"</f>
        <v>赎回到帐(天添利)</v>
      </c>
      <c r="J36" s="1" t="str">
        <f>"---"</f>
        <v>---</v>
      </c>
      <c r="K36" s="1" t="str">
        <f>"---"</f>
        <v>---</v>
      </c>
      <c r="L36" s="1" t="str">
        <f>"---"</f>
        <v>---</v>
      </c>
      <c r="M36" s="1" t="str">
        <f>"---"</f>
        <v>---</v>
      </c>
      <c r="N36" s="1" t="str">
        <f>"880013"</f>
        <v>880013</v>
      </c>
      <c r="O36" s="1" t="str">
        <f>"980508075198"</f>
        <v>980508075198</v>
      </c>
      <c r="P36" s="1" t="s">
        <v>1</v>
      </c>
    </row>
    <row r="37" spans="1:16" x14ac:dyDescent="0.15">
      <c r="A37" s="1" t="str">
        <f t="shared" si="0"/>
        <v>人民币</v>
      </c>
      <c r="B37" s="1" t="str">
        <f>"880013"</f>
        <v>880013</v>
      </c>
      <c r="C37" s="1" t="str">
        <f>"20160510000045"</f>
        <v>20160510000045</v>
      </c>
      <c r="D37" s="1" t="str">
        <f>"1.000"</f>
        <v>1.000</v>
      </c>
      <c r="E37" s="1" t="str">
        <f>"105.98"</f>
        <v>105.98</v>
      </c>
      <c r="F37" s="1" t="str">
        <f>"-105.98"</f>
        <v>-105.98</v>
      </c>
      <c r="G37" s="1" t="str">
        <f>"1.00"</f>
        <v>1.00</v>
      </c>
      <c r="H37" s="1" t="str">
        <f>""</f>
        <v/>
      </c>
      <c r="I37" s="1" t="str">
        <f>"保证金产品申购(天添利)"</f>
        <v>保证金产品申购(天添利)</v>
      </c>
      <c r="J37" s="1" t="str">
        <f>"0.00"</f>
        <v>0.00</v>
      </c>
      <c r="K37" s="1" t="str">
        <f>"0.00"</f>
        <v>0.00</v>
      </c>
      <c r="L37" s="1" t="str">
        <f>"0.00"</f>
        <v>0.00</v>
      </c>
      <c r="M37" s="1" t="str">
        <f>"0.00"</f>
        <v>0.00</v>
      </c>
      <c r="N37" s="1" t="str">
        <f>"880013"</f>
        <v>880013</v>
      </c>
      <c r="O37" s="1" t="str">
        <f>"980508075198"</f>
        <v>980508075198</v>
      </c>
      <c r="P37" s="1" t="s">
        <v>1</v>
      </c>
    </row>
    <row r="38" spans="1:16" x14ac:dyDescent="0.15">
      <c r="A38" s="1" t="str">
        <f t="shared" si="0"/>
        <v>人民币</v>
      </c>
      <c r="B38" s="1" t="str">
        <f>"兴业证券"</f>
        <v>兴业证券</v>
      </c>
      <c r="C38" s="1" t="str">
        <f>"20160518000046"</f>
        <v>20160518000046</v>
      </c>
      <c r="D38" s="1" t="str">
        <f>"0.000"</f>
        <v>0.000</v>
      </c>
      <c r="E38" s="1" t="str">
        <f>"0.00"</f>
        <v>0.00</v>
      </c>
      <c r="F38" s="1" t="str">
        <f>"3790.00"</f>
        <v>3790.00</v>
      </c>
      <c r="G38" s="1" t="str">
        <f>"3791.00"</f>
        <v>3791.00</v>
      </c>
      <c r="H38" s="1" t="str">
        <f>"---"</f>
        <v>---</v>
      </c>
      <c r="I38" s="1" t="str">
        <f>"股息入帐(兴业证券)"</f>
        <v>股息入帐(兴业证券)</v>
      </c>
      <c r="J38" s="1" t="str">
        <f>"---"</f>
        <v>---</v>
      </c>
      <c r="K38" s="1" t="str">
        <f>"---"</f>
        <v>---</v>
      </c>
      <c r="L38" s="1" t="str">
        <f>"---"</f>
        <v>---</v>
      </c>
      <c r="M38" s="1" t="str">
        <f>"---"</f>
        <v>---</v>
      </c>
      <c r="N38" s="1" t="str">
        <f>"601377"</f>
        <v>601377</v>
      </c>
      <c r="O38" s="1" t="str">
        <f>"A677224972"</f>
        <v>A677224972</v>
      </c>
      <c r="P38" s="1" t="s">
        <v>1</v>
      </c>
    </row>
    <row r="39" spans="1:16" x14ac:dyDescent="0.15">
      <c r="A39" s="1" t="str">
        <f t="shared" si="0"/>
        <v>人民币</v>
      </c>
      <c r="B39" s="1" t="str">
        <f>"880013"</f>
        <v>880013</v>
      </c>
      <c r="C39" s="1" t="str">
        <f>"20160519000049"</f>
        <v>20160519000049</v>
      </c>
      <c r="D39" s="1" t="str">
        <f>"1.000"</f>
        <v>1.000</v>
      </c>
      <c r="E39" s="1" t="str">
        <f>"3790.00"</f>
        <v>3790.00</v>
      </c>
      <c r="F39" s="1" t="str">
        <f>"-3790.00"</f>
        <v>-3790.00</v>
      </c>
      <c r="G39" s="1" t="str">
        <f>"1.00"</f>
        <v>1.00</v>
      </c>
      <c r="H39" s="1" t="str">
        <f>""</f>
        <v/>
      </c>
      <c r="I39" s="1" t="str">
        <f>"保证金产品申购(天添利)"</f>
        <v>保证金产品申购(天添利)</v>
      </c>
      <c r="J39" s="1" t="str">
        <f>"0.00"</f>
        <v>0.00</v>
      </c>
      <c r="K39" s="1" t="str">
        <f>"0.00"</f>
        <v>0.00</v>
      </c>
      <c r="L39" s="1" t="str">
        <f>"0.00"</f>
        <v>0.00</v>
      </c>
      <c r="M39" s="1" t="str">
        <f>"0.00"</f>
        <v>0.00</v>
      </c>
      <c r="N39" s="1" t="str">
        <f>"880013"</f>
        <v>880013</v>
      </c>
      <c r="O39" s="1" t="str">
        <f>"980508075198"</f>
        <v>980508075198</v>
      </c>
      <c r="P39" s="1" t="s">
        <v>1</v>
      </c>
    </row>
    <row r="40" spans="1:16" x14ac:dyDescent="0.15">
      <c r="A40" s="1" t="str">
        <f t="shared" si="0"/>
        <v>人民币</v>
      </c>
      <c r="B40" s="1" t="str">
        <f>"恒逸石化"</f>
        <v>恒逸石化</v>
      </c>
      <c r="C40" s="1" t="str">
        <f>"20160524000055"</f>
        <v>20160524000055</v>
      </c>
      <c r="D40" s="1" t="str">
        <f>"9.710"</f>
        <v>9.710</v>
      </c>
      <c r="E40" s="1" t="str">
        <f>"400.00"</f>
        <v>400.00</v>
      </c>
      <c r="F40" s="1" t="str">
        <f>"-3889.00"</f>
        <v>-3889.00</v>
      </c>
      <c r="G40" s="1" t="str">
        <f>"-3888.00"</f>
        <v>-3888.00</v>
      </c>
      <c r="H40" s="1" t="str">
        <f>"50"</f>
        <v>50</v>
      </c>
      <c r="I40" s="1" t="str">
        <f>"证券买入(恒逸石化)"</f>
        <v>证券买入(恒逸石化)</v>
      </c>
      <c r="J40" s="1" t="str">
        <f>"5.00"</f>
        <v>5.00</v>
      </c>
      <c r="K40" s="1" t="str">
        <f t="shared" ref="K40:M41" si="7">"0.00"</f>
        <v>0.00</v>
      </c>
      <c r="L40" s="1" t="str">
        <f t="shared" si="7"/>
        <v>0.00</v>
      </c>
      <c r="M40" s="1" t="str">
        <f t="shared" si="7"/>
        <v>0.00</v>
      </c>
      <c r="N40" s="1" t="str">
        <f>"000703"</f>
        <v>000703</v>
      </c>
      <c r="O40" s="1" t="str">
        <f>"0055636717"</f>
        <v>0055636717</v>
      </c>
      <c r="P40" s="1" t="s">
        <v>1</v>
      </c>
    </row>
    <row r="41" spans="1:16" x14ac:dyDescent="0.15">
      <c r="A41" s="1" t="str">
        <f t="shared" si="0"/>
        <v>人民币</v>
      </c>
      <c r="B41" s="1" t="str">
        <f>"880013"</f>
        <v>880013</v>
      </c>
      <c r="C41" s="1" t="str">
        <f>"20160524000056"</f>
        <v>20160524000056</v>
      </c>
      <c r="D41" s="1" t="str">
        <f>"1.000"</f>
        <v>1.000</v>
      </c>
      <c r="E41" s="1" t="str">
        <f>"-3889.00"</f>
        <v>-3889.00</v>
      </c>
      <c r="F41" s="1" t="str">
        <f>"3889.00"</f>
        <v>3889.00</v>
      </c>
      <c r="G41" s="1" t="str">
        <f>"-3888.00"</f>
        <v>-3888.00</v>
      </c>
      <c r="H41" s="1" t="str">
        <f>""</f>
        <v/>
      </c>
      <c r="I41" s="1" t="str">
        <f>"保证金产品赎回(天添利)"</f>
        <v>保证金产品赎回(天添利)</v>
      </c>
      <c r="J41" s="1" t="str">
        <f>"0.00"</f>
        <v>0.00</v>
      </c>
      <c r="K41" s="1" t="str">
        <f t="shared" si="7"/>
        <v>0.00</v>
      </c>
      <c r="L41" s="1" t="str">
        <f t="shared" si="7"/>
        <v>0.00</v>
      </c>
      <c r="M41" s="1" t="str">
        <f t="shared" si="7"/>
        <v>0.00</v>
      </c>
      <c r="N41" s="1" t="str">
        <f>"880013"</f>
        <v>880013</v>
      </c>
      <c r="O41" s="1" t="str">
        <f>"980508075198"</f>
        <v>980508075198</v>
      </c>
      <c r="P41" s="1" t="s">
        <v>1</v>
      </c>
    </row>
    <row r="42" spans="1:16" x14ac:dyDescent="0.15">
      <c r="A42" s="1" t="str">
        <f t="shared" si="0"/>
        <v>人民币</v>
      </c>
      <c r="B42" s="1" t="str">
        <f>"880013"</f>
        <v>880013</v>
      </c>
      <c r="C42" s="1" t="str">
        <f>"20160524000057"</f>
        <v>20160524000057</v>
      </c>
      <c r="D42" s="1" t="str">
        <f>"0.000"</f>
        <v>0.000</v>
      </c>
      <c r="E42" s="1" t="str">
        <f>"0.00"</f>
        <v>0.00</v>
      </c>
      <c r="F42" s="1" t="str">
        <f>"3889.00"</f>
        <v>3889.00</v>
      </c>
      <c r="G42" s="1" t="str">
        <f>"1.00"</f>
        <v>1.00</v>
      </c>
      <c r="H42" s="1" t="str">
        <f>"---"</f>
        <v>---</v>
      </c>
      <c r="I42" s="1" t="str">
        <f>"赎回到帐(天添利)"</f>
        <v>赎回到帐(天添利)</v>
      </c>
      <c r="J42" s="1" t="str">
        <f t="shared" ref="J42:M44" si="8">"---"</f>
        <v>---</v>
      </c>
      <c r="K42" s="1" t="str">
        <f t="shared" si="8"/>
        <v>---</v>
      </c>
      <c r="L42" s="1" t="str">
        <f t="shared" si="8"/>
        <v>---</v>
      </c>
      <c r="M42" s="1" t="str">
        <f t="shared" si="8"/>
        <v>---</v>
      </c>
      <c r="N42" s="1" t="str">
        <f>"880013"</f>
        <v>880013</v>
      </c>
      <c r="O42" s="1" t="str">
        <f>"980508075198"</f>
        <v>980508075198</v>
      </c>
      <c r="P42" s="1" t="s">
        <v>1</v>
      </c>
    </row>
    <row r="43" spans="1:16" x14ac:dyDescent="0.15">
      <c r="A43" s="1" t="str">
        <f t="shared" si="0"/>
        <v>人民币</v>
      </c>
      <c r="B43" s="1" t="str">
        <f>"国际实业"</f>
        <v>国际实业</v>
      </c>
      <c r="C43" s="1" t="str">
        <f>"20160607000058"</f>
        <v>20160607000058</v>
      </c>
      <c r="D43" s="1" t="str">
        <f>"0.000"</f>
        <v>0.000</v>
      </c>
      <c r="E43" s="1" t="str">
        <f>"0.00"</f>
        <v>0.00</v>
      </c>
      <c r="F43" s="1" t="str">
        <f>"450.00"</f>
        <v>450.00</v>
      </c>
      <c r="G43" s="1" t="str">
        <f>"451.00"</f>
        <v>451.00</v>
      </c>
      <c r="H43" s="1" t="str">
        <f>"---"</f>
        <v>---</v>
      </c>
      <c r="I43" s="1" t="str">
        <f>"股息入帐(国际实业)"</f>
        <v>股息入帐(国际实业)</v>
      </c>
      <c r="J43" s="1" t="str">
        <f t="shared" si="8"/>
        <v>---</v>
      </c>
      <c r="K43" s="1" t="str">
        <f t="shared" si="8"/>
        <v>---</v>
      </c>
      <c r="L43" s="1" t="str">
        <f t="shared" si="8"/>
        <v>---</v>
      </c>
      <c r="M43" s="1" t="str">
        <f t="shared" si="8"/>
        <v>---</v>
      </c>
      <c r="N43" s="1" t="str">
        <f>"000159"</f>
        <v>000159</v>
      </c>
      <c r="O43" s="1" t="str">
        <f>"0055636717"</f>
        <v>0055636717</v>
      </c>
      <c r="P43" s="1" t="s">
        <v>1</v>
      </c>
    </row>
    <row r="44" spans="1:16" x14ac:dyDescent="0.15">
      <c r="A44" s="1" t="str">
        <f t="shared" si="0"/>
        <v>人民币</v>
      </c>
      <c r="B44" s="1" t="str">
        <f>"880013"</f>
        <v>880013</v>
      </c>
      <c r="C44" s="1" t="str">
        <f>"20160608000003"</f>
        <v>20160608000003</v>
      </c>
      <c r="D44" s="1" t="str">
        <f>"0.000"</f>
        <v>0.000</v>
      </c>
      <c r="E44" s="1" t="str">
        <f>"0.00"</f>
        <v>0.00</v>
      </c>
      <c r="F44" s="1" t="str">
        <f>"7.11"</f>
        <v>7.11</v>
      </c>
      <c r="G44" s="1" t="str">
        <f>"458.11"</f>
        <v>458.11</v>
      </c>
      <c r="H44" s="1" t="str">
        <f>"---"</f>
        <v>---</v>
      </c>
      <c r="I44" s="1" t="str">
        <f>"股息入帐(天添利)"</f>
        <v>股息入帐(天添利)</v>
      </c>
      <c r="J44" s="1" t="str">
        <f t="shared" si="8"/>
        <v>---</v>
      </c>
      <c r="K44" s="1" t="str">
        <f t="shared" si="8"/>
        <v>---</v>
      </c>
      <c r="L44" s="1" t="str">
        <f t="shared" si="8"/>
        <v>---</v>
      </c>
      <c r="M44" s="1" t="str">
        <f t="shared" si="8"/>
        <v>---</v>
      </c>
      <c r="N44" s="1" t="str">
        <f>"880013"</f>
        <v>880013</v>
      </c>
      <c r="O44" s="1" t="str">
        <f>"980508075198"</f>
        <v>980508075198</v>
      </c>
      <c r="P44" s="1" t="s">
        <v>1</v>
      </c>
    </row>
    <row r="45" spans="1:16" x14ac:dyDescent="0.15">
      <c r="A45" s="1" t="str">
        <f t="shared" si="0"/>
        <v>人民币</v>
      </c>
      <c r="B45" s="1" t="str">
        <f>"880013"</f>
        <v>880013</v>
      </c>
      <c r="C45" s="1" t="str">
        <f>"20160608000004"</f>
        <v>20160608000004</v>
      </c>
      <c r="D45" s="1" t="str">
        <f>"1.000"</f>
        <v>1.000</v>
      </c>
      <c r="E45" s="1" t="str">
        <f>"450.00"</f>
        <v>450.00</v>
      </c>
      <c r="F45" s="1" t="str">
        <f>"-450.00"</f>
        <v>-450.00</v>
      </c>
      <c r="G45" s="1" t="str">
        <f>"8.11"</f>
        <v>8.11</v>
      </c>
      <c r="H45" s="1" t="str">
        <f>""</f>
        <v/>
      </c>
      <c r="I45" s="1" t="str">
        <f>"保证金产品申购(天添利)"</f>
        <v>保证金产品申购(天添利)</v>
      </c>
      <c r="J45" s="1" t="str">
        <f>"0.00"</f>
        <v>0.00</v>
      </c>
      <c r="K45" s="1" t="str">
        <f>"0.00"</f>
        <v>0.00</v>
      </c>
      <c r="L45" s="1" t="str">
        <f>"0.00"</f>
        <v>0.00</v>
      </c>
      <c r="M45" s="1" t="str">
        <f>"0.00"</f>
        <v>0.00</v>
      </c>
      <c r="N45" s="1" t="str">
        <f>"880013"</f>
        <v>880013</v>
      </c>
      <c r="O45" s="1" t="str">
        <f>"980508075198"</f>
        <v>980508075198</v>
      </c>
      <c r="P45" s="1" t="s">
        <v>1</v>
      </c>
    </row>
    <row r="46" spans="1:16" x14ac:dyDescent="0.15">
      <c r="A46" s="1" t="str">
        <f t="shared" si="0"/>
        <v>人民币</v>
      </c>
      <c r="B46" s="1" t="str">
        <f>""</f>
        <v/>
      </c>
      <c r="C46" s="1" t="str">
        <f>"20160620000008"</f>
        <v>20160620000008</v>
      </c>
      <c r="D46" s="1" t="str">
        <f>"---"</f>
        <v>---</v>
      </c>
      <c r="E46" s="1" t="str">
        <f>"---"</f>
        <v>---</v>
      </c>
      <c r="F46" s="1" t="str">
        <f>"195684.95"</f>
        <v>195684.95</v>
      </c>
      <c r="G46" s="1" t="str">
        <f>"195693.06"</f>
        <v>195693.06</v>
      </c>
      <c r="H46" s="1" t="str">
        <f>"---"</f>
        <v>---</v>
      </c>
      <c r="I46" s="1" t="str">
        <f>"银行转存"</f>
        <v>银行转存</v>
      </c>
      <c r="J46" s="1" t="str">
        <f t="shared" ref="J46:O47" si="9">"---"</f>
        <v>---</v>
      </c>
      <c r="K46" s="1" t="str">
        <f t="shared" si="9"/>
        <v>---</v>
      </c>
      <c r="L46" s="1" t="str">
        <f t="shared" si="9"/>
        <v>---</v>
      </c>
      <c r="M46" s="1" t="str">
        <f t="shared" si="9"/>
        <v>---</v>
      </c>
      <c r="N46" s="1" t="str">
        <f t="shared" si="9"/>
        <v>---</v>
      </c>
      <c r="O46" s="1" t="str">
        <f t="shared" si="9"/>
        <v>---</v>
      </c>
      <c r="P46" s="1" t="s">
        <v>1</v>
      </c>
    </row>
    <row r="47" spans="1:16" x14ac:dyDescent="0.15">
      <c r="A47" s="1" t="str">
        <f t="shared" si="0"/>
        <v>人民币</v>
      </c>
      <c r="B47" s="1" t="str">
        <f>""</f>
        <v/>
      </c>
      <c r="C47" s="1" t="str">
        <f>"20160620000011"</f>
        <v>20160620000011</v>
      </c>
      <c r="D47" s="1" t="str">
        <f>"---"</f>
        <v>---</v>
      </c>
      <c r="E47" s="1" t="str">
        <f>"---"</f>
        <v>---</v>
      </c>
      <c r="F47" s="1" t="str">
        <f>"0.53"</f>
        <v>0.53</v>
      </c>
      <c r="G47" s="1" t="str">
        <f>"195693.59"</f>
        <v>195693.59</v>
      </c>
      <c r="H47" s="1" t="str">
        <f>"---"</f>
        <v>---</v>
      </c>
      <c r="I47" s="1" t="str">
        <f>"批量利息归本"</f>
        <v>批量利息归本</v>
      </c>
      <c r="J47" s="1" t="str">
        <f t="shared" si="9"/>
        <v>---</v>
      </c>
      <c r="K47" s="1" t="str">
        <f t="shared" si="9"/>
        <v>---</v>
      </c>
      <c r="L47" s="1" t="str">
        <f t="shared" si="9"/>
        <v>---</v>
      </c>
      <c r="M47" s="1" t="str">
        <f t="shared" si="9"/>
        <v>---</v>
      </c>
      <c r="N47" s="1" t="str">
        <f t="shared" si="9"/>
        <v>---</v>
      </c>
      <c r="O47" s="1" t="str">
        <f t="shared" si="9"/>
        <v>---</v>
      </c>
      <c r="P47" s="1" t="s">
        <v>1</v>
      </c>
    </row>
    <row r="48" spans="1:16" x14ac:dyDescent="0.15">
      <c r="A48" s="1" t="str">
        <f t="shared" si="0"/>
        <v>人民币</v>
      </c>
      <c r="B48" s="1" t="str">
        <f>"恒逸石化"</f>
        <v>恒逸石化</v>
      </c>
      <c r="C48" s="1" t="str">
        <f>"20160620000012"</f>
        <v>20160620000012</v>
      </c>
      <c r="D48" s="1" t="str">
        <f>"9.390"</f>
        <v>9.390</v>
      </c>
      <c r="E48" s="1" t="str">
        <f>"-400.00"</f>
        <v>-400.00</v>
      </c>
      <c r="F48" s="1" t="str">
        <f>"3747.24"</f>
        <v>3747.24</v>
      </c>
      <c r="G48" s="1" t="str">
        <f>"199440.83"</f>
        <v>199440.83</v>
      </c>
      <c r="H48" s="1" t="str">
        <f>"5"</f>
        <v>5</v>
      </c>
      <c r="I48" s="1" t="str">
        <f>"证券卖出(恒逸石化)"</f>
        <v>证券卖出(恒逸石化)</v>
      </c>
      <c r="J48" s="1" t="str">
        <f>"5.00"</f>
        <v>5.00</v>
      </c>
      <c r="K48" s="1" t="str">
        <f>"3.76"</f>
        <v>3.76</v>
      </c>
      <c r="L48" s="1" t="str">
        <f>"0.00"</f>
        <v>0.00</v>
      </c>
      <c r="M48" s="1" t="str">
        <f>"0.00"</f>
        <v>0.00</v>
      </c>
      <c r="N48" s="1" t="str">
        <f>"000703"</f>
        <v>000703</v>
      </c>
      <c r="O48" s="1" t="str">
        <f>"0055636717"</f>
        <v>0055636717</v>
      </c>
      <c r="P48" s="1" t="s">
        <v>1</v>
      </c>
    </row>
    <row r="49" spans="1:16" x14ac:dyDescent="0.15">
      <c r="A49" s="1" t="str">
        <f t="shared" si="0"/>
        <v>人民币</v>
      </c>
      <c r="B49" s="1" t="str">
        <f>"880013"</f>
        <v>880013</v>
      </c>
      <c r="C49" s="1" t="str">
        <f>"20160620000013"</f>
        <v>20160620000013</v>
      </c>
      <c r="D49" s="1" t="str">
        <f>"1.000"</f>
        <v>1.000</v>
      </c>
      <c r="E49" s="1" t="str">
        <f>"199439.30"</f>
        <v>199439.30</v>
      </c>
      <c r="F49" s="1" t="str">
        <f>"-199439.30"</f>
        <v>-199439.30</v>
      </c>
      <c r="G49" s="1" t="str">
        <f>"1.53"</f>
        <v>1.53</v>
      </c>
      <c r="H49" s="1" t="str">
        <f>""</f>
        <v/>
      </c>
      <c r="I49" s="1" t="str">
        <f>"保证金产品申购(天添利)"</f>
        <v>保证金产品申购(天添利)</v>
      </c>
      <c r="J49" s="1" t="str">
        <f>"0.00"</f>
        <v>0.00</v>
      </c>
      <c r="K49" s="1" t="str">
        <f>"0.00"</f>
        <v>0.00</v>
      </c>
      <c r="L49" s="1" t="str">
        <f>"0.00"</f>
        <v>0.00</v>
      </c>
      <c r="M49" s="1" t="str">
        <f>"0.00"</f>
        <v>0.00</v>
      </c>
      <c r="N49" s="1" t="str">
        <f>"880013"</f>
        <v>880013</v>
      </c>
      <c r="O49" s="1" t="str">
        <f>"980508075198"</f>
        <v>980508075198</v>
      </c>
      <c r="P49" s="1" t="s">
        <v>1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20160622 资金流水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dcterms:created xsi:type="dcterms:W3CDTF">2016-06-22T07:17:23Z</dcterms:created>
  <dcterms:modified xsi:type="dcterms:W3CDTF">2017-01-11T03:13:37Z</dcterms:modified>
</cp:coreProperties>
</file>