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\ncCTM\doc\99.Other\importData\当日委托\"/>
    </mc:Choice>
  </mc:AlternateContent>
  <bookViews>
    <workbookView xWindow="0" yWindow="0" windowWidth="28800" windowHeight="12585"/>
  </bookViews>
  <sheets>
    <sheet name="国泰君安 信用 李伟新" sheetId="1" r:id="rId1"/>
  </sheets>
  <calcPr calcId="0"/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A2" i="1"/>
  <c r="B2" i="1"/>
  <c r="C2" i="1"/>
  <c r="D2" i="1"/>
  <c r="E2" i="1"/>
  <c r="H2" i="1"/>
  <c r="L2" i="1"/>
  <c r="M2" i="1"/>
  <c r="N2" i="1"/>
  <c r="A3" i="1"/>
  <c r="B3" i="1"/>
  <c r="C3" i="1"/>
  <c r="D3" i="1"/>
  <c r="E3" i="1"/>
  <c r="H3" i="1"/>
  <c r="L3" i="1"/>
  <c r="M3" i="1"/>
  <c r="N3" i="1"/>
  <c r="A4" i="1"/>
  <c r="B4" i="1"/>
  <c r="C4" i="1"/>
  <c r="D4" i="1"/>
  <c r="E4" i="1"/>
  <c r="H4" i="1"/>
  <c r="L4" i="1"/>
  <c r="M4" i="1"/>
  <c r="N4" i="1"/>
  <c r="A5" i="1"/>
  <c r="B5" i="1"/>
  <c r="C5" i="1"/>
  <c r="D5" i="1"/>
  <c r="E5" i="1"/>
  <c r="H5" i="1"/>
  <c r="L5" i="1"/>
  <c r="M5" i="1"/>
  <c r="N5" i="1"/>
  <c r="A6" i="1"/>
  <c r="B6" i="1"/>
  <c r="C6" i="1"/>
  <c r="D6" i="1"/>
  <c r="E6" i="1"/>
  <c r="H6" i="1"/>
  <c r="L6" i="1"/>
  <c r="M6" i="1"/>
  <c r="N6" i="1"/>
  <c r="A7" i="1"/>
  <c r="B7" i="1"/>
  <c r="C7" i="1"/>
  <c r="D7" i="1"/>
  <c r="E7" i="1"/>
  <c r="H7" i="1"/>
  <c r="L7" i="1"/>
  <c r="M7" i="1"/>
  <c r="N7" i="1"/>
  <c r="A8" i="1"/>
  <c r="B8" i="1"/>
  <c r="C8" i="1"/>
  <c r="D8" i="1"/>
  <c r="E8" i="1"/>
  <c r="H8" i="1"/>
  <c r="L8" i="1"/>
  <c r="M8" i="1"/>
  <c r="N8" i="1"/>
  <c r="A9" i="1"/>
  <c r="B9" i="1"/>
  <c r="C9" i="1"/>
  <c r="D9" i="1"/>
  <c r="E9" i="1"/>
  <c r="H9" i="1"/>
  <c r="L9" i="1"/>
  <c r="M9" i="1"/>
  <c r="N9" i="1"/>
  <c r="A10" i="1"/>
  <c r="B10" i="1"/>
  <c r="C10" i="1"/>
  <c r="D10" i="1"/>
  <c r="E10" i="1"/>
  <c r="H10" i="1"/>
  <c r="L10" i="1"/>
  <c r="M10" i="1"/>
  <c r="N10" i="1"/>
  <c r="A11" i="1"/>
  <c r="B11" i="1"/>
  <c r="C11" i="1"/>
  <c r="D11" i="1"/>
  <c r="E11" i="1"/>
  <c r="H11" i="1"/>
  <c r="L11" i="1"/>
  <c r="M11" i="1"/>
  <c r="N11" i="1"/>
  <c r="A12" i="1"/>
  <c r="B12" i="1"/>
  <c r="C12" i="1"/>
  <c r="D12" i="1"/>
  <c r="E12" i="1"/>
  <c r="H12" i="1"/>
  <c r="L12" i="1"/>
  <c r="M12" i="1"/>
  <c r="N12" i="1"/>
  <c r="A13" i="1"/>
  <c r="B13" i="1"/>
  <c r="C13" i="1"/>
  <c r="D13" i="1"/>
  <c r="E13" i="1"/>
  <c r="H13" i="1"/>
  <c r="L13" i="1"/>
  <c r="M13" i="1"/>
  <c r="N13" i="1"/>
  <c r="A14" i="1"/>
  <c r="B14" i="1"/>
  <c r="C14" i="1"/>
  <c r="D14" i="1"/>
  <c r="E14" i="1"/>
  <c r="H14" i="1"/>
  <c r="L14" i="1"/>
  <c r="M14" i="1"/>
  <c r="N14" i="1"/>
  <c r="A15" i="1"/>
  <c r="B15" i="1"/>
  <c r="C15" i="1"/>
  <c r="D15" i="1"/>
  <c r="E15" i="1"/>
  <c r="H15" i="1"/>
  <c r="L15" i="1"/>
  <c r="M15" i="1"/>
  <c r="N15" i="1"/>
  <c r="A16" i="1"/>
  <c r="B16" i="1"/>
  <c r="C16" i="1"/>
  <c r="D16" i="1"/>
  <c r="E16" i="1"/>
  <c r="H16" i="1"/>
  <c r="L16" i="1"/>
  <c r="M16" i="1"/>
  <c r="N16" i="1"/>
  <c r="A17" i="1"/>
  <c r="B17" i="1"/>
  <c r="C17" i="1"/>
  <c r="D17" i="1"/>
  <c r="E17" i="1"/>
  <c r="H17" i="1"/>
  <c r="L17" i="1"/>
  <c r="M17" i="1"/>
  <c r="N17" i="1"/>
  <c r="A18" i="1"/>
  <c r="B18" i="1"/>
  <c r="C18" i="1"/>
  <c r="D18" i="1"/>
  <c r="E18" i="1"/>
  <c r="H18" i="1"/>
  <c r="L18" i="1"/>
  <c r="M18" i="1"/>
  <c r="N18" i="1"/>
  <c r="A19" i="1"/>
  <c r="B19" i="1"/>
  <c r="C19" i="1"/>
  <c r="D19" i="1"/>
  <c r="E19" i="1"/>
  <c r="H19" i="1"/>
  <c r="L19" i="1"/>
  <c r="M19" i="1"/>
  <c r="N19" i="1"/>
  <c r="A20" i="1"/>
  <c r="B20" i="1"/>
  <c r="C20" i="1"/>
  <c r="D20" i="1"/>
  <c r="E20" i="1"/>
  <c r="H20" i="1"/>
  <c r="L20" i="1"/>
  <c r="M20" i="1"/>
  <c r="N20" i="1"/>
  <c r="A21" i="1"/>
  <c r="B21" i="1"/>
  <c r="C21" i="1"/>
  <c r="D21" i="1"/>
  <c r="E21" i="1"/>
  <c r="H21" i="1"/>
  <c r="L21" i="1"/>
  <c r="M21" i="1"/>
  <c r="N21" i="1"/>
  <c r="A22" i="1"/>
  <c r="B22" i="1"/>
  <c r="C22" i="1"/>
  <c r="D22" i="1"/>
  <c r="E22" i="1"/>
  <c r="H22" i="1"/>
  <c r="L22" i="1"/>
  <c r="M22" i="1"/>
  <c r="N22" i="1"/>
  <c r="A23" i="1"/>
  <c r="B23" i="1"/>
  <c r="C23" i="1"/>
  <c r="D23" i="1"/>
  <c r="E23" i="1"/>
  <c r="H23" i="1"/>
  <c r="L23" i="1"/>
  <c r="M23" i="1"/>
  <c r="N23" i="1"/>
  <c r="A24" i="1"/>
  <c r="B24" i="1"/>
  <c r="C24" i="1"/>
  <c r="D24" i="1"/>
  <c r="E24" i="1"/>
  <c r="H24" i="1"/>
  <c r="L24" i="1"/>
  <c r="M24" i="1"/>
  <c r="N24" i="1"/>
  <c r="A25" i="1"/>
  <c r="B25" i="1"/>
  <c r="C25" i="1"/>
  <c r="D25" i="1"/>
  <c r="E25" i="1"/>
  <c r="H25" i="1"/>
  <c r="L25" i="1"/>
  <c r="M25" i="1"/>
  <c r="N25" i="1"/>
  <c r="A26" i="1"/>
  <c r="B26" i="1"/>
  <c r="C26" i="1"/>
  <c r="D26" i="1"/>
  <c r="E26" i="1"/>
  <c r="H26" i="1"/>
  <c r="L26" i="1"/>
  <c r="M26" i="1"/>
  <c r="N26" i="1"/>
  <c r="A27" i="1"/>
  <c r="B27" i="1"/>
  <c r="C27" i="1"/>
  <c r="D27" i="1"/>
  <c r="E27" i="1"/>
  <c r="H27" i="1"/>
  <c r="L27" i="1"/>
  <c r="M27" i="1"/>
  <c r="N27" i="1"/>
  <c r="A28" i="1"/>
  <c r="B28" i="1"/>
  <c r="C28" i="1"/>
  <c r="D28" i="1"/>
  <c r="E28" i="1"/>
  <c r="H28" i="1"/>
  <c r="L28" i="1"/>
  <c r="M28" i="1"/>
  <c r="N28" i="1"/>
  <c r="A29" i="1"/>
  <c r="B29" i="1"/>
  <c r="C29" i="1"/>
  <c r="D29" i="1"/>
  <c r="E29" i="1"/>
  <c r="H29" i="1"/>
  <c r="L29" i="1"/>
  <c r="M29" i="1"/>
  <c r="N29" i="1"/>
  <c r="A30" i="1"/>
  <c r="B30" i="1"/>
  <c r="C30" i="1"/>
  <c r="D30" i="1"/>
  <c r="E30" i="1"/>
  <c r="H30" i="1"/>
  <c r="L30" i="1"/>
  <c r="M30" i="1"/>
  <c r="N30" i="1"/>
  <c r="A31" i="1"/>
  <c r="B31" i="1"/>
  <c r="C31" i="1"/>
  <c r="D31" i="1"/>
  <c r="E31" i="1"/>
  <c r="H31" i="1"/>
  <c r="L31" i="1"/>
  <c r="M31" i="1"/>
  <c r="N31" i="1"/>
  <c r="A32" i="1"/>
  <c r="B32" i="1"/>
  <c r="C32" i="1"/>
  <c r="D32" i="1"/>
  <c r="E32" i="1"/>
  <c r="H32" i="1"/>
  <c r="L32" i="1"/>
  <c r="M32" i="1"/>
  <c r="N32" i="1"/>
  <c r="A33" i="1"/>
  <c r="B33" i="1"/>
  <c r="C33" i="1"/>
  <c r="D33" i="1"/>
  <c r="E33" i="1"/>
  <c r="H33" i="1"/>
  <c r="L33" i="1"/>
  <c r="M33" i="1"/>
  <c r="N33" i="1"/>
  <c r="A34" i="1"/>
  <c r="B34" i="1"/>
  <c r="C34" i="1"/>
  <c r="D34" i="1"/>
  <c r="E34" i="1"/>
  <c r="H34" i="1"/>
  <c r="L34" i="1"/>
  <c r="M34" i="1"/>
  <c r="N34" i="1"/>
  <c r="A35" i="1"/>
  <c r="B35" i="1"/>
  <c r="C35" i="1"/>
  <c r="D35" i="1"/>
  <c r="E35" i="1"/>
  <c r="H35" i="1"/>
  <c r="L35" i="1"/>
  <c r="M35" i="1"/>
  <c r="N35" i="1"/>
  <c r="A36" i="1"/>
  <c r="B36" i="1"/>
  <c r="C36" i="1"/>
  <c r="D36" i="1"/>
  <c r="E36" i="1"/>
  <c r="H36" i="1"/>
  <c r="L36" i="1"/>
  <c r="M36" i="1"/>
  <c r="N36" i="1"/>
  <c r="A37" i="1"/>
  <c r="B37" i="1"/>
  <c r="C37" i="1"/>
  <c r="D37" i="1"/>
  <c r="E37" i="1"/>
  <c r="H37" i="1"/>
  <c r="L37" i="1"/>
  <c r="M37" i="1"/>
  <c r="N37" i="1"/>
  <c r="A38" i="1"/>
  <c r="B38" i="1"/>
  <c r="C38" i="1"/>
  <c r="D38" i="1"/>
  <c r="E38" i="1"/>
  <c r="H38" i="1"/>
  <c r="L38" i="1"/>
  <c r="M38" i="1"/>
  <c r="N38" i="1"/>
  <c r="A39" i="1"/>
  <c r="B39" i="1"/>
  <c r="C39" i="1"/>
  <c r="D39" i="1"/>
  <c r="E39" i="1"/>
  <c r="H39" i="1"/>
  <c r="L39" i="1"/>
  <c r="M39" i="1"/>
  <c r="N39" i="1"/>
  <c r="A40" i="1"/>
  <c r="B40" i="1"/>
  <c r="C40" i="1"/>
  <c r="D40" i="1"/>
  <c r="E40" i="1"/>
  <c r="H40" i="1"/>
  <c r="L40" i="1"/>
  <c r="M40" i="1"/>
  <c r="N40" i="1"/>
  <c r="A41" i="1"/>
  <c r="B41" i="1"/>
  <c r="C41" i="1"/>
  <c r="D41" i="1"/>
  <c r="E41" i="1"/>
  <c r="H41" i="1"/>
  <c r="L41" i="1"/>
  <c r="M41" i="1"/>
  <c r="N41" i="1"/>
  <c r="A42" i="1"/>
  <c r="B42" i="1"/>
  <c r="C42" i="1"/>
  <c r="D42" i="1"/>
  <c r="E42" i="1"/>
  <c r="H42" i="1"/>
  <c r="L42" i="1"/>
  <c r="M42" i="1"/>
  <c r="N42" i="1"/>
  <c r="A43" i="1"/>
  <c r="B43" i="1"/>
  <c r="C43" i="1"/>
  <c r="D43" i="1"/>
  <c r="E43" i="1"/>
  <c r="H43" i="1"/>
  <c r="L43" i="1"/>
  <c r="M43" i="1"/>
  <c r="N43" i="1"/>
  <c r="A44" i="1"/>
  <c r="B44" i="1"/>
  <c r="C44" i="1"/>
  <c r="D44" i="1"/>
  <c r="E44" i="1"/>
  <c r="H44" i="1"/>
  <c r="L44" i="1"/>
  <c r="M44" i="1"/>
  <c r="N44" i="1"/>
  <c r="A45" i="1"/>
  <c r="B45" i="1"/>
  <c r="C45" i="1"/>
  <c r="D45" i="1"/>
  <c r="E45" i="1"/>
  <c r="H45" i="1"/>
  <c r="L45" i="1"/>
  <c r="M45" i="1"/>
  <c r="N45" i="1"/>
  <c r="A46" i="1"/>
  <c r="B46" i="1"/>
  <c r="C46" i="1"/>
  <c r="D46" i="1"/>
  <c r="E46" i="1"/>
  <c r="H46" i="1"/>
  <c r="L46" i="1"/>
  <c r="M46" i="1"/>
  <c r="N46" i="1"/>
  <c r="A47" i="1"/>
  <c r="B47" i="1"/>
  <c r="C47" i="1"/>
  <c r="D47" i="1"/>
  <c r="E47" i="1"/>
  <c r="H47" i="1"/>
  <c r="L47" i="1"/>
  <c r="M47" i="1"/>
  <c r="N47" i="1"/>
  <c r="A48" i="1"/>
  <c r="B48" i="1"/>
  <c r="C48" i="1"/>
  <c r="D48" i="1"/>
  <c r="E48" i="1"/>
  <c r="H48" i="1"/>
  <c r="L48" i="1"/>
  <c r="M48" i="1"/>
  <c r="N48" i="1"/>
  <c r="A49" i="1"/>
  <c r="B49" i="1"/>
  <c r="C49" i="1"/>
  <c r="D49" i="1"/>
  <c r="E49" i="1"/>
  <c r="H49" i="1"/>
  <c r="L49" i="1"/>
  <c r="M49" i="1"/>
  <c r="N49" i="1"/>
  <c r="A50" i="1"/>
  <c r="B50" i="1"/>
  <c r="C50" i="1"/>
  <c r="D50" i="1"/>
  <c r="E50" i="1"/>
  <c r="H50" i="1"/>
  <c r="L50" i="1"/>
  <c r="M50" i="1"/>
  <c r="N50" i="1"/>
  <c r="A51" i="1"/>
  <c r="B51" i="1"/>
  <c r="C51" i="1"/>
  <c r="D51" i="1"/>
  <c r="E51" i="1"/>
  <c r="H51" i="1"/>
  <c r="L51" i="1"/>
  <c r="M51" i="1"/>
  <c r="N51" i="1"/>
  <c r="A52" i="1"/>
  <c r="B52" i="1"/>
  <c r="C52" i="1"/>
  <c r="D52" i="1"/>
  <c r="E52" i="1"/>
  <c r="H52" i="1"/>
  <c r="L52" i="1"/>
  <c r="M52" i="1"/>
  <c r="N52" i="1"/>
  <c r="A53" i="1"/>
  <c r="B53" i="1"/>
  <c r="C53" i="1"/>
  <c r="D53" i="1"/>
  <c r="E53" i="1"/>
  <c r="H53" i="1"/>
  <c r="L53" i="1"/>
  <c r="M53" i="1"/>
  <c r="N53" i="1"/>
  <c r="A54" i="1"/>
  <c r="B54" i="1"/>
  <c r="C54" i="1"/>
  <c r="D54" i="1"/>
  <c r="E54" i="1"/>
  <c r="H54" i="1"/>
  <c r="L54" i="1"/>
  <c r="M54" i="1"/>
  <c r="N54" i="1"/>
  <c r="A55" i="1"/>
  <c r="B55" i="1"/>
  <c r="C55" i="1"/>
  <c r="D55" i="1"/>
  <c r="E55" i="1"/>
  <c r="H55" i="1"/>
  <c r="L55" i="1"/>
  <c r="M55" i="1"/>
  <c r="N55" i="1"/>
  <c r="A56" i="1"/>
  <c r="B56" i="1"/>
  <c r="C56" i="1"/>
  <c r="D56" i="1"/>
  <c r="E56" i="1"/>
  <c r="H56" i="1"/>
  <c r="L56" i="1"/>
  <c r="M56" i="1"/>
  <c r="N56" i="1"/>
  <c r="A57" i="1"/>
  <c r="B57" i="1"/>
  <c r="C57" i="1"/>
  <c r="D57" i="1"/>
  <c r="E57" i="1"/>
  <c r="H57" i="1"/>
  <c r="L57" i="1"/>
  <c r="M57" i="1"/>
  <c r="N57" i="1"/>
  <c r="A58" i="1"/>
  <c r="B58" i="1"/>
  <c r="C58" i="1"/>
  <c r="D58" i="1"/>
  <c r="E58" i="1"/>
  <c r="H58" i="1"/>
  <c r="L58" i="1"/>
  <c r="M58" i="1"/>
  <c r="N58" i="1"/>
  <c r="A59" i="1"/>
  <c r="B59" i="1"/>
  <c r="C59" i="1"/>
  <c r="D59" i="1"/>
  <c r="E59" i="1"/>
  <c r="H59" i="1"/>
  <c r="L59" i="1"/>
  <c r="M59" i="1"/>
  <c r="N59" i="1"/>
  <c r="A60" i="1"/>
  <c r="B60" i="1"/>
  <c r="C60" i="1"/>
  <c r="D60" i="1"/>
  <c r="E60" i="1"/>
  <c r="H60" i="1"/>
  <c r="L60" i="1"/>
  <c r="M60" i="1"/>
  <c r="N60" i="1"/>
  <c r="A61" i="1"/>
  <c r="B61" i="1"/>
  <c r="C61" i="1"/>
  <c r="D61" i="1"/>
  <c r="E61" i="1"/>
  <c r="H61" i="1"/>
  <c r="L61" i="1"/>
  <c r="M61" i="1"/>
  <c r="N61" i="1"/>
  <c r="A62" i="1"/>
  <c r="B62" i="1"/>
  <c r="C62" i="1"/>
  <c r="D62" i="1"/>
  <c r="E62" i="1"/>
  <c r="H62" i="1"/>
  <c r="L62" i="1"/>
  <c r="M62" i="1"/>
  <c r="N62" i="1"/>
  <c r="A63" i="1"/>
  <c r="B63" i="1"/>
  <c r="C63" i="1"/>
  <c r="D63" i="1"/>
  <c r="E63" i="1"/>
  <c r="H63" i="1"/>
  <c r="L63" i="1"/>
  <c r="M63" i="1"/>
  <c r="N63" i="1"/>
  <c r="A64" i="1"/>
  <c r="B64" i="1"/>
  <c r="C64" i="1"/>
  <c r="D64" i="1"/>
  <c r="E64" i="1"/>
  <c r="H64" i="1"/>
  <c r="L64" i="1"/>
  <c r="M64" i="1"/>
  <c r="N64" i="1"/>
  <c r="A65" i="1"/>
  <c r="B65" i="1"/>
  <c r="C65" i="1"/>
  <c r="D65" i="1"/>
  <c r="E65" i="1"/>
  <c r="H65" i="1"/>
  <c r="L65" i="1"/>
  <c r="M65" i="1"/>
  <c r="N65" i="1"/>
  <c r="A66" i="1"/>
  <c r="B66" i="1"/>
  <c r="C66" i="1"/>
  <c r="D66" i="1"/>
  <c r="E66" i="1"/>
  <c r="H66" i="1"/>
  <c r="L66" i="1"/>
  <c r="M66" i="1"/>
  <c r="N66" i="1"/>
  <c r="A67" i="1"/>
  <c r="B67" i="1"/>
  <c r="C67" i="1"/>
  <c r="D67" i="1"/>
  <c r="E67" i="1"/>
  <c r="H67" i="1"/>
  <c r="L67" i="1"/>
  <c r="M67" i="1"/>
  <c r="N67" i="1"/>
  <c r="A68" i="1"/>
  <c r="B68" i="1"/>
  <c r="C68" i="1"/>
  <c r="D68" i="1"/>
  <c r="E68" i="1"/>
  <c r="H68" i="1"/>
  <c r="L68" i="1"/>
  <c r="M68" i="1"/>
  <c r="N68" i="1"/>
  <c r="A69" i="1"/>
  <c r="B69" i="1"/>
  <c r="C69" i="1"/>
  <c r="D69" i="1"/>
  <c r="E69" i="1"/>
  <c r="H69" i="1"/>
  <c r="L69" i="1"/>
  <c r="M69" i="1"/>
  <c r="N69" i="1"/>
  <c r="A70" i="1"/>
  <c r="B70" i="1"/>
  <c r="C70" i="1"/>
  <c r="D70" i="1"/>
  <c r="E70" i="1"/>
  <c r="H70" i="1"/>
  <c r="L70" i="1"/>
  <c r="M70" i="1"/>
  <c r="N70" i="1"/>
  <c r="A71" i="1"/>
  <c r="B71" i="1"/>
  <c r="C71" i="1"/>
  <c r="D71" i="1"/>
  <c r="E71" i="1"/>
  <c r="H71" i="1"/>
  <c r="L71" i="1"/>
  <c r="M71" i="1"/>
  <c r="N71" i="1"/>
  <c r="A72" i="1"/>
  <c r="B72" i="1"/>
  <c r="C72" i="1"/>
  <c r="D72" i="1"/>
  <c r="E72" i="1"/>
  <c r="H72" i="1"/>
  <c r="L72" i="1"/>
  <c r="M72" i="1"/>
  <c r="N72" i="1"/>
  <c r="A73" i="1"/>
  <c r="B73" i="1"/>
  <c r="C73" i="1"/>
  <c r="D73" i="1"/>
  <c r="E73" i="1"/>
  <c r="H73" i="1"/>
  <c r="L73" i="1"/>
  <c r="M73" i="1"/>
  <c r="N73" i="1"/>
  <c r="A74" i="1"/>
  <c r="B74" i="1"/>
  <c r="C74" i="1"/>
  <c r="D74" i="1"/>
  <c r="E74" i="1"/>
  <c r="H74" i="1"/>
  <c r="L74" i="1"/>
  <c r="M74" i="1"/>
  <c r="N74" i="1"/>
  <c r="A75" i="1"/>
  <c r="B75" i="1"/>
  <c r="C75" i="1"/>
  <c r="D75" i="1"/>
  <c r="E75" i="1"/>
  <c r="H75" i="1"/>
  <c r="L75" i="1"/>
  <c r="M75" i="1"/>
  <c r="N75" i="1"/>
  <c r="A76" i="1"/>
  <c r="B76" i="1"/>
  <c r="C76" i="1"/>
  <c r="D76" i="1"/>
  <c r="E76" i="1"/>
  <c r="H76" i="1"/>
  <c r="L76" i="1"/>
  <c r="M76" i="1"/>
  <c r="N76" i="1"/>
  <c r="A77" i="1"/>
  <c r="B77" i="1"/>
  <c r="C77" i="1"/>
  <c r="D77" i="1"/>
  <c r="E77" i="1"/>
  <c r="H77" i="1"/>
  <c r="L77" i="1"/>
  <c r="M77" i="1"/>
  <c r="N77" i="1"/>
  <c r="A78" i="1"/>
  <c r="B78" i="1"/>
  <c r="C78" i="1"/>
  <c r="D78" i="1"/>
  <c r="E78" i="1"/>
  <c r="H78" i="1"/>
  <c r="L78" i="1"/>
  <c r="M78" i="1"/>
  <c r="N78" i="1"/>
  <c r="A79" i="1"/>
  <c r="B79" i="1"/>
  <c r="C79" i="1"/>
  <c r="D79" i="1"/>
  <c r="E79" i="1"/>
  <c r="H79" i="1"/>
  <c r="L79" i="1"/>
  <c r="M79" i="1"/>
  <c r="N79" i="1"/>
  <c r="A80" i="1"/>
  <c r="B80" i="1"/>
  <c r="C80" i="1"/>
  <c r="D80" i="1"/>
  <c r="E80" i="1"/>
  <c r="H80" i="1"/>
  <c r="L80" i="1"/>
  <c r="M80" i="1"/>
  <c r="N80" i="1"/>
  <c r="A81" i="1"/>
  <c r="B81" i="1"/>
  <c r="C81" i="1"/>
  <c r="D81" i="1"/>
  <c r="E81" i="1"/>
  <c r="H81" i="1"/>
  <c r="L81" i="1"/>
  <c r="M81" i="1"/>
  <c r="N81" i="1"/>
  <c r="A82" i="1"/>
  <c r="B82" i="1"/>
  <c r="C82" i="1"/>
  <c r="D82" i="1"/>
  <c r="E82" i="1"/>
  <c r="H82" i="1"/>
  <c r="L82" i="1"/>
  <c r="M82" i="1"/>
  <c r="N82" i="1"/>
  <c r="A83" i="1"/>
  <c r="B83" i="1"/>
  <c r="C83" i="1"/>
  <c r="D83" i="1"/>
  <c r="E83" i="1"/>
  <c r="H83" i="1"/>
  <c r="L83" i="1"/>
  <c r="M83" i="1"/>
  <c r="N83" i="1"/>
  <c r="A84" i="1"/>
  <c r="B84" i="1"/>
  <c r="C84" i="1"/>
  <c r="D84" i="1"/>
  <c r="E84" i="1"/>
  <c r="H84" i="1"/>
  <c r="L84" i="1"/>
  <c r="M84" i="1"/>
  <c r="N84" i="1"/>
  <c r="A85" i="1"/>
  <c r="B85" i="1"/>
  <c r="C85" i="1"/>
  <c r="D85" i="1"/>
  <c r="E85" i="1"/>
  <c r="H85" i="1"/>
  <c r="L85" i="1"/>
  <c r="M85" i="1"/>
  <c r="N85" i="1"/>
  <c r="A86" i="1"/>
  <c r="B86" i="1"/>
  <c r="C86" i="1"/>
  <c r="D86" i="1"/>
  <c r="E86" i="1"/>
  <c r="H86" i="1"/>
  <c r="L86" i="1"/>
  <c r="M86" i="1"/>
  <c r="N86" i="1"/>
  <c r="A87" i="1"/>
  <c r="B87" i="1"/>
  <c r="C87" i="1"/>
  <c r="D87" i="1"/>
  <c r="E87" i="1"/>
  <c r="H87" i="1"/>
  <c r="L87" i="1"/>
  <c r="M87" i="1"/>
  <c r="N87" i="1"/>
  <c r="A88" i="1"/>
  <c r="B88" i="1"/>
  <c r="C88" i="1"/>
  <c r="D88" i="1"/>
  <c r="E88" i="1"/>
  <c r="H88" i="1"/>
  <c r="L88" i="1"/>
  <c r="M88" i="1"/>
  <c r="N88" i="1"/>
  <c r="A89" i="1"/>
  <c r="B89" i="1"/>
  <c r="C89" i="1"/>
  <c r="D89" i="1"/>
  <c r="E89" i="1"/>
  <c r="H89" i="1"/>
  <c r="L89" i="1"/>
  <c r="M89" i="1"/>
  <c r="N89" i="1"/>
  <c r="A90" i="1"/>
  <c r="B90" i="1"/>
  <c r="C90" i="1"/>
  <c r="D90" i="1"/>
  <c r="E90" i="1"/>
  <c r="H90" i="1"/>
  <c r="L90" i="1"/>
  <c r="M90" i="1"/>
  <c r="N90" i="1"/>
  <c r="A91" i="1"/>
  <c r="B91" i="1"/>
  <c r="C91" i="1"/>
  <c r="D91" i="1"/>
  <c r="E91" i="1"/>
  <c r="H91" i="1"/>
  <c r="L91" i="1"/>
  <c r="M91" i="1"/>
  <c r="N91" i="1"/>
  <c r="A92" i="1"/>
  <c r="B92" i="1"/>
  <c r="C92" i="1"/>
  <c r="D92" i="1"/>
  <c r="E92" i="1"/>
  <c r="H92" i="1"/>
  <c r="L92" i="1"/>
  <c r="M92" i="1"/>
  <c r="N92" i="1"/>
  <c r="A93" i="1"/>
  <c r="B93" i="1"/>
  <c r="C93" i="1"/>
  <c r="D93" i="1"/>
  <c r="E93" i="1"/>
  <c r="H93" i="1"/>
  <c r="L93" i="1"/>
  <c r="M93" i="1"/>
  <c r="N93" i="1"/>
  <c r="A94" i="1"/>
  <c r="B94" i="1"/>
  <c r="C94" i="1"/>
  <c r="D94" i="1"/>
  <c r="E94" i="1"/>
  <c r="H94" i="1"/>
  <c r="L94" i="1"/>
  <c r="M94" i="1"/>
  <c r="N94" i="1"/>
  <c r="A95" i="1"/>
  <c r="B95" i="1"/>
  <c r="C95" i="1"/>
  <c r="D95" i="1"/>
  <c r="E95" i="1"/>
  <c r="H95" i="1"/>
  <c r="L95" i="1"/>
  <c r="M95" i="1"/>
  <c r="N95" i="1"/>
  <c r="A96" i="1"/>
  <c r="B96" i="1"/>
  <c r="C96" i="1"/>
  <c r="D96" i="1"/>
  <c r="E96" i="1"/>
  <c r="H96" i="1"/>
  <c r="L96" i="1"/>
  <c r="M96" i="1"/>
  <c r="N96" i="1"/>
  <c r="A97" i="1"/>
  <c r="B97" i="1"/>
  <c r="C97" i="1"/>
  <c r="D97" i="1"/>
  <c r="E97" i="1"/>
  <c r="H97" i="1"/>
  <c r="L97" i="1"/>
  <c r="M97" i="1"/>
  <c r="N97" i="1"/>
  <c r="A98" i="1"/>
  <c r="B98" i="1"/>
  <c r="C98" i="1"/>
  <c r="D98" i="1"/>
  <c r="E98" i="1"/>
  <c r="H98" i="1"/>
  <c r="L98" i="1"/>
  <c r="M98" i="1"/>
  <c r="N98" i="1"/>
  <c r="A99" i="1"/>
  <c r="B99" i="1"/>
  <c r="C99" i="1"/>
  <c r="D99" i="1"/>
  <c r="E99" i="1"/>
  <c r="H99" i="1"/>
  <c r="L99" i="1"/>
  <c r="M99" i="1"/>
  <c r="N99" i="1"/>
  <c r="A100" i="1"/>
  <c r="B100" i="1"/>
  <c r="C100" i="1"/>
  <c r="D100" i="1"/>
  <c r="E100" i="1"/>
  <c r="H100" i="1"/>
  <c r="L100" i="1"/>
  <c r="M100" i="1"/>
  <c r="N100" i="1"/>
  <c r="A101" i="1"/>
  <c r="B101" i="1"/>
  <c r="C101" i="1"/>
  <c r="D101" i="1"/>
  <c r="E101" i="1"/>
  <c r="H101" i="1"/>
  <c r="L101" i="1"/>
  <c r="M101" i="1"/>
  <c r="N101" i="1"/>
  <c r="A102" i="1"/>
  <c r="B102" i="1"/>
  <c r="C102" i="1"/>
  <c r="D102" i="1"/>
  <c r="E102" i="1"/>
  <c r="H102" i="1"/>
  <c r="L102" i="1"/>
  <c r="M102" i="1"/>
  <c r="N102" i="1"/>
  <c r="A103" i="1"/>
  <c r="B103" i="1"/>
  <c r="C103" i="1"/>
  <c r="D103" i="1"/>
  <c r="E103" i="1"/>
  <c r="H103" i="1"/>
  <c r="L103" i="1"/>
  <c r="M103" i="1"/>
  <c r="N103" i="1"/>
  <c r="A104" i="1"/>
  <c r="B104" i="1"/>
  <c r="C104" i="1"/>
  <c r="D104" i="1"/>
  <c r="E104" i="1"/>
  <c r="H104" i="1"/>
  <c r="L104" i="1"/>
  <c r="M104" i="1"/>
  <c r="N104" i="1"/>
  <c r="A105" i="1"/>
  <c r="B105" i="1"/>
  <c r="C105" i="1"/>
  <c r="D105" i="1"/>
  <c r="E105" i="1"/>
  <c r="H105" i="1"/>
  <c r="L105" i="1"/>
  <c r="M105" i="1"/>
  <c r="N105" i="1"/>
  <c r="A106" i="1"/>
  <c r="B106" i="1"/>
  <c r="C106" i="1"/>
  <c r="D106" i="1"/>
  <c r="E106" i="1"/>
  <c r="H106" i="1"/>
  <c r="L106" i="1"/>
  <c r="M106" i="1"/>
  <c r="N106" i="1"/>
  <c r="A107" i="1"/>
  <c r="B107" i="1"/>
  <c r="C107" i="1"/>
  <c r="D107" i="1"/>
  <c r="E107" i="1"/>
  <c r="H107" i="1"/>
  <c r="L107" i="1"/>
  <c r="M107" i="1"/>
  <c r="N107" i="1"/>
  <c r="A108" i="1"/>
  <c r="B108" i="1"/>
  <c r="C108" i="1"/>
  <c r="D108" i="1"/>
  <c r="E108" i="1"/>
  <c r="H108" i="1"/>
  <c r="L108" i="1"/>
  <c r="M108" i="1"/>
  <c r="N108" i="1"/>
  <c r="A109" i="1"/>
  <c r="B109" i="1"/>
  <c r="C109" i="1"/>
  <c r="D109" i="1"/>
  <c r="E109" i="1"/>
  <c r="H109" i="1"/>
  <c r="L109" i="1"/>
  <c r="M109" i="1"/>
  <c r="N109" i="1"/>
  <c r="A110" i="1"/>
  <c r="B110" i="1"/>
  <c r="C110" i="1"/>
  <c r="D110" i="1"/>
  <c r="E110" i="1"/>
  <c r="H110" i="1"/>
  <c r="L110" i="1"/>
  <c r="M110" i="1"/>
  <c r="N110" i="1"/>
  <c r="A111" i="1"/>
  <c r="B111" i="1"/>
  <c r="C111" i="1"/>
  <c r="D111" i="1"/>
  <c r="E111" i="1"/>
  <c r="H111" i="1"/>
  <c r="L111" i="1"/>
  <c r="M111" i="1"/>
  <c r="N111" i="1"/>
  <c r="A112" i="1"/>
  <c r="B112" i="1"/>
  <c r="C112" i="1"/>
  <c r="D112" i="1"/>
  <c r="E112" i="1"/>
  <c r="H112" i="1"/>
  <c r="L112" i="1"/>
  <c r="M112" i="1"/>
  <c r="N112" i="1"/>
  <c r="A113" i="1"/>
  <c r="B113" i="1"/>
  <c r="C113" i="1"/>
  <c r="D113" i="1"/>
  <c r="E113" i="1"/>
  <c r="H113" i="1"/>
  <c r="L113" i="1"/>
  <c r="M113" i="1"/>
  <c r="N113" i="1"/>
  <c r="A114" i="1"/>
  <c r="B114" i="1"/>
  <c r="C114" i="1"/>
  <c r="D114" i="1"/>
  <c r="E114" i="1"/>
  <c r="H114" i="1"/>
  <c r="L114" i="1"/>
  <c r="M114" i="1"/>
  <c r="N114" i="1"/>
  <c r="A115" i="1"/>
  <c r="B115" i="1"/>
  <c r="C115" i="1"/>
  <c r="D115" i="1"/>
  <c r="E115" i="1"/>
  <c r="H115" i="1"/>
  <c r="L115" i="1"/>
  <c r="M115" i="1"/>
  <c r="N115" i="1"/>
  <c r="A116" i="1"/>
  <c r="B116" i="1"/>
  <c r="C116" i="1"/>
  <c r="D116" i="1"/>
  <c r="E116" i="1"/>
  <c r="H116" i="1"/>
  <c r="L116" i="1"/>
  <c r="M116" i="1"/>
  <c r="N116" i="1"/>
  <c r="A117" i="1"/>
  <c r="B117" i="1"/>
  <c r="C117" i="1"/>
  <c r="D117" i="1"/>
  <c r="E117" i="1"/>
  <c r="H117" i="1"/>
  <c r="L117" i="1"/>
  <c r="M117" i="1"/>
  <c r="N117" i="1"/>
  <c r="A118" i="1"/>
  <c r="B118" i="1"/>
  <c r="C118" i="1"/>
  <c r="D118" i="1"/>
  <c r="E118" i="1"/>
  <c r="H118" i="1"/>
  <c r="L118" i="1"/>
  <c r="M118" i="1"/>
  <c r="N118" i="1"/>
  <c r="A119" i="1"/>
  <c r="B119" i="1"/>
  <c r="C119" i="1"/>
  <c r="D119" i="1"/>
  <c r="E119" i="1"/>
  <c r="H119" i="1"/>
  <c r="L119" i="1"/>
  <c r="M119" i="1"/>
  <c r="N119" i="1"/>
  <c r="A120" i="1"/>
  <c r="B120" i="1"/>
  <c r="C120" i="1"/>
  <c r="D120" i="1"/>
  <c r="E120" i="1"/>
  <c r="H120" i="1"/>
  <c r="L120" i="1"/>
  <c r="M120" i="1"/>
  <c r="N120" i="1"/>
  <c r="A121" i="1"/>
  <c r="B121" i="1"/>
  <c r="C121" i="1"/>
  <c r="D121" i="1"/>
  <c r="E121" i="1"/>
  <c r="H121" i="1"/>
  <c r="L121" i="1"/>
  <c r="M121" i="1"/>
  <c r="N121" i="1"/>
  <c r="A122" i="1"/>
  <c r="B122" i="1"/>
  <c r="C122" i="1"/>
  <c r="D122" i="1"/>
  <c r="E122" i="1"/>
  <c r="H122" i="1"/>
  <c r="L122" i="1"/>
  <c r="M122" i="1"/>
  <c r="N122" i="1"/>
  <c r="A123" i="1"/>
  <c r="B123" i="1"/>
  <c r="C123" i="1"/>
  <c r="D123" i="1"/>
  <c r="E123" i="1"/>
  <c r="H123" i="1"/>
  <c r="L123" i="1"/>
  <c r="M123" i="1"/>
  <c r="N123" i="1"/>
  <c r="A124" i="1"/>
  <c r="B124" i="1"/>
  <c r="C124" i="1"/>
  <c r="D124" i="1"/>
  <c r="E124" i="1"/>
  <c r="H124" i="1"/>
  <c r="L124" i="1"/>
  <c r="M124" i="1"/>
  <c r="N124" i="1"/>
  <c r="A125" i="1"/>
  <c r="B125" i="1"/>
  <c r="C125" i="1"/>
  <c r="D125" i="1"/>
  <c r="E125" i="1"/>
  <c r="H125" i="1"/>
  <c r="L125" i="1"/>
  <c r="M125" i="1"/>
  <c r="N125" i="1"/>
  <c r="A126" i="1"/>
  <c r="B126" i="1"/>
  <c r="C126" i="1"/>
  <c r="D126" i="1"/>
  <c r="E126" i="1"/>
  <c r="H126" i="1"/>
  <c r="L126" i="1"/>
  <c r="M126" i="1"/>
  <c r="N126" i="1"/>
  <c r="A127" i="1"/>
  <c r="B127" i="1"/>
  <c r="C127" i="1"/>
  <c r="D127" i="1"/>
  <c r="E127" i="1"/>
  <c r="H127" i="1"/>
  <c r="L127" i="1"/>
  <c r="M127" i="1"/>
  <c r="N127" i="1"/>
  <c r="A128" i="1"/>
  <c r="B128" i="1"/>
  <c r="C128" i="1"/>
  <c r="D128" i="1"/>
  <c r="E128" i="1"/>
  <c r="H128" i="1"/>
  <c r="L128" i="1"/>
  <c r="M128" i="1"/>
  <c r="N128" i="1"/>
  <c r="A129" i="1"/>
  <c r="B129" i="1"/>
  <c r="C129" i="1"/>
  <c r="D129" i="1"/>
  <c r="E129" i="1"/>
  <c r="H129" i="1"/>
  <c r="L129" i="1"/>
  <c r="M129" i="1"/>
  <c r="N129" i="1"/>
  <c r="A130" i="1"/>
  <c r="B130" i="1"/>
  <c r="C130" i="1"/>
  <c r="D130" i="1"/>
  <c r="E130" i="1"/>
  <c r="H130" i="1"/>
  <c r="L130" i="1"/>
  <c r="M130" i="1"/>
  <c r="N130" i="1"/>
  <c r="A131" i="1"/>
  <c r="B131" i="1"/>
  <c r="C131" i="1"/>
  <c r="D131" i="1"/>
  <c r="E131" i="1"/>
  <c r="H131" i="1"/>
  <c r="L131" i="1"/>
  <c r="M131" i="1"/>
  <c r="N131" i="1"/>
  <c r="A132" i="1"/>
  <c r="B132" i="1"/>
  <c r="C132" i="1"/>
  <c r="D132" i="1"/>
  <c r="E132" i="1"/>
  <c r="H132" i="1"/>
  <c r="L132" i="1"/>
  <c r="M132" i="1"/>
  <c r="N132" i="1"/>
  <c r="A133" i="1"/>
  <c r="B133" i="1"/>
  <c r="C133" i="1"/>
  <c r="D133" i="1"/>
  <c r="E133" i="1"/>
  <c r="H133" i="1"/>
  <c r="L133" i="1"/>
  <c r="M133" i="1"/>
  <c r="N133" i="1"/>
  <c r="A134" i="1"/>
  <c r="B134" i="1"/>
  <c r="C134" i="1"/>
  <c r="D134" i="1"/>
  <c r="E134" i="1"/>
  <c r="H134" i="1"/>
  <c r="L134" i="1"/>
  <c r="M134" i="1"/>
  <c r="N134" i="1"/>
  <c r="A135" i="1"/>
  <c r="B135" i="1"/>
  <c r="C135" i="1"/>
  <c r="D135" i="1"/>
  <c r="E135" i="1"/>
  <c r="H135" i="1"/>
  <c r="L135" i="1"/>
  <c r="M135" i="1"/>
  <c r="N135" i="1"/>
  <c r="A136" i="1"/>
  <c r="B136" i="1"/>
  <c r="C136" i="1"/>
  <c r="D136" i="1"/>
  <c r="E136" i="1"/>
  <c r="H136" i="1"/>
  <c r="L136" i="1"/>
  <c r="M136" i="1"/>
  <c r="N136" i="1"/>
  <c r="A137" i="1"/>
  <c r="B137" i="1"/>
  <c r="C137" i="1"/>
  <c r="D137" i="1"/>
  <c r="E137" i="1"/>
  <c r="H137" i="1"/>
  <c r="L137" i="1"/>
  <c r="M137" i="1"/>
  <c r="N137" i="1"/>
  <c r="A138" i="1"/>
  <c r="B138" i="1"/>
  <c r="C138" i="1"/>
  <c r="D138" i="1"/>
  <c r="E138" i="1"/>
  <c r="H138" i="1"/>
  <c r="L138" i="1"/>
  <c r="M138" i="1"/>
  <c r="N138" i="1"/>
  <c r="A139" i="1"/>
  <c r="B139" i="1"/>
  <c r="C139" i="1"/>
  <c r="D139" i="1"/>
  <c r="E139" i="1"/>
  <c r="H139" i="1"/>
  <c r="L139" i="1"/>
  <c r="M139" i="1"/>
  <c r="N139" i="1"/>
  <c r="A140" i="1"/>
  <c r="B140" i="1"/>
  <c r="C140" i="1"/>
  <c r="D140" i="1"/>
  <c r="E140" i="1"/>
  <c r="H140" i="1"/>
  <c r="L140" i="1"/>
  <c r="M140" i="1"/>
  <c r="N140" i="1"/>
  <c r="A141" i="1"/>
  <c r="B141" i="1"/>
  <c r="C141" i="1"/>
  <c r="D141" i="1"/>
  <c r="E141" i="1"/>
  <c r="H141" i="1"/>
  <c r="L141" i="1"/>
  <c r="M141" i="1"/>
  <c r="N141" i="1"/>
  <c r="A142" i="1"/>
  <c r="B142" i="1"/>
  <c r="C142" i="1"/>
  <c r="D142" i="1"/>
  <c r="E142" i="1"/>
  <c r="H142" i="1"/>
  <c r="L142" i="1"/>
  <c r="M142" i="1"/>
  <c r="N142" i="1"/>
  <c r="A143" i="1"/>
  <c r="B143" i="1"/>
  <c r="C143" i="1"/>
  <c r="D143" i="1"/>
  <c r="E143" i="1"/>
  <c r="H143" i="1"/>
  <c r="L143" i="1"/>
  <c r="M143" i="1"/>
  <c r="N143" i="1"/>
  <c r="A144" i="1"/>
  <c r="B144" i="1"/>
  <c r="C144" i="1"/>
  <c r="D144" i="1"/>
  <c r="E144" i="1"/>
  <c r="H144" i="1"/>
  <c r="L144" i="1"/>
  <c r="M144" i="1"/>
  <c r="N144" i="1"/>
  <c r="A145" i="1"/>
  <c r="B145" i="1"/>
  <c r="C145" i="1"/>
  <c r="D145" i="1"/>
  <c r="E145" i="1"/>
  <c r="H145" i="1"/>
  <c r="L145" i="1"/>
  <c r="M145" i="1"/>
  <c r="N145" i="1"/>
  <c r="A146" i="1"/>
  <c r="B146" i="1"/>
  <c r="C146" i="1"/>
  <c r="D146" i="1"/>
  <c r="E146" i="1"/>
  <c r="H146" i="1"/>
  <c r="L146" i="1"/>
  <c r="M146" i="1"/>
  <c r="N146" i="1"/>
  <c r="A147" i="1"/>
  <c r="B147" i="1"/>
  <c r="C147" i="1"/>
  <c r="D147" i="1"/>
  <c r="E147" i="1"/>
  <c r="H147" i="1"/>
  <c r="L147" i="1"/>
  <c r="M147" i="1"/>
  <c r="N147" i="1"/>
  <c r="A148" i="1"/>
  <c r="B148" i="1"/>
  <c r="C148" i="1"/>
  <c r="D148" i="1"/>
  <c r="E148" i="1"/>
  <c r="H148" i="1"/>
  <c r="L148" i="1"/>
  <c r="M148" i="1"/>
  <c r="N148" i="1"/>
  <c r="A149" i="1"/>
  <c r="B149" i="1"/>
  <c r="C149" i="1"/>
  <c r="D149" i="1"/>
  <c r="E149" i="1"/>
  <c r="H149" i="1"/>
  <c r="L149" i="1"/>
  <c r="M149" i="1"/>
  <c r="N149" i="1"/>
  <c r="A150" i="1"/>
  <c r="B150" i="1"/>
  <c r="C150" i="1"/>
  <c r="D150" i="1"/>
  <c r="E150" i="1"/>
  <c r="H150" i="1"/>
  <c r="L150" i="1"/>
  <c r="M150" i="1"/>
  <c r="N150" i="1"/>
  <c r="A151" i="1"/>
  <c r="B151" i="1"/>
  <c r="C151" i="1"/>
  <c r="D151" i="1"/>
  <c r="E151" i="1"/>
  <c r="H151" i="1"/>
  <c r="L151" i="1"/>
  <c r="M151" i="1"/>
  <c r="N151" i="1"/>
  <c r="A152" i="1"/>
  <c r="B152" i="1"/>
  <c r="C152" i="1"/>
  <c r="D152" i="1"/>
  <c r="E152" i="1"/>
  <c r="H152" i="1"/>
  <c r="L152" i="1"/>
  <c r="M152" i="1"/>
  <c r="N152" i="1"/>
  <c r="A153" i="1"/>
  <c r="B153" i="1"/>
  <c r="C153" i="1"/>
  <c r="D153" i="1"/>
  <c r="E153" i="1"/>
  <c r="H153" i="1"/>
  <c r="L153" i="1"/>
  <c r="M153" i="1"/>
  <c r="N153" i="1"/>
  <c r="A154" i="1"/>
  <c r="B154" i="1"/>
  <c r="C154" i="1"/>
  <c r="D154" i="1"/>
  <c r="E154" i="1"/>
  <c r="H154" i="1"/>
  <c r="L154" i="1"/>
  <c r="M154" i="1"/>
  <c r="N154" i="1"/>
  <c r="A155" i="1"/>
  <c r="B155" i="1"/>
  <c r="C155" i="1"/>
  <c r="D155" i="1"/>
  <c r="E155" i="1"/>
  <c r="H155" i="1"/>
  <c r="L155" i="1"/>
  <c r="M155" i="1"/>
  <c r="N155" i="1"/>
  <c r="A156" i="1"/>
  <c r="B156" i="1"/>
  <c r="C156" i="1"/>
  <c r="D156" i="1"/>
  <c r="E156" i="1"/>
  <c r="H156" i="1"/>
  <c r="L156" i="1"/>
  <c r="M156" i="1"/>
  <c r="N156" i="1"/>
  <c r="A157" i="1"/>
  <c r="B157" i="1"/>
  <c r="C157" i="1"/>
  <c r="D157" i="1"/>
  <c r="E157" i="1"/>
  <c r="H157" i="1"/>
  <c r="L157" i="1"/>
  <c r="M157" i="1"/>
  <c r="N157" i="1"/>
  <c r="A158" i="1"/>
  <c r="B158" i="1"/>
  <c r="C158" i="1"/>
  <c r="D158" i="1"/>
  <c r="E158" i="1"/>
  <c r="H158" i="1"/>
  <c r="L158" i="1"/>
  <c r="M158" i="1"/>
  <c r="N158" i="1"/>
  <c r="A159" i="1"/>
  <c r="B159" i="1"/>
  <c r="C159" i="1"/>
  <c r="D159" i="1"/>
  <c r="E159" i="1"/>
  <c r="H159" i="1"/>
  <c r="L159" i="1"/>
  <c r="M159" i="1"/>
  <c r="N159" i="1"/>
  <c r="A160" i="1"/>
  <c r="B160" i="1"/>
  <c r="C160" i="1"/>
  <c r="D160" i="1"/>
  <c r="E160" i="1"/>
  <c r="H160" i="1"/>
  <c r="L160" i="1"/>
  <c r="M160" i="1"/>
  <c r="N160" i="1"/>
  <c r="A161" i="1"/>
  <c r="B161" i="1"/>
  <c r="C161" i="1"/>
  <c r="D161" i="1"/>
  <c r="E161" i="1"/>
  <c r="H161" i="1"/>
  <c r="L161" i="1"/>
  <c r="M161" i="1"/>
  <c r="N161" i="1"/>
  <c r="A162" i="1"/>
  <c r="B162" i="1"/>
  <c r="C162" i="1"/>
  <c r="D162" i="1"/>
  <c r="E162" i="1"/>
  <c r="H162" i="1"/>
  <c r="L162" i="1"/>
  <c r="M162" i="1"/>
  <c r="N162" i="1"/>
  <c r="A163" i="1"/>
  <c r="B163" i="1"/>
  <c r="C163" i="1"/>
  <c r="D163" i="1"/>
  <c r="E163" i="1"/>
  <c r="H163" i="1"/>
  <c r="L163" i="1"/>
  <c r="M163" i="1"/>
  <c r="N163" i="1"/>
  <c r="A164" i="1"/>
  <c r="B164" i="1"/>
  <c r="C164" i="1"/>
  <c r="D164" i="1"/>
  <c r="E164" i="1"/>
  <c r="H164" i="1"/>
  <c r="L164" i="1"/>
  <c r="M164" i="1"/>
  <c r="N164" i="1"/>
  <c r="A165" i="1"/>
  <c r="B165" i="1"/>
  <c r="C165" i="1"/>
  <c r="D165" i="1"/>
  <c r="E165" i="1"/>
  <c r="H165" i="1"/>
  <c r="L165" i="1"/>
  <c r="M165" i="1"/>
  <c r="N165" i="1"/>
  <c r="A166" i="1"/>
  <c r="B166" i="1"/>
  <c r="C166" i="1"/>
  <c r="D166" i="1"/>
  <c r="E166" i="1"/>
  <c r="H166" i="1"/>
  <c r="L166" i="1"/>
  <c r="M166" i="1"/>
  <c r="N166" i="1"/>
  <c r="A167" i="1"/>
  <c r="B167" i="1"/>
  <c r="C167" i="1"/>
  <c r="D167" i="1"/>
  <c r="E167" i="1"/>
  <c r="H167" i="1"/>
  <c r="L167" i="1"/>
  <c r="M167" i="1"/>
  <c r="N167" i="1"/>
  <c r="A168" i="1"/>
  <c r="B168" i="1"/>
  <c r="C168" i="1"/>
  <c r="D168" i="1"/>
  <c r="E168" i="1"/>
  <c r="H168" i="1"/>
  <c r="L168" i="1"/>
  <c r="M168" i="1"/>
  <c r="N168" i="1"/>
  <c r="A169" i="1"/>
  <c r="B169" i="1"/>
  <c r="C169" i="1"/>
  <c r="D169" i="1"/>
  <c r="E169" i="1"/>
  <c r="H169" i="1"/>
  <c r="L169" i="1"/>
  <c r="M169" i="1"/>
  <c r="N169" i="1"/>
  <c r="A170" i="1"/>
  <c r="B170" i="1"/>
  <c r="C170" i="1"/>
  <c r="D170" i="1"/>
  <c r="E170" i="1"/>
  <c r="H170" i="1"/>
  <c r="L170" i="1"/>
  <c r="M170" i="1"/>
  <c r="N170" i="1"/>
  <c r="A171" i="1"/>
  <c r="B171" i="1"/>
  <c r="C171" i="1"/>
  <c r="D171" i="1"/>
  <c r="E171" i="1"/>
  <c r="H171" i="1"/>
  <c r="L171" i="1"/>
  <c r="M171" i="1"/>
  <c r="N171" i="1"/>
  <c r="A172" i="1"/>
  <c r="B172" i="1"/>
  <c r="C172" i="1"/>
  <c r="D172" i="1"/>
  <c r="E172" i="1"/>
  <c r="H172" i="1"/>
  <c r="L172" i="1"/>
  <c r="M172" i="1"/>
  <c r="N172" i="1"/>
  <c r="A173" i="1"/>
  <c r="B173" i="1"/>
  <c r="C173" i="1"/>
  <c r="D173" i="1"/>
  <c r="E173" i="1"/>
  <c r="H173" i="1"/>
  <c r="L173" i="1"/>
  <c r="M173" i="1"/>
  <c r="N173" i="1"/>
  <c r="A174" i="1"/>
  <c r="B174" i="1"/>
  <c r="C174" i="1"/>
  <c r="D174" i="1"/>
  <c r="E174" i="1"/>
  <c r="H174" i="1"/>
  <c r="L174" i="1"/>
  <c r="M174" i="1"/>
  <c r="N174" i="1"/>
  <c r="A175" i="1"/>
  <c r="B175" i="1"/>
  <c r="C175" i="1"/>
  <c r="D175" i="1"/>
  <c r="E175" i="1"/>
  <c r="H175" i="1"/>
  <c r="L175" i="1"/>
  <c r="M175" i="1"/>
  <c r="N175" i="1"/>
  <c r="A176" i="1"/>
  <c r="B176" i="1"/>
  <c r="C176" i="1"/>
  <c r="D176" i="1"/>
  <c r="E176" i="1"/>
  <c r="H176" i="1"/>
  <c r="L176" i="1"/>
  <c r="M176" i="1"/>
  <c r="N176" i="1"/>
</calcChain>
</file>

<file path=xl/sharedStrings.xml><?xml version="1.0" encoding="utf-8"?>
<sst xmlns="http://schemas.openxmlformats.org/spreadsheetml/2006/main" count="176" uniqueCount="2">
  <si>
    <t>交易类别</t>
    <phoneticPr fontId="18" type="noConversion"/>
  </si>
  <si>
    <t>日内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</si>
</sst>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6"/>
  <sheetViews>
    <sheetView tabSelected="1" topLeftCell="A159" workbookViewId="0">
      <selection activeCell="O185" sqref="O185"/>
    </sheetView>
  </sheetViews>
  <sheetFormatPr defaultRowHeight="13.5" x14ac:dyDescent="0.15"/>
  <sheetData>
    <row r="1" spans="1:15" x14ac:dyDescent="0.15">
      <c r="A1" t="str">
        <f>"成交日期"</f>
        <v>成交日期</v>
      </c>
      <c r="B1" t="str">
        <f>"成交时间"</f>
        <v>成交时间</v>
      </c>
      <c r="C1" t="str">
        <f>"证券代码"</f>
        <v>证券代码</v>
      </c>
      <c r="D1" t="str">
        <f>"证券名称"</f>
        <v>证券名称</v>
      </c>
      <c r="E1" t="str">
        <f>"买卖标志"</f>
        <v>买卖标志</v>
      </c>
      <c r="F1" t="str">
        <f>"委托价格"</f>
        <v>委托价格</v>
      </c>
      <c r="G1" t="str">
        <f>"委托数量"</f>
        <v>委托数量</v>
      </c>
      <c r="H1" t="str">
        <f>"委托编号"</f>
        <v>委托编号</v>
      </c>
      <c r="I1" t="str">
        <f>"成交价格"</f>
        <v>成交价格</v>
      </c>
      <c r="J1" t="str">
        <f>"成交数量"</f>
        <v>成交数量</v>
      </c>
      <c r="K1" t="str">
        <f>"成交金额"</f>
        <v>成交金额</v>
      </c>
      <c r="L1" t="str">
        <f>"成交编号"</f>
        <v>成交编号</v>
      </c>
      <c r="M1" t="str">
        <f>"股东代码"</f>
        <v>股东代码</v>
      </c>
      <c r="N1" t="str">
        <f>"状态说明"</f>
        <v>状态说明</v>
      </c>
      <c r="O1" t="s">
        <v>0</v>
      </c>
    </row>
    <row r="2" spans="1:15" x14ac:dyDescent="0.15">
      <c r="A2" t="str">
        <f t="shared" ref="A2:A33" si="0">"20161223"</f>
        <v>20161223</v>
      </c>
      <c r="B2" t="str">
        <f>"09:48:57"</f>
        <v>09:48:57</v>
      </c>
      <c r="C2" t="str">
        <f>"603727"</f>
        <v>603727</v>
      </c>
      <c r="D2" t="str">
        <f>"博迈科"</f>
        <v>博迈科</v>
      </c>
      <c r="E2" t="str">
        <f t="shared" ref="E2:E34" si="1">"普通买入"</f>
        <v>普通买入</v>
      </c>
      <c r="F2">
        <v>51.03</v>
      </c>
      <c r="G2">
        <v>10000</v>
      </c>
      <c r="H2" t="str">
        <f>"26080"</f>
        <v>26080</v>
      </c>
      <c r="I2">
        <v>51</v>
      </c>
      <c r="J2">
        <v>2800</v>
      </c>
      <c r="K2">
        <v>142800</v>
      </c>
      <c r="L2" t="str">
        <f>"1418511"</f>
        <v>1418511</v>
      </c>
      <c r="M2" t="str">
        <f t="shared" ref="M2:M33" si="2">"E042902565"</f>
        <v>E042902565</v>
      </c>
      <c r="N2" t="str">
        <f t="shared" ref="N2:N33" si="3">"普通成交"</f>
        <v>普通成交</v>
      </c>
      <c r="O2" t="s">
        <v>1</v>
      </c>
    </row>
    <row r="3" spans="1:15" x14ac:dyDescent="0.15">
      <c r="A3" t="str">
        <f t="shared" si="0"/>
        <v>20161223</v>
      </c>
      <c r="B3" t="str">
        <f>"09:48:57"</f>
        <v>09:48:57</v>
      </c>
      <c r="C3" t="str">
        <f>"603727"</f>
        <v>603727</v>
      </c>
      <c r="D3" t="str">
        <f>"博迈科"</f>
        <v>博迈科</v>
      </c>
      <c r="E3" t="str">
        <f t="shared" si="1"/>
        <v>普通买入</v>
      </c>
      <c r="F3">
        <v>51.03</v>
      </c>
      <c r="G3">
        <v>10000</v>
      </c>
      <c r="H3" t="str">
        <f>"26080"</f>
        <v>26080</v>
      </c>
      <c r="I3">
        <v>51.03</v>
      </c>
      <c r="J3">
        <v>100</v>
      </c>
      <c r="K3">
        <v>5103</v>
      </c>
      <c r="L3" t="str">
        <f>"1418829"</f>
        <v>1418829</v>
      </c>
      <c r="M3" t="str">
        <f t="shared" si="2"/>
        <v>E042902565</v>
      </c>
      <c r="N3" t="str">
        <f t="shared" si="3"/>
        <v>普通成交</v>
      </c>
      <c r="O3" t="s">
        <v>1</v>
      </c>
    </row>
    <row r="4" spans="1:15" x14ac:dyDescent="0.15">
      <c r="A4" t="str">
        <f t="shared" si="0"/>
        <v>20161223</v>
      </c>
      <c r="B4" t="str">
        <f>"09:48:58"</f>
        <v>09:48:58</v>
      </c>
      <c r="C4" t="str">
        <f>"603727"</f>
        <v>603727</v>
      </c>
      <c r="D4" t="str">
        <f>"博迈科"</f>
        <v>博迈科</v>
      </c>
      <c r="E4" t="str">
        <f t="shared" si="1"/>
        <v>普通买入</v>
      </c>
      <c r="F4">
        <v>51.03</v>
      </c>
      <c r="G4">
        <v>10000</v>
      </c>
      <c r="H4" t="str">
        <f>"26080"</f>
        <v>26080</v>
      </c>
      <c r="I4">
        <v>51.03</v>
      </c>
      <c r="J4">
        <v>100</v>
      </c>
      <c r="K4">
        <v>5103</v>
      </c>
      <c r="L4" t="str">
        <f>"1419484"</f>
        <v>1419484</v>
      </c>
      <c r="M4" t="str">
        <f t="shared" si="2"/>
        <v>E042902565</v>
      </c>
      <c r="N4" t="str">
        <f t="shared" si="3"/>
        <v>普通成交</v>
      </c>
      <c r="O4" t="s">
        <v>1</v>
      </c>
    </row>
    <row r="5" spans="1:15" x14ac:dyDescent="0.15">
      <c r="A5" t="str">
        <f t="shared" si="0"/>
        <v>20161223</v>
      </c>
      <c r="B5" t="str">
        <f>"09:48:59"</f>
        <v>09:48:59</v>
      </c>
      <c r="C5" t="str">
        <f>"603727"</f>
        <v>603727</v>
      </c>
      <c r="D5" t="str">
        <f>"博迈科"</f>
        <v>博迈科</v>
      </c>
      <c r="E5" t="str">
        <f t="shared" si="1"/>
        <v>普通买入</v>
      </c>
      <c r="F5">
        <v>51.03</v>
      </c>
      <c r="G5">
        <v>10000</v>
      </c>
      <c r="H5" t="str">
        <f>"26080"</f>
        <v>26080</v>
      </c>
      <c r="I5">
        <v>51.03</v>
      </c>
      <c r="J5">
        <v>300</v>
      </c>
      <c r="K5">
        <v>15309</v>
      </c>
      <c r="L5" t="str">
        <f>"1421685"</f>
        <v>1421685</v>
      </c>
      <c r="M5" t="str">
        <f t="shared" si="2"/>
        <v>E042902565</v>
      </c>
      <c r="N5" t="str">
        <f t="shared" si="3"/>
        <v>普通成交</v>
      </c>
      <c r="O5" t="s">
        <v>1</v>
      </c>
    </row>
    <row r="6" spans="1:15" x14ac:dyDescent="0.15">
      <c r="A6" t="str">
        <f t="shared" si="0"/>
        <v>20161223</v>
      </c>
      <c r="B6" t="str">
        <f>"09:49:03"</f>
        <v>09:49:03</v>
      </c>
      <c r="C6" t="str">
        <f>"603727"</f>
        <v>603727</v>
      </c>
      <c r="D6" t="str">
        <f>"博迈科"</f>
        <v>博迈科</v>
      </c>
      <c r="E6" t="str">
        <f t="shared" si="1"/>
        <v>普通买入</v>
      </c>
      <c r="F6">
        <v>51.03</v>
      </c>
      <c r="G6">
        <v>10000</v>
      </c>
      <c r="H6" t="str">
        <f>"26080"</f>
        <v>26080</v>
      </c>
      <c r="I6">
        <v>51.03</v>
      </c>
      <c r="J6">
        <v>200</v>
      </c>
      <c r="K6">
        <v>10206</v>
      </c>
      <c r="L6" t="str">
        <f>"1425627"</f>
        <v>1425627</v>
      </c>
      <c r="M6" t="str">
        <f t="shared" si="2"/>
        <v>E042902565</v>
      </c>
      <c r="N6" t="str">
        <f t="shared" si="3"/>
        <v>普通成交</v>
      </c>
      <c r="O6" t="s">
        <v>1</v>
      </c>
    </row>
    <row r="7" spans="1:15" x14ac:dyDescent="0.15">
      <c r="A7" t="str">
        <f t="shared" si="0"/>
        <v>20161223</v>
      </c>
      <c r="B7" t="str">
        <f>"10:00:08"</f>
        <v>10:00:08</v>
      </c>
      <c r="C7" t="str">
        <f t="shared" ref="C7:C38" si="4">"601985"</f>
        <v>601985</v>
      </c>
      <c r="D7" t="str">
        <f t="shared" ref="D7:D38" si="5">"中国核电"</f>
        <v>中国核电</v>
      </c>
      <c r="E7" t="str">
        <f t="shared" si="1"/>
        <v>普通买入</v>
      </c>
      <c r="F7">
        <v>7.05</v>
      </c>
      <c r="G7">
        <v>200000</v>
      </c>
      <c r="H7" t="str">
        <f t="shared" ref="H7:H34" si="6">"34427"</f>
        <v>34427</v>
      </c>
      <c r="I7">
        <v>7.05</v>
      </c>
      <c r="J7">
        <v>17100</v>
      </c>
      <c r="K7">
        <v>120555</v>
      </c>
      <c r="L7" t="str">
        <f>"2048149"</f>
        <v>2048149</v>
      </c>
      <c r="M7" t="str">
        <f t="shared" si="2"/>
        <v>E042902565</v>
      </c>
      <c r="N7" t="str">
        <f t="shared" si="3"/>
        <v>普通成交</v>
      </c>
      <c r="O7" t="s">
        <v>1</v>
      </c>
    </row>
    <row r="8" spans="1:15" x14ac:dyDescent="0.15">
      <c r="A8" t="str">
        <f t="shared" si="0"/>
        <v>20161223</v>
      </c>
      <c r="B8" t="str">
        <f>"10:00:11"</f>
        <v>10:00:11</v>
      </c>
      <c r="C8" t="str">
        <f t="shared" si="4"/>
        <v>601985</v>
      </c>
      <c r="D8" t="str">
        <f t="shared" si="5"/>
        <v>中国核电</v>
      </c>
      <c r="E8" t="str">
        <f t="shared" si="1"/>
        <v>普通买入</v>
      </c>
      <c r="F8">
        <v>7.05</v>
      </c>
      <c r="G8">
        <v>200000</v>
      </c>
      <c r="H8" t="str">
        <f t="shared" si="6"/>
        <v>34427</v>
      </c>
      <c r="I8">
        <v>7.05</v>
      </c>
      <c r="J8">
        <v>2200</v>
      </c>
      <c r="K8">
        <v>15510</v>
      </c>
      <c r="L8" t="str">
        <f>"2050844"</f>
        <v>2050844</v>
      </c>
      <c r="M8" t="str">
        <f t="shared" si="2"/>
        <v>E042902565</v>
      </c>
      <c r="N8" t="str">
        <f t="shared" si="3"/>
        <v>普通成交</v>
      </c>
      <c r="O8" t="s">
        <v>1</v>
      </c>
    </row>
    <row r="9" spans="1:15" x14ac:dyDescent="0.15">
      <c r="A9" t="str">
        <f t="shared" si="0"/>
        <v>20161223</v>
      </c>
      <c r="B9" t="str">
        <f>"10:00:18"</f>
        <v>10:00:18</v>
      </c>
      <c r="C9" t="str">
        <f t="shared" si="4"/>
        <v>601985</v>
      </c>
      <c r="D9" t="str">
        <f t="shared" si="5"/>
        <v>中国核电</v>
      </c>
      <c r="E9" t="str">
        <f t="shared" si="1"/>
        <v>普通买入</v>
      </c>
      <c r="F9">
        <v>7.05</v>
      </c>
      <c r="G9">
        <v>200000</v>
      </c>
      <c r="H9" t="str">
        <f t="shared" si="6"/>
        <v>34427</v>
      </c>
      <c r="I9">
        <v>7.05</v>
      </c>
      <c r="J9">
        <v>200</v>
      </c>
      <c r="K9">
        <v>1410</v>
      </c>
      <c r="L9" t="str">
        <f>"2056621"</f>
        <v>2056621</v>
      </c>
      <c r="M9" t="str">
        <f t="shared" si="2"/>
        <v>E042902565</v>
      </c>
      <c r="N9" t="str">
        <f t="shared" si="3"/>
        <v>普通成交</v>
      </c>
      <c r="O9" t="s">
        <v>1</v>
      </c>
    </row>
    <row r="10" spans="1:15" x14ac:dyDescent="0.15">
      <c r="A10" t="str">
        <f t="shared" si="0"/>
        <v>20161223</v>
      </c>
      <c r="B10" t="str">
        <f>"10:00:19"</f>
        <v>10:00:19</v>
      </c>
      <c r="C10" t="str">
        <f t="shared" si="4"/>
        <v>601985</v>
      </c>
      <c r="D10" t="str">
        <f t="shared" si="5"/>
        <v>中国核电</v>
      </c>
      <c r="E10" t="str">
        <f t="shared" si="1"/>
        <v>普通买入</v>
      </c>
      <c r="F10">
        <v>7.05</v>
      </c>
      <c r="G10">
        <v>200000</v>
      </c>
      <c r="H10" t="str">
        <f t="shared" si="6"/>
        <v>34427</v>
      </c>
      <c r="I10">
        <v>7.05</v>
      </c>
      <c r="J10">
        <v>15000</v>
      </c>
      <c r="K10">
        <v>105750</v>
      </c>
      <c r="L10" t="str">
        <f>"2057586"</f>
        <v>2057586</v>
      </c>
      <c r="M10" t="str">
        <f t="shared" si="2"/>
        <v>E042902565</v>
      </c>
      <c r="N10" t="str">
        <f t="shared" si="3"/>
        <v>普通成交</v>
      </c>
      <c r="O10" t="s">
        <v>1</v>
      </c>
    </row>
    <row r="11" spans="1:15" x14ac:dyDescent="0.15">
      <c r="A11" t="str">
        <f t="shared" si="0"/>
        <v>20161223</v>
      </c>
      <c r="B11" t="str">
        <f>"10:00:20"</f>
        <v>10:00:20</v>
      </c>
      <c r="C11" t="str">
        <f t="shared" si="4"/>
        <v>601985</v>
      </c>
      <c r="D11" t="str">
        <f t="shared" si="5"/>
        <v>中国核电</v>
      </c>
      <c r="E11" t="str">
        <f t="shared" si="1"/>
        <v>普通买入</v>
      </c>
      <c r="F11">
        <v>7.05</v>
      </c>
      <c r="G11">
        <v>200000</v>
      </c>
      <c r="H11" t="str">
        <f t="shared" si="6"/>
        <v>34427</v>
      </c>
      <c r="I11">
        <v>7.05</v>
      </c>
      <c r="J11">
        <v>1400</v>
      </c>
      <c r="K11">
        <v>9870</v>
      </c>
      <c r="L11" t="str">
        <f>"2058114"</f>
        <v>2058114</v>
      </c>
      <c r="M11" t="str">
        <f t="shared" si="2"/>
        <v>E042902565</v>
      </c>
      <c r="N11" t="str">
        <f t="shared" si="3"/>
        <v>普通成交</v>
      </c>
      <c r="O11" t="s">
        <v>1</v>
      </c>
    </row>
    <row r="12" spans="1:15" x14ac:dyDescent="0.15">
      <c r="A12" t="str">
        <f t="shared" si="0"/>
        <v>20161223</v>
      </c>
      <c r="B12" t="str">
        <f>"10:00:21"</f>
        <v>10:00:21</v>
      </c>
      <c r="C12" t="str">
        <f t="shared" si="4"/>
        <v>601985</v>
      </c>
      <c r="D12" t="str">
        <f t="shared" si="5"/>
        <v>中国核电</v>
      </c>
      <c r="E12" t="str">
        <f t="shared" si="1"/>
        <v>普通买入</v>
      </c>
      <c r="F12">
        <v>7.05</v>
      </c>
      <c r="G12">
        <v>200000</v>
      </c>
      <c r="H12" t="str">
        <f t="shared" si="6"/>
        <v>34427</v>
      </c>
      <c r="I12">
        <v>7.05</v>
      </c>
      <c r="J12">
        <v>100</v>
      </c>
      <c r="K12">
        <v>705</v>
      </c>
      <c r="L12" t="str">
        <f>"2058997"</f>
        <v>2058997</v>
      </c>
      <c r="M12" t="str">
        <f t="shared" si="2"/>
        <v>E042902565</v>
      </c>
      <c r="N12" t="str">
        <f t="shared" si="3"/>
        <v>普通成交</v>
      </c>
      <c r="O12" t="s">
        <v>1</v>
      </c>
    </row>
    <row r="13" spans="1:15" x14ac:dyDescent="0.15">
      <c r="A13" t="str">
        <f t="shared" si="0"/>
        <v>20161223</v>
      </c>
      <c r="B13" t="str">
        <f>"10:06:44"</f>
        <v>10:06:44</v>
      </c>
      <c r="C13" t="str">
        <f t="shared" si="4"/>
        <v>601985</v>
      </c>
      <c r="D13" t="str">
        <f t="shared" si="5"/>
        <v>中国核电</v>
      </c>
      <c r="E13" t="str">
        <f t="shared" si="1"/>
        <v>普通买入</v>
      </c>
      <c r="F13">
        <v>7.05</v>
      </c>
      <c r="G13">
        <v>200000</v>
      </c>
      <c r="H13" t="str">
        <f t="shared" si="6"/>
        <v>34427</v>
      </c>
      <c r="I13">
        <v>7.05</v>
      </c>
      <c r="J13">
        <v>35000</v>
      </c>
      <c r="K13">
        <v>246750</v>
      </c>
      <c r="L13" t="str">
        <f>"2425868"</f>
        <v>2425868</v>
      </c>
      <c r="M13" t="str">
        <f t="shared" si="2"/>
        <v>E042902565</v>
      </c>
      <c r="N13" t="str">
        <f t="shared" si="3"/>
        <v>普通成交</v>
      </c>
      <c r="O13" t="s">
        <v>1</v>
      </c>
    </row>
    <row r="14" spans="1:15" x14ac:dyDescent="0.15">
      <c r="A14" t="str">
        <f t="shared" si="0"/>
        <v>20161223</v>
      </c>
      <c r="B14" t="str">
        <f>"10:06:53"</f>
        <v>10:06:53</v>
      </c>
      <c r="C14" t="str">
        <f t="shared" si="4"/>
        <v>601985</v>
      </c>
      <c r="D14" t="str">
        <f t="shared" si="5"/>
        <v>中国核电</v>
      </c>
      <c r="E14" t="str">
        <f t="shared" si="1"/>
        <v>普通买入</v>
      </c>
      <c r="F14">
        <v>7.05</v>
      </c>
      <c r="G14">
        <v>200000</v>
      </c>
      <c r="H14" t="str">
        <f t="shared" si="6"/>
        <v>34427</v>
      </c>
      <c r="I14">
        <v>7.05</v>
      </c>
      <c r="J14">
        <v>5000</v>
      </c>
      <c r="K14">
        <v>35250</v>
      </c>
      <c r="L14" t="str">
        <f>"2434876"</f>
        <v>2434876</v>
      </c>
      <c r="M14" t="str">
        <f t="shared" si="2"/>
        <v>E042902565</v>
      </c>
      <c r="N14" t="str">
        <f t="shared" si="3"/>
        <v>普通成交</v>
      </c>
      <c r="O14" t="s">
        <v>1</v>
      </c>
    </row>
    <row r="15" spans="1:15" x14ac:dyDescent="0.15">
      <c r="A15" t="str">
        <f t="shared" si="0"/>
        <v>20161223</v>
      </c>
      <c r="B15" t="str">
        <f>"10:06:55"</f>
        <v>10:06:55</v>
      </c>
      <c r="C15" t="str">
        <f t="shared" si="4"/>
        <v>601985</v>
      </c>
      <c r="D15" t="str">
        <f t="shared" si="5"/>
        <v>中国核电</v>
      </c>
      <c r="E15" t="str">
        <f t="shared" si="1"/>
        <v>普通买入</v>
      </c>
      <c r="F15">
        <v>7.05</v>
      </c>
      <c r="G15">
        <v>200000</v>
      </c>
      <c r="H15" t="str">
        <f t="shared" si="6"/>
        <v>34427</v>
      </c>
      <c r="I15">
        <v>7.05</v>
      </c>
      <c r="J15">
        <v>100</v>
      </c>
      <c r="K15">
        <v>705</v>
      </c>
      <c r="L15" t="str">
        <f>"2437119"</f>
        <v>2437119</v>
      </c>
      <c r="M15" t="str">
        <f t="shared" si="2"/>
        <v>E042902565</v>
      </c>
      <c r="N15" t="str">
        <f t="shared" si="3"/>
        <v>普通成交</v>
      </c>
      <c r="O15" t="s">
        <v>1</v>
      </c>
    </row>
    <row r="16" spans="1:15" x14ac:dyDescent="0.15">
      <c r="A16" t="str">
        <f t="shared" si="0"/>
        <v>20161223</v>
      </c>
      <c r="B16" t="str">
        <f>"10:06:56"</f>
        <v>10:06:56</v>
      </c>
      <c r="C16" t="str">
        <f t="shared" si="4"/>
        <v>601985</v>
      </c>
      <c r="D16" t="str">
        <f t="shared" si="5"/>
        <v>中国核电</v>
      </c>
      <c r="E16" t="str">
        <f t="shared" si="1"/>
        <v>普通买入</v>
      </c>
      <c r="F16">
        <v>7.05</v>
      </c>
      <c r="G16">
        <v>200000</v>
      </c>
      <c r="H16" t="str">
        <f t="shared" si="6"/>
        <v>34427</v>
      </c>
      <c r="I16">
        <v>7.05</v>
      </c>
      <c r="J16">
        <v>100</v>
      </c>
      <c r="K16">
        <v>705</v>
      </c>
      <c r="L16" t="str">
        <f>"2437909"</f>
        <v>2437909</v>
      </c>
      <c r="M16" t="str">
        <f t="shared" si="2"/>
        <v>E042902565</v>
      </c>
      <c r="N16" t="str">
        <f t="shared" si="3"/>
        <v>普通成交</v>
      </c>
      <c r="O16" t="s">
        <v>1</v>
      </c>
    </row>
    <row r="17" spans="1:15" x14ac:dyDescent="0.15">
      <c r="A17" t="str">
        <f t="shared" si="0"/>
        <v>20161223</v>
      </c>
      <c r="B17" t="str">
        <f>"10:06:58"</f>
        <v>10:06:58</v>
      </c>
      <c r="C17" t="str">
        <f t="shared" si="4"/>
        <v>601985</v>
      </c>
      <c r="D17" t="str">
        <f t="shared" si="5"/>
        <v>中国核电</v>
      </c>
      <c r="E17" t="str">
        <f t="shared" si="1"/>
        <v>普通买入</v>
      </c>
      <c r="F17">
        <v>7.05</v>
      </c>
      <c r="G17">
        <v>200000</v>
      </c>
      <c r="H17" t="str">
        <f t="shared" si="6"/>
        <v>34427</v>
      </c>
      <c r="I17">
        <v>7.05</v>
      </c>
      <c r="J17">
        <v>21100</v>
      </c>
      <c r="K17">
        <v>148755</v>
      </c>
      <c r="L17" t="str">
        <f>"2439701"</f>
        <v>2439701</v>
      </c>
      <c r="M17" t="str">
        <f t="shared" si="2"/>
        <v>E042902565</v>
      </c>
      <c r="N17" t="str">
        <f t="shared" si="3"/>
        <v>普通成交</v>
      </c>
      <c r="O17" t="s">
        <v>1</v>
      </c>
    </row>
    <row r="18" spans="1:15" x14ac:dyDescent="0.15">
      <c r="A18" t="str">
        <f t="shared" si="0"/>
        <v>20161223</v>
      </c>
      <c r="B18" t="str">
        <f>"10:07:02"</f>
        <v>10:07:02</v>
      </c>
      <c r="C18" t="str">
        <f t="shared" si="4"/>
        <v>601985</v>
      </c>
      <c r="D18" t="str">
        <f t="shared" si="5"/>
        <v>中国核电</v>
      </c>
      <c r="E18" t="str">
        <f t="shared" si="1"/>
        <v>普通买入</v>
      </c>
      <c r="F18">
        <v>7.05</v>
      </c>
      <c r="G18">
        <v>200000</v>
      </c>
      <c r="H18" t="str">
        <f t="shared" si="6"/>
        <v>34427</v>
      </c>
      <c r="I18">
        <v>7.05</v>
      </c>
      <c r="J18">
        <v>30000</v>
      </c>
      <c r="K18">
        <v>211500</v>
      </c>
      <c r="L18" t="str">
        <f>"2443991"</f>
        <v>2443991</v>
      </c>
      <c r="M18" t="str">
        <f t="shared" si="2"/>
        <v>E042902565</v>
      </c>
      <c r="N18" t="str">
        <f t="shared" si="3"/>
        <v>普通成交</v>
      </c>
      <c r="O18" t="s">
        <v>1</v>
      </c>
    </row>
    <row r="19" spans="1:15" x14ac:dyDescent="0.15">
      <c r="A19" t="str">
        <f t="shared" si="0"/>
        <v>20161223</v>
      </c>
      <c r="B19" t="str">
        <f>"10:07:05"</f>
        <v>10:07:05</v>
      </c>
      <c r="C19" t="str">
        <f t="shared" si="4"/>
        <v>601985</v>
      </c>
      <c r="D19" t="str">
        <f t="shared" si="5"/>
        <v>中国核电</v>
      </c>
      <c r="E19" t="str">
        <f t="shared" si="1"/>
        <v>普通买入</v>
      </c>
      <c r="F19">
        <v>7.05</v>
      </c>
      <c r="G19">
        <v>200000</v>
      </c>
      <c r="H19" t="str">
        <f t="shared" si="6"/>
        <v>34427</v>
      </c>
      <c r="I19">
        <v>7.05</v>
      </c>
      <c r="J19">
        <v>100</v>
      </c>
      <c r="K19">
        <v>705</v>
      </c>
      <c r="L19" t="str">
        <f>"2447102"</f>
        <v>2447102</v>
      </c>
      <c r="M19" t="str">
        <f t="shared" si="2"/>
        <v>E042902565</v>
      </c>
      <c r="N19" t="str">
        <f t="shared" si="3"/>
        <v>普通成交</v>
      </c>
      <c r="O19" t="s">
        <v>1</v>
      </c>
    </row>
    <row r="20" spans="1:15" x14ac:dyDescent="0.15">
      <c r="A20" t="str">
        <f t="shared" si="0"/>
        <v>20161223</v>
      </c>
      <c r="B20" t="str">
        <f>"10:07:09"</f>
        <v>10:07:09</v>
      </c>
      <c r="C20" t="str">
        <f t="shared" si="4"/>
        <v>601985</v>
      </c>
      <c r="D20" t="str">
        <f t="shared" si="5"/>
        <v>中国核电</v>
      </c>
      <c r="E20" t="str">
        <f t="shared" si="1"/>
        <v>普通买入</v>
      </c>
      <c r="F20">
        <v>7.05</v>
      </c>
      <c r="G20">
        <v>200000</v>
      </c>
      <c r="H20" t="str">
        <f t="shared" si="6"/>
        <v>34427</v>
      </c>
      <c r="I20">
        <v>7.05</v>
      </c>
      <c r="J20">
        <v>200</v>
      </c>
      <c r="K20">
        <v>1410</v>
      </c>
      <c r="L20" t="str">
        <f>"2451161"</f>
        <v>2451161</v>
      </c>
      <c r="M20" t="str">
        <f t="shared" si="2"/>
        <v>E042902565</v>
      </c>
      <c r="N20" t="str">
        <f t="shared" si="3"/>
        <v>普通成交</v>
      </c>
      <c r="O20" t="s">
        <v>1</v>
      </c>
    </row>
    <row r="21" spans="1:15" x14ac:dyDescent="0.15">
      <c r="A21" t="str">
        <f t="shared" si="0"/>
        <v>20161223</v>
      </c>
      <c r="B21" t="str">
        <f>"10:07:10"</f>
        <v>10:07:10</v>
      </c>
      <c r="C21" t="str">
        <f t="shared" si="4"/>
        <v>601985</v>
      </c>
      <c r="D21" t="str">
        <f t="shared" si="5"/>
        <v>中国核电</v>
      </c>
      <c r="E21" t="str">
        <f t="shared" si="1"/>
        <v>普通买入</v>
      </c>
      <c r="F21">
        <v>7.05</v>
      </c>
      <c r="G21">
        <v>200000</v>
      </c>
      <c r="H21" t="str">
        <f t="shared" si="6"/>
        <v>34427</v>
      </c>
      <c r="I21">
        <v>7.05</v>
      </c>
      <c r="J21">
        <v>5000</v>
      </c>
      <c r="K21">
        <v>35250</v>
      </c>
      <c r="L21" t="str">
        <f>"2451617"</f>
        <v>2451617</v>
      </c>
      <c r="M21" t="str">
        <f t="shared" si="2"/>
        <v>E042902565</v>
      </c>
      <c r="N21" t="str">
        <f t="shared" si="3"/>
        <v>普通成交</v>
      </c>
      <c r="O21" t="s">
        <v>1</v>
      </c>
    </row>
    <row r="22" spans="1:15" x14ac:dyDescent="0.15">
      <c r="A22" t="str">
        <f t="shared" si="0"/>
        <v>20161223</v>
      </c>
      <c r="B22" t="str">
        <f>"10:07:14"</f>
        <v>10:07:14</v>
      </c>
      <c r="C22" t="str">
        <f t="shared" si="4"/>
        <v>601985</v>
      </c>
      <c r="D22" t="str">
        <f t="shared" si="5"/>
        <v>中国核电</v>
      </c>
      <c r="E22" t="str">
        <f t="shared" si="1"/>
        <v>普通买入</v>
      </c>
      <c r="F22">
        <v>7.05</v>
      </c>
      <c r="G22">
        <v>200000</v>
      </c>
      <c r="H22" t="str">
        <f t="shared" si="6"/>
        <v>34427</v>
      </c>
      <c r="I22">
        <v>7.05</v>
      </c>
      <c r="J22">
        <v>1000</v>
      </c>
      <c r="K22">
        <v>7050</v>
      </c>
      <c r="L22" t="str">
        <f>"2455575"</f>
        <v>2455575</v>
      </c>
      <c r="M22" t="str">
        <f t="shared" si="2"/>
        <v>E042902565</v>
      </c>
      <c r="N22" t="str">
        <f t="shared" si="3"/>
        <v>普通成交</v>
      </c>
      <c r="O22" t="s">
        <v>1</v>
      </c>
    </row>
    <row r="23" spans="1:15" x14ac:dyDescent="0.15">
      <c r="A23" t="str">
        <f t="shared" si="0"/>
        <v>20161223</v>
      </c>
      <c r="B23" t="str">
        <f>"10:07:17"</f>
        <v>10:07:17</v>
      </c>
      <c r="C23" t="str">
        <f t="shared" si="4"/>
        <v>601985</v>
      </c>
      <c r="D23" t="str">
        <f t="shared" si="5"/>
        <v>中国核电</v>
      </c>
      <c r="E23" t="str">
        <f t="shared" si="1"/>
        <v>普通买入</v>
      </c>
      <c r="F23">
        <v>7.05</v>
      </c>
      <c r="G23">
        <v>200000</v>
      </c>
      <c r="H23" t="str">
        <f t="shared" si="6"/>
        <v>34427</v>
      </c>
      <c r="I23">
        <v>7.05</v>
      </c>
      <c r="J23">
        <v>10000</v>
      </c>
      <c r="K23">
        <v>70500</v>
      </c>
      <c r="L23" t="str">
        <f>"2458298"</f>
        <v>2458298</v>
      </c>
      <c r="M23" t="str">
        <f t="shared" si="2"/>
        <v>E042902565</v>
      </c>
      <c r="N23" t="str">
        <f t="shared" si="3"/>
        <v>普通成交</v>
      </c>
      <c r="O23" t="s">
        <v>1</v>
      </c>
    </row>
    <row r="24" spans="1:15" x14ac:dyDescent="0.15">
      <c r="A24" t="str">
        <f t="shared" si="0"/>
        <v>20161223</v>
      </c>
      <c r="B24" t="str">
        <f>"10:07:18"</f>
        <v>10:07:18</v>
      </c>
      <c r="C24" t="str">
        <f t="shared" si="4"/>
        <v>601985</v>
      </c>
      <c r="D24" t="str">
        <f t="shared" si="5"/>
        <v>中国核电</v>
      </c>
      <c r="E24" t="str">
        <f t="shared" si="1"/>
        <v>普通买入</v>
      </c>
      <c r="F24">
        <v>7.05</v>
      </c>
      <c r="G24">
        <v>200000</v>
      </c>
      <c r="H24" t="str">
        <f t="shared" si="6"/>
        <v>34427</v>
      </c>
      <c r="I24">
        <v>7.05</v>
      </c>
      <c r="J24">
        <v>9000</v>
      </c>
      <c r="K24">
        <v>63450</v>
      </c>
      <c r="L24" t="str">
        <f>"2459197"</f>
        <v>2459197</v>
      </c>
      <c r="M24" t="str">
        <f t="shared" si="2"/>
        <v>E042902565</v>
      </c>
      <c r="N24" t="str">
        <f t="shared" si="3"/>
        <v>普通成交</v>
      </c>
      <c r="O24" t="s">
        <v>1</v>
      </c>
    </row>
    <row r="25" spans="1:15" x14ac:dyDescent="0.15">
      <c r="A25" t="str">
        <f t="shared" si="0"/>
        <v>20161223</v>
      </c>
      <c r="B25" t="str">
        <f>"10:07:21"</f>
        <v>10:07:21</v>
      </c>
      <c r="C25" t="str">
        <f t="shared" si="4"/>
        <v>601985</v>
      </c>
      <c r="D25" t="str">
        <f t="shared" si="5"/>
        <v>中国核电</v>
      </c>
      <c r="E25" t="str">
        <f t="shared" si="1"/>
        <v>普通买入</v>
      </c>
      <c r="F25">
        <v>7.05</v>
      </c>
      <c r="G25">
        <v>200000</v>
      </c>
      <c r="H25" t="str">
        <f t="shared" si="6"/>
        <v>34427</v>
      </c>
      <c r="I25">
        <v>7.05</v>
      </c>
      <c r="J25">
        <v>2500</v>
      </c>
      <c r="K25">
        <v>17625</v>
      </c>
      <c r="L25" t="str">
        <f>"2462748"</f>
        <v>2462748</v>
      </c>
      <c r="M25" t="str">
        <f t="shared" si="2"/>
        <v>E042902565</v>
      </c>
      <c r="N25" t="str">
        <f t="shared" si="3"/>
        <v>普通成交</v>
      </c>
      <c r="O25" t="s">
        <v>1</v>
      </c>
    </row>
    <row r="26" spans="1:15" x14ac:dyDescent="0.15">
      <c r="A26" t="str">
        <f t="shared" si="0"/>
        <v>20161223</v>
      </c>
      <c r="B26" t="str">
        <f>"10:07:23"</f>
        <v>10:07:23</v>
      </c>
      <c r="C26" t="str">
        <f t="shared" si="4"/>
        <v>601985</v>
      </c>
      <c r="D26" t="str">
        <f t="shared" si="5"/>
        <v>中国核电</v>
      </c>
      <c r="E26" t="str">
        <f t="shared" si="1"/>
        <v>普通买入</v>
      </c>
      <c r="F26">
        <v>7.05</v>
      </c>
      <c r="G26">
        <v>200000</v>
      </c>
      <c r="H26" t="str">
        <f t="shared" si="6"/>
        <v>34427</v>
      </c>
      <c r="I26">
        <v>7.05</v>
      </c>
      <c r="J26">
        <v>800</v>
      </c>
      <c r="K26">
        <v>5640</v>
      </c>
      <c r="L26" t="str">
        <f>"2464379"</f>
        <v>2464379</v>
      </c>
      <c r="M26" t="str">
        <f t="shared" si="2"/>
        <v>E042902565</v>
      </c>
      <c r="N26" t="str">
        <f t="shared" si="3"/>
        <v>普通成交</v>
      </c>
      <c r="O26" t="s">
        <v>1</v>
      </c>
    </row>
    <row r="27" spans="1:15" x14ac:dyDescent="0.15">
      <c r="A27" t="str">
        <f t="shared" si="0"/>
        <v>20161223</v>
      </c>
      <c r="B27" t="str">
        <f>"10:07:24"</f>
        <v>10:07:24</v>
      </c>
      <c r="C27" t="str">
        <f t="shared" si="4"/>
        <v>601985</v>
      </c>
      <c r="D27" t="str">
        <f t="shared" si="5"/>
        <v>中国核电</v>
      </c>
      <c r="E27" t="str">
        <f t="shared" si="1"/>
        <v>普通买入</v>
      </c>
      <c r="F27">
        <v>7.05</v>
      </c>
      <c r="G27">
        <v>200000</v>
      </c>
      <c r="H27" t="str">
        <f t="shared" si="6"/>
        <v>34427</v>
      </c>
      <c r="I27">
        <v>7.05</v>
      </c>
      <c r="J27">
        <v>1000</v>
      </c>
      <c r="K27">
        <v>7050</v>
      </c>
      <c r="L27" t="str">
        <f>"2465093"</f>
        <v>2465093</v>
      </c>
      <c r="M27" t="str">
        <f t="shared" si="2"/>
        <v>E042902565</v>
      </c>
      <c r="N27" t="str">
        <f t="shared" si="3"/>
        <v>普通成交</v>
      </c>
      <c r="O27" t="s">
        <v>1</v>
      </c>
    </row>
    <row r="28" spans="1:15" x14ac:dyDescent="0.15">
      <c r="A28" t="str">
        <f t="shared" si="0"/>
        <v>20161223</v>
      </c>
      <c r="B28" t="str">
        <f>"10:07:29"</f>
        <v>10:07:29</v>
      </c>
      <c r="C28" t="str">
        <f t="shared" si="4"/>
        <v>601985</v>
      </c>
      <c r="D28" t="str">
        <f t="shared" si="5"/>
        <v>中国核电</v>
      </c>
      <c r="E28" t="str">
        <f t="shared" si="1"/>
        <v>普通买入</v>
      </c>
      <c r="F28">
        <v>7.05</v>
      </c>
      <c r="G28">
        <v>200000</v>
      </c>
      <c r="H28" t="str">
        <f t="shared" si="6"/>
        <v>34427</v>
      </c>
      <c r="I28">
        <v>7.05</v>
      </c>
      <c r="J28">
        <v>10000</v>
      </c>
      <c r="K28">
        <v>70500</v>
      </c>
      <c r="L28" t="str">
        <f>"2470496"</f>
        <v>2470496</v>
      </c>
      <c r="M28" t="str">
        <f t="shared" si="2"/>
        <v>E042902565</v>
      </c>
      <c r="N28" t="str">
        <f t="shared" si="3"/>
        <v>普通成交</v>
      </c>
      <c r="O28" t="s">
        <v>1</v>
      </c>
    </row>
    <row r="29" spans="1:15" x14ac:dyDescent="0.15">
      <c r="A29" t="str">
        <f t="shared" si="0"/>
        <v>20161223</v>
      </c>
      <c r="B29" t="str">
        <f>"10:07:30"</f>
        <v>10:07:30</v>
      </c>
      <c r="C29" t="str">
        <f t="shared" si="4"/>
        <v>601985</v>
      </c>
      <c r="D29" t="str">
        <f t="shared" si="5"/>
        <v>中国核电</v>
      </c>
      <c r="E29" t="str">
        <f t="shared" si="1"/>
        <v>普通买入</v>
      </c>
      <c r="F29">
        <v>7.05</v>
      </c>
      <c r="G29">
        <v>200000</v>
      </c>
      <c r="H29" t="str">
        <f t="shared" si="6"/>
        <v>34427</v>
      </c>
      <c r="I29">
        <v>7.05</v>
      </c>
      <c r="J29">
        <v>100</v>
      </c>
      <c r="K29">
        <v>705</v>
      </c>
      <c r="L29" t="str">
        <f>"2471496"</f>
        <v>2471496</v>
      </c>
      <c r="M29" t="str">
        <f t="shared" si="2"/>
        <v>E042902565</v>
      </c>
      <c r="N29" t="str">
        <f t="shared" si="3"/>
        <v>普通成交</v>
      </c>
      <c r="O29" t="s">
        <v>1</v>
      </c>
    </row>
    <row r="30" spans="1:15" x14ac:dyDescent="0.15">
      <c r="A30" t="str">
        <f t="shared" si="0"/>
        <v>20161223</v>
      </c>
      <c r="B30" t="str">
        <f>"10:07:30"</f>
        <v>10:07:30</v>
      </c>
      <c r="C30" t="str">
        <f t="shared" si="4"/>
        <v>601985</v>
      </c>
      <c r="D30" t="str">
        <f t="shared" si="5"/>
        <v>中国核电</v>
      </c>
      <c r="E30" t="str">
        <f t="shared" si="1"/>
        <v>普通买入</v>
      </c>
      <c r="F30">
        <v>7.05</v>
      </c>
      <c r="G30">
        <v>200000</v>
      </c>
      <c r="H30" t="str">
        <f t="shared" si="6"/>
        <v>34427</v>
      </c>
      <c r="I30">
        <v>7.05</v>
      </c>
      <c r="J30">
        <v>2500</v>
      </c>
      <c r="K30">
        <v>17625</v>
      </c>
      <c r="L30" t="str">
        <f>"2471634"</f>
        <v>2471634</v>
      </c>
      <c r="M30" t="str">
        <f t="shared" si="2"/>
        <v>E042902565</v>
      </c>
      <c r="N30" t="str">
        <f t="shared" si="3"/>
        <v>普通成交</v>
      </c>
      <c r="O30" t="s">
        <v>1</v>
      </c>
    </row>
    <row r="31" spans="1:15" x14ac:dyDescent="0.15">
      <c r="A31" t="str">
        <f t="shared" si="0"/>
        <v>20161223</v>
      </c>
      <c r="B31" t="str">
        <f>"10:07:33"</f>
        <v>10:07:33</v>
      </c>
      <c r="C31" t="str">
        <f t="shared" si="4"/>
        <v>601985</v>
      </c>
      <c r="D31" t="str">
        <f t="shared" si="5"/>
        <v>中国核电</v>
      </c>
      <c r="E31" t="str">
        <f t="shared" si="1"/>
        <v>普通买入</v>
      </c>
      <c r="F31">
        <v>7.05</v>
      </c>
      <c r="G31">
        <v>200000</v>
      </c>
      <c r="H31" t="str">
        <f t="shared" si="6"/>
        <v>34427</v>
      </c>
      <c r="I31">
        <v>7.05</v>
      </c>
      <c r="J31">
        <v>3000</v>
      </c>
      <c r="K31">
        <v>21150</v>
      </c>
      <c r="L31" t="str">
        <f>"2473927"</f>
        <v>2473927</v>
      </c>
      <c r="M31" t="str">
        <f t="shared" si="2"/>
        <v>E042902565</v>
      </c>
      <c r="N31" t="str">
        <f t="shared" si="3"/>
        <v>普通成交</v>
      </c>
      <c r="O31" t="s">
        <v>1</v>
      </c>
    </row>
    <row r="32" spans="1:15" x14ac:dyDescent="0.15">
      <c r="A32" t="str">
        <f t="shared" si="0"/>
        <v>20161223</v>
      </c>
      <c r="B32" t="str">
        <f>"10:07:37"</f>
        <v>10:07:37</v>
      </c>
      <c r="C32" t="str">
        <f t="shared" si="4"/>
        <v>601985</v>
      </c>
      <c r="D32" t="str">
        <f t="shared" si="5"/>
        <v>中国核电</v>
      </c>
      <c r="E32" t="str">
        <f t="shared" si="1"/>
        <v>普通买入</v>
      </c>
      <c r="F32">
        <v>7.05</v>
      </c>
      <c r="G32">
        <v>200000</v>
      </c>
      <c r="H32" t="str">
        <f t="shared" si="6"/>
        <v>34427</v>
      </c>
      <c r="I32">
        <v>7.05</v>
      </c>
      <c r="J32">
        <v>500</v>
      </c>
      <c r="K32">
        <v>3525</v>
      </c>
      <c r="L32" t="str">
        <f>"2477806"</f>
        <v>2477806</v>
      </c>
      <c r="M32" t="str">
        <f t="shared" si="2"/>
        <v>E042902565</v>
      </c>
      <c r="N32" t="str">
        <f t="shared" si="3"/>
        <v>普通成交</v>
      </c>
      <c r="O32" t="s">
        <v>1</v>
      </c>
    </row>
    <row r="33" spans="1:15" x14ac:dyDescent="0.15">
      <c r="A33" t="str">
        <f t="shared" si="0"/>
        <v>20161223</v>
      </c>
      <c r="B33" t="str">
        <f>"10:07:41"</f>
        <v>10:07:41</v>
      </c>
      <c r="C33" t="str">
        <f t="shared" si="4"/>
        <v>601985</v>
      </c>
      <c r="D33" t="str">
        <f t="shared" si="5"/>
        <v>中国核电</v>
      </c>
      <c r="E33" t="str">
        <f t="shared" si="1"/>
        <v>普通买入</v>
      </c>
      <c r="F33">
        <v>7.05</v>
      </c>
      <c r="G33">
        <v>200000</v>
      </c>
      <c r="H33" t="str">
        <f t="shared" si="6"/>
        <v>34427</v>
      </c>
      <c r="I33">
        <v>7.05</v>
      </c>
      <c r="J33">
        <v>10000</v>
      </c>
      <c r="K33">
        <v>70500</v>
      </c>
      <c r="L33" t="str">
        <f>"2481851"</f>
        <v>2481851</v>
      </c>
      <c r="M33" t="str">
        <f t="shared" si="2"/>
        <v>E042902565</v>
      </c>
      <c r="N33" t="str">
        <f t="shared" si="3"/>
        <v>普通成交</v>
      </c>
      <c r="O33" t="s">
        <v>1</v>
      </c>
    </row>
    <row r="34" spans="1:15" x14ac:dyDescent="0.15">
      <c r="A34" t="str">
        <f t="shared" ref="A34:A65" si="7">"20161223"</f>
        <v>20161223</v>
      </c>
      <c r="B34" t="str">
        <f>"10:07:42"</f>
        <v>10:07:42</v>
      </c>
      <c r="C34" t="str">
        <f t="shared" si="4"/>
        <v>601985</v>
      </c>
      <c r="D34" t="str">
        <f t="shared" si="5"/>
        <v>中国核电</v>
      </c>
      <c r="E34" t="str">
        <f t="shared" si="1"/>
        <v>普通买入</v>
      </c>
      <c r="F34">
        <v>7.05</v>
      </c>
      <c r="G34">
        <v>200000</v>
      </c>
      <c r="H34" t="str">
        <f t="shared" si="6"/>
        <v>34427</v>
      </c>
      <c r="I34">
        <v>7.05</v>
      </c>
      <c r="J34">
        <v>17000</v>
      </c>
      <c r="K34">
        <v>119850</v>
      </c>
      <c r="L34" t="str">
        <f>"2482076"</f>
        <v>2482076</v>
      </c>
      <c r="M34" t="str">
        <f t="shared" ref="M34:M66" si="8">"E042902565"</f>
        <v>E042902565</v>
      </c>
      <c r="N34" t="str">
        <f t="shared" ref="N34:N65" si="9">"普通成交"</f>
        <v>普通成交</v>
      </c>
      <c r="O34" t="s">
        <v>1</v>
      </c>
    </row>
    <row r="35" spans="1:15" x14ac:dyDescent="0.15">
      <c r="A35" t="str">
        <f t="shared" si="7"/>
        <v>20161223</v>
      </c>
      <c r="B35" t="str">
        <f>"10:13:39"</f>
        <v>10:13:39</v>
      </c>
      <c r="C35" t="str">
        <f t="shared" si="4"/>
        <v>601985</v>
      </c>
      <c r="D35" t="str">
        <f t="shared" si="5"/>
        <v>中国核电</v>
      </c>
      <c r="E35" t="str">
        <f t="shared" ref="E35:E62" si="10">"普通卖出"</f>
        <v>普通卖出</v>
      </c>
      <c r="F35">
        <v>7.05</v>
      </c>
      <c r="G35">
        <v>50000</v>
      </c>
      <c r="H35" t="str">
        <f t="shared" ref="H35:H62" si="11">"45477"</f>
        <v>45477</v>
      </c>
      <c r="I35">
        <v>7.05</v>
      </c>
      <c r="J35">
        <v>1200</v>
      </c>
      <c r="K35">
        <v>8460</v>
      </c>
      <c r="L35" t="str">
        <f>"2766956"</f>
        <v>2766956</v>
      </c>
      <c r="M35" t="str">
        <f t="shared" si="8"/>
        <v>E042902565</v>
      </c>
      <c r="N35" t="str">
        <f t="shared" si="9"/>
        <v>普通成交</v>
      </c>
      <c r="O35" t="s">
        <v>1</v>
      </c>
    </row>
    <row r="36" spans="1:15" x14ac:dyDescent="0.15">
      <c r="A36" t="str">
        <f t="shared" si="7"/>
        <v>20161223</v>
      </c>
      <c r="B36" t="str">
        <f>"10:13:42"</f>
        <v>10:13:42</v>
      </c>
      <c r="C36" t="str">
        <f t="shared" si="4"/>
        <v>601985</v>
      </c>
      <c r="D36" t="str">
        <f t="shared" si="5"/>
        <v>中国核电</v>
      </c>
      <c r="E36" t="str">
        <f t="shared" si="10"/>
        <v>普通卖出</v>
      </c>
      <c r="F36">
        <v>7.05</v>
      </c>
      <c r="G36">
        <v>50000</v>
      </c>
      <c r="H36" t="str">
        <f t="shared" si="11"/>
        <v>45477</v>
      </c>
      <c r="I36">
        <v>7.05</v>
      </c>
      <c r="J36">
        <v>1000</v>
      </c>
      <c r="K36">
        <v>7050</v>
      </c>
      <c r="L36" t="str">
        <f>"2769076"</f>
        <v>2769076</v>
      </c>
      <c r="M36" t="str">
        <f t="shared" si="8"/>
        <v>E042902565</v>
      </c>
      <c r="N36" t="str">
        <f t="shared" si="9"/>
        <v>普通成交</v>
      </c>
      <c r="O36" t="s">
        <v>1</v>
      </c>
    </row>
    <row r="37" spans="1:15" x14ac:dyDescent="0.15">
      <c r="A37" t="str">
        <f t="shared" si="7"/>
        <v>20161223</v>
      </c>
      <c r="B37" t="str">
        <f>"10:13:42"</f>
        <v>10:13:42</v>
      </c>
      <c r="C37" t="str">
        <f t="shared" si="4"/>
        <v>601985</v>
      </c>
      <c r="D37" t="str">
        <f t="shared" si="5"/>
        <v>中国核电</v>
      </c>
      <c r="E37" t="str">
        <f t="shared" si="10"/>
        <v>普通卖出</v>
      </c>
      <c r="F37">
        <v>7.05</v>
      </c>
      <c r="G37">
        <v>50000</v>
      </c>
      <c r="H37" t="str">
        <f t="shared" si="11"/>
        <v>45477</v>
      </c>
      <c r="I37">
        <v>7.05</v>
      </c>
      <c r="J37">
        <v>500</v>
      </c>
      <c r="K37">
        <v>3525</v>
      </c>
      <c r="L37" t="str">
        <f>"2769675"</f>
        <v>2769675</v>
      </c>
      <c r="M37" t="str">
        <f t="shared" si="8"/>
        <v>E042902565</v>
      </c>
      <c r="N37" t="str">
        <f t="shared" si="9"/>
        <v>普通成交</v>
      </c>
      <c r="O37" t="s">
        <v>1</v>
      </c>
    </row>
    <row r="38" spans="1:15" x14ac:dyDescent="0.15">
      <c r="A38" t="str">
        <f t="shared" si="7"/>
        <v>20161223</v>
      </c>
      <c r="B38" t="str">
        <f>"10:13:43"</f>
        <v>10:13:43</v>
      </c>
      <c r="C38" t="str">
        <f t="shared" si="4"/>
        <v>601985</v>
      </c>
      <c r="D38" t="str">
        <f t="shared" si="5"/>
        <v>中国核电</v>
      </c>
      <c r="E38" t="str">
        <f t="shared" si="10"/>
        <v>普通卖出</v>
      </c>
      <c r="F38">
        <v>7.05</v>
      </c>
      <c r="G38">
        <v>50000</v>
      </c>
      <c r="H38" t="str">
        <f t="shared" si="11"/>
        <v>45477</v>
      </c>
      <c r="I38">
        <v>7.05</v>
      </c>
      <c r="J38">
        <v>300</v>
      </c>
      <c r="K38">
        <v>2115</v>
      </c>
      <c r="L38" t="str">
        <f>"2770355"</f>
        <v>2770355</v>
      </c>
      <c r="M38" t="str">
        <f t="shared" si="8"/>
        <v>E042902565</v>
      </c>
      <c r="N38" t="str">
        <f t="shared" si="9"/>
        <v>普通成交</v>
      </c>
      <c r="O38" t="s">
        <v>1</v>
      </c>
    </row>
    <row r="39" spans="1:15" x14ac:dyDescent="0.15">
      <c r="A39" t="str">
        <f t="shared" si="7"/>
        <v>20161223</v>
      </c>
      <c r="B39" t="str">
        <f>"10:13:43"</f>
        <v>10:13:43</v>
      </c>
      <c r="C39" t="str">
        <f t="shared" ref="C39:C66" si="12">"601985"</f>
        <v>601985</v>
      </c>
      <c r="D39" t="str">
        <f t="shared" ref="D39:D66" si="13">"中国核电"</f>
        <v>中国核电</v>
      </c>
      <c r="E39" t="str">
        <f t="shared" si="10"/>
        <v>普通卖出</v>
      </c>
      <c r="F39">
        <v>7.05</v>
      </c>
      <c r="G39">
        <v>50000</v>
      </c>
      <c r="H39" t="str">
        <f t="shared" si="11"/>
        <v>45477</v>
      </c>
      <c r="I39">
        <v>7.05</v>
      </c>
      <c r="J39">
        <v>1500</v>
      </c>
      <c r="K39">
        <v>10575</v>
      </c>
      <c r="L39" t="str">
        <f>"2770489"</f>
        <v>2770489</v>
      </c>
      <c r="M39" t="str">
        <f t="shared" si="8"/>
        <v>E042902565</v>
      </c>
      <c r="N39" t="str">
        <f t="shared" si="9"/>
        <v>普通成交</v>
      </c>
      <c r="O39" t="s">
        <v>1</v>
      </c>
    </row>
    <row r="40" spans="1:15" x14ac:dyDescent="0.15">
      <c r="A40" t="str">
        <f t="shared" si="7"/>
        <v>20161223</v>
      </c>
      <c r="B40" t="str">
        <f>"10:13:45"</f>
        <v>10:13:45</v>
      </c>
      <c r="C40" t="str">
        <f t="shared" si="12"/>
        <v>601985</v>
      </c>
      <c r="D40" t="str">
        <f t="shared" si="13"/>
        <v>中国核电</v>
      </c>
      <c r="E40" t="str">
        <f t="shared" si="10"/>
        <v>普通卖出</v>
      </c>
      <c r="F40">
        <v>7.05</v>
      </c>
      <c r="G40">
        <v>50000</v>
      </c>
      <c r="H40" t="str">
        <f t="shared" si="11"/>
        <v>45477</v>
      </c>
      <c r="I40">
        <v>7.05</v>
      </c>
      <c r="J40">
        <v>500</v>
      </c>
      <c r="K40">
        <v>3525</v>
      </c>
      <c r="L40" t="str">
        <f>"2771440"</f>
        <v>2771440</v>
      </c>
      <c r="M40" t="str">
        <f t="shared" si="8"/>
        <v>E042902565</v>
      </c>
      <c r="N40" t="str">
        <f t="shared" si="9"/>
        <v>普通成交</v>
      </c>
      <c r="O40" t="s">
        <v>1</v>
      </c>
    </row>
    <row r="41" spans="1:15" x14ac:dyDescent="0.15">
      <c r="A41" t="str">
        <f t="shared" si="7"/>
        <v>20161223</v>
      </c>
      <c r="B41" t="str">
        <f>"10:13:45"</f>
        <v>10:13:45</v>
      </c>
      <c r="C41" t="str">
        <f t="shared" si="12"/>
        <v>601985</v>
      </c>
      <c r="D41" t="str">
        <f t="shared" si="13"/>
        <v>中国核电</v>
      </c>
      <c r="E41" t="str">
        <f t="shared" si="10"/>
        <v>普通卖出</v>
      </c>
      <c r="F41">
        <v>7.05</v>
      </c>
      <c r="G41">
        <v>50000</v>
      </c>
      <c r="H41" t="str">
        <f t="shared" si="11"/>
        <v>45477</v>
      </c>
      <c r="I41">
        <v>7.05</v>
      </c>
      <c r="J41">
        <v>3000</v>
      </c>
      <c r="K41">
        <v>21150</v>
      </c>
      <c r="L41" t="str">
        <f>"2771751"</f>
        <v>2771751</v>
      </c>
      <c r="M41" t="str">
        <f t="shared" si="8"/>
        <v>E042902565</v>
      </c>
      <c r="N41" t="str">
        <f t="shared" si="9"/>
        <v>普通成交</v>
      </c>
      <c r="O41" t="s">
        <v>1</v>
      </c>
    </row>
    <row r="42" spans="1:15" x14ac:dyDescent="0.15">
      <c r="A42" t="str">
        <f t="shared" si="7"/>
        <v>20161223</v>
      </c>
      <c r="B42" t="str">
        <f>"10:13:45"</f>
        <v>10:13:45</v>
      </c>
      <c r="C42" t="str">
        <f t="shared" si="12"/>
        <v>601985</v>
      </c>
      <c r="D42" t="str">
        <f t="shared" si="13"/>
        <v>中国核电</v>
      </c>
      <c r="E42" t="str">
        <f t="shared" si="10"/>
        <v>普通卖出</v>
      </c>
      <c r="F42">
        <v>7.05</v>
      </c>
      <c r="G42">
        <v>50000</v>
      </c>
      <c r="H42" t="str">
        <f t="shared" si="11"/>
        <v>45477</v>
      </c>
      <c r="I42">
        <v>7.05</v>
      </c>
      <c r="J42">
        <v>400</v>
      </c>
      <c r="K42">
        <v>2820</v>
      </c>
      <c r="L42" t="str">
        <f>"2771926"</f>
        <v>2771926</v>
      </c>
      <c r="M42" t="str">
        <f t="shared" si="8"/>
        <v>E042902565</v>
      </c>
      <c r="N42" t="str">
        <f t="shared" si="9"/>
        <v>普通成交</v>
      </c>
      <c r="O42" t="s">
        <v>1</v>
      </c>
    </row>
    <row r="43" spans="1:15" x14ac:dyDescent="0.15">
      <c r="A43" t="str">
        <f t="shared" si="7"/>
        <v>20161223</v>
      </c>
      <c r="B43" t="str">
        <f>"10:13:49"</f>
        <v>10:13:49</v>
      </c>
      <c r="C43" t="str">
        <f t="shared" si="12"/>
        <v>601985</v>
      </c>
      <c r="D43" t="str">
        <f t="shared" si="13"/>
        <v>中国核电</v>
      </c>
      <c r="E43" t="str">
        <f t="shared" si="10"/>
        <v>普通卖出</v>
      </c>
      <c r="F43">
        <v>7.05</v>
      </c>
      <c r="G43">
        <v>50000</v>
      </c>
      <c r="H43" t="str">
        <f t="shared" si="11"/>
        <v>45477</v>
      </c>
      <c r="I43">
        <v>7.05</v>
      </c>
      <c r="J43">
        <v>10000</v>
      </c>
      <c r="K43">
        <v>70500</v>
      </c>
      <c r="L43" t="str">
        <f>"2774146"</f>
        <v>2774146</v>
      </c>
      <c r="M43" t="str">
        <f t="shared" si="8"/>
        <v>E042902565</v>
      </c>
      <c r="N43" t="str">
        <f t="shared" si="9"/>
        <v>普通成交</v>
      </c>
      <c r="O43" t="s">
        <v>1</v>
      </c>
    </row>
    <row r="44" spans="1:15" x14ac:dyDescent="0.15">
      <c r="A44" t="str">
        <f t="shared" si="7"/>
        <v>20161223</v>
      </c>
      <c r="B44" t="str">
        <f>"10:13:52"</f>
        <v>10:13:52</v>
      </c>
      <c r="C44" t="str">
        <f t="shared" si="12"/>
        <v>601985</v>
      </c>
      <c r="D44" t="str">
        <f t="shared" si="13"/>
        <v>中国核电</v>
      </c>
      <c r="E44" t="str">
        <f t="shared" si="10"/>
        <v>普通卖出</v>
      </c>
      <c r="F44">
        <v>7.05</v>
      </c>
      <c r="G44">
        <v>50000</v>
      </c>
      <c r="H44" t="str">
        <f t="shared" si="11"/>
        <v>45477</v>
      </c>
      <c r="I44">
        <v>7.05</v>
      </c>
      <c r="J44">
        <v>500</v>
      </c>
      <c r="K44">
        <v>3525</v>
      </c>
      <c r="L44" t="str">
        <f>"2776160"</f>
        <v>2776160</v>
      </c>
      <c r="M44" t="str">
        <f t="shared" si="8"/>
        <v>E042902565</v>
      </c>
      <c r="N44" t="str">
        <f t="shared" si="9"/>
        <v>普通成交</v>
      </c>
      <c r="O44" t="s">
        <v>1</v>
      </c>
    </row>
    <row r="45" spans="1:15" x14ac:dyDescent="0.15">
      <c r="A45" t="str">
        <f t="shared" si="7"/>
        <v>20161223</v>
      </c>
      <c r="B45" t="str">
        <f>"10:13:56"</f>
        <v>10:13:56</v>
      </c>
      <c r="C45" t="str">
        <f t="shared" si="12"/>
        <v>601985</v>
      </c>
      <c r="D45" t="str">
        <f t="shared" si="13"/>
        <v>中国核电</v>
      </c>
      <c r="E45" t="str">
        <f t="shared" si="10"/>
        <v>普通卖出</v>
      </c>
      <c r="F45">
        <v>7.05</v>
      </c>
      <c r="G45">
        <v>50000</v>
      </c>
      <c r="H45" t="str">
        <f t="shared" si="11"/>
        <v>45477</v>
      </c>
      <c r="I45">
        <v>7.05</v>
      </c>
      <c r="J45">
        <v>400</v>
      </c>
      <c r="K45">
        <v>2820</v>
      </c>
      <c r="L45" t="str">
        <f>"2778963"</f>
        <v>2778963</v>
      </c>
      <c r="M45" t="str">
        <f t="shared" si="8"/>
        <v>E042902565</v>
      </c>
      <c r="N45" t="str">
        <f t="shared" si="9"/>
        <v>普通成交</v>
      </c>
      <c r="O45" t="s">
        <v>1</v>
      </c>
    </row>
    <row r="46" spans="1:15" x14ac:dyDescent="0.15">
      <c r="A46" t="str">
        <f t="shared" si="7"/>
        <v>20161223</v>
      </c>
      <c r="B46" t="str">
        <f>"10:13:56"</f>
        <v>10:13:56</v>
      </c>
      <c r="C46" t="str">
        <f t="shared" si="12"/>
        <v>601985</v>
      </c>
      <c r="D46" t="str">
        <f t="shared" si="13"/>
        <v>中国核电</v>
      </c>
      <c r="E46" t="str">
        <f t="shared" si="10"/>
        <v>普通卖出</v>
      </c>
      <c r="F46">
        <v>7.05</v>
      </c>
      <c r="G46">
        <v>50000</v>
      </c>
      <c r="H46" t="str">
        <f t="shared" si="11"/>
        <v>45477</v>
      </c>
      <c r="I46">
        <v>7.05</v>
      </c>
      <c r="J46">
        <v>400</v>
      </c>
      <c r="K46">
        <v>2820</v>
      </c>
      <c r="L46" t="str">
        <f>"2779433"</f>
        <v>2779433</v>
      </c>
      <c r="M46" t="str">
        <f t="shared" si="8"/>
        <v>E042902565</v>
      </c>
      <c r="N46" t="str">
        <f t="shared" si="9"/>
        <v>普通成交</v>
      </c>
      <c r="O46" t="s">
        <v>1</v>
      </c>
    </row>
    <row r="47" spans="1:15" x14ac:dyDescent="0.15">
      <c r="A47" t="str">
        <f t="shared" si="7"/>
        <v>20161223</v>
      </c>
      <c r="B47" t="str">
        <f>"10:14:00"</f>
        <v>10:14:00</v>
      </c>
      <c r="C47" t="str">
        <f t="shared" si="12"/>
        <v>601985</v>
      </c>
      <c r="D47" t="str">
        <f t="shared" si="13"/>
        <v>中国核电</v>
      </c>
      <c r="E47" t="str">
        <f t="shared" si="10"/>
        <v>普通卖出</v>
      </c>
      <c r="F47">
        <v>7.05</v>
      </c>
      <c r="G47">
        <v>50000</v>
      </c>
      <c r="H47" t="str">
        <f t="shared" si="11"/>
        <v>45477</v>
      </c>
      <c r="I47">
        <v>7.05</v>
      </c>
      <c r="J47">
        <v>400</v>
      </c>
      <c r="K47">
        <v>2820</v>
      </c>
      <c r="L47" t="str">
        <f>"2782051"</f>
        <v>2782051</v>
      </c>
      <c r="M47" t="str">
        <f t="shared" si="8"/>
        <v>E042902565</v>
      </c>
      <c r="N47" t="str">
        <f t="shared" si="9"/>
        <v>普通成交</v>
      </c>
      <c r="O47" t="s">
        <v>1</v>
      </c>
    </row>
    <row r="48" spans="1:15" x14ac:dyDescent="0.15">
      <c r="A48" t="str">
        <f t="shared" si="7"/>
        <v>20161223</v>
      </c>
      <c r="B48" t="str">
        <f>"10:14:07"</f>
        <v>10:14:07</v>
      </c>
      <c r="C48" t="str">
        <f t="shared" si="12"/>
        <v>601985</v>
      </c>
      <c r="D48" t="str">
        <f t="shared" si="13"/>
        <v>中国核电</v>
      </c>
      <c r="E48" t="str">
        <f t="shared" si="10"/>
        <v>普通卖出</v>
      </c>
      <c r="F48">
        <v>7.05</v>
      </c>
      <c r="G48">
        <v>50000</v>
      </c>
      <c r="H48" t="str">
        <f t="shared" si="11"/>
        <v>45477</v>
      </c>
      <c r="I48">
        <v>7.05</v>
      </c>
      <c r="J48">
        <v>2000</v>
      </c>
      <c r="K48">
        <v>14100</v>
      </c>
      <c r="L48" t="str">
        <f>"2787158"</f>
        <v>2787158</v>
      </c>
      <c r="M48" t="str">
        <f t="shared" si="8"/>
        <v>E042902565</v>
      </c>
      <c r="N48" t="str">
        <f t="shared" si="9"/>
        <v>普通成交</v>
      </c>
      <c r="O48" t="s">
        <v>1</v>
      </c>
    </row>
    <row r="49" spans="1:15" x14ac:dyDescent="0.15">
      <c r="A49" t="str">
        <f t="shared" si="7"/>
        <v>20161223</v>
      </c>
      <c r="B49" t="str">
        <f>"10:14:09"</f>
        <v>10:14:09</v>
      </c>
      <c r="C49" t="str">
        <f t="shared" si="12"/>
        <v>601985</v>
      </c>
      <c r="D49" t="str">
        <f t="shared" si="13"/>
        <v>中国核电</v>
      </c>
      <c r="E49" t="str">
        <f t="shared" si="10"/>
        <v>普通卖出</v>
      </c>
      <c r="F49">
        <v>7.05</v>
      </c>
      <c r="G49">
        <v>50000</v>
      </c>
      <c r="H49" t="str">
        <f t="shared" si="11"/>
        <v>45477</v>
      </c>
      <c r="I49">
        <v>7.05</v>
      </c>
      <c r="J49">
        <v>100</v>
      </c>
      <c r="K49">
        <v>705</v>
      </c>
      <c r="L49" t="str">
        <f>"2788416"</f>
        <v>2788416</v>
      </c>
      <c r="M49" t="str">
        <f t="shared" si="8"/>
        <v>E042902565</v>
      </c>
      <c r="N49" t="str">
        <f t="shared" si="9"/>
        <v>普通成交</v>
      </c>
      <c r="O49" t="s">
        <v>1</v>
      </c>
    </row>
    <row r="50" spans="1:15" x14ac:dyDescent="0.15">
      <c r="A50" t="str">
        <f t="shared" si="7"/>
        <v>20161223</v>
      </c>
      <c r="B50" t="str">
        <f>"10:14:10"</f>
        <v>10:14:10</v>
      </c>
      <c r="C50" t="str">
        <f t="shared" si="12"/>
        <v>601985</v>
      </c>
      <c r="D50" t="str">
        <f t="shared" si="13"/>
        <v>中国核电</v>
      </c>
      <c r="E50" t="str">
        <f t="shared" si="10"/>
        <v>普通卖出</v>
      </c>
      <c r="F50">
        <v>7.05</v>
      </c>
      <c r="G50">
        <v>50000</v>
      </c>
      <c r="H50" t="str">
        <f t="shared" si="11"/>
        <v>45477</v>
      </c>
      <c r="I50">
        <v>7.05</v>
      </c>
      <c r="J50">
        <v>1000</v>
      </c>
      <c r="K50">
        <v>7050</v>
      </c>
      <c r="L50" t="str">
        <f>"2789369"</f>
        <v>2789369</v>
      </c>
      <c r="M50" t="str">
        <f t="shared" si="8"/>
        <v>E042902565</v>
      </c>
      <c r="N50" t="str">
        <f t="shared" si="9"/>
        <v>普通成交</v>
      </c>
      <c r="O50" t="s">
        <v>1</v>
      </c>
    </row>
    <row r="51" spans="1:15" x14ac:dyDescent="0.15">
      <c r="A51" t="str">
        <f t="shared" si="7"/>
        <v>20161223</v>
      </c>
      <c r="B51" t="str">
        <f>"10:14:12"</f>
        <v>10:14:12</v>
      </c>
      <c r="C51" t="str">
        <f t="shared" si="12"/>
        <v>601985</v>
      </c>
      <c r="D51" t="str">
        <f t="shared" si="13"/>
        <v>中国核电</v>
      </c>
      <c r="E51" t="str">
        <f t="shared" si="10"/>
        <v>普通卖出</v>
      </c>
      <c r="F51">
        <v>7.05</v>
      </c>
      <c r="G51">
        <v>50000</v>
      </c>
      <c r="H51" t="str">
        <f t="shared" si="11"/>
        <v>45477</v>
      </c>
      <c r="I51">
        <v>7.05</v>
      </c>
      <c r="J51">
        <v>1000</v>
      </c>
      <c r="K51">
        <v>7050</v>
      </c>
      <c r="L51" t="str">
        <f>"2790593"</f>
        <v>2790593</v>
      </c>
      <c r="M51" t="str">
        <f t="shared" si="8"/>
        <v>E042902565</v>
      </c>
      <c r="N51" t="str">
        <f t="shared" si="9"/>
        <v>普通成交</v>
      </c>
      <c r="O51" t="s">
        <v>1</v>
      </c>
    </row>
    <row r="52" spans="1:15" x14ac:dyDescent="0.15">
      <c r="A52" t="str">
        <f t="shared" si="7"/>
        <v>20161223</v>
      </c>
      <c r="B52" t="str">
        <f>"10:14:18"</f>
        <v>10:14:18</v>
      </c>
      <c r="C52" t="str">
        <f t="shared" si="12"/>
        <v>601985</v>
      </c>
      <c r="D52" t="str">
        <f t="shared" si="13"/>
        <v>中国核电</v>
      </c>
      <c r="E52" t="str">
        <f t="shared" si="10"/>
        <v>普通卖出</v>
      </c>
      <c r="F52">
        <v>7.05</v>
      </c>
      <c r="G52">
        <v>50000</v>
      </c>
      <c r="H52" t="str">
        <f t="shared" si="11"/>
        <v>45477</v>
      </c>
      <c r="I52">
        <v>7.05</v>
      </c>
      <c r="J52">
        <v>1400</v>
      </c>
      <c r="K52">
        <v>9870</v>
      </c>
      <c r="L52" t="str">
        <f>"2794355"</f>
        <v>2794355</v>
      </c>
      <c r="M52" t="str">
        <f t="shared" si="8"/>
        <v>E042902565</v>
      </c>
      <c r="N52" t="str">
        <f t="shared" si="9"/>
        <v>普通成交</v>
      </c>
      <c r="O52" t="s">
        <v>1</v>
      </c>
    </row>
    <row r="53" spans="1:15" x14ac:dyDescent="0.15">
      <c r="A53" t="str">
        <f t="shared" si="7"/>
        <v>20161223</v>
      </c>
      <c r="B53" t="str">
        <f>"10:14:25"</f>
        <v>10:14:25</v>
      </c>
      <c r="C53" t="str">
        <f t="shared" si="12"/>
        <v>601985</v>
      </c>
      <c r="D53" t="str">
        <f t="shared" si="13"/>
        <v>中国核电</v>
      </c>
      <c r="E53" t="str">
        <f t="shared" si="10"/>
        <v>普通卖出</v>
      </c>
      <c r="F53">
        <v>7.05</v>
      </c>
      <c r="G53">
        <v>50000</v>
      </c>
      <c r="H53" t="str">
        <f t="shared" si="11"/>
        <v>45477</v>
      </c>
      <c r="I53">
        <v>7.05</v>
      </c>
      <c r="J53">
        <v>300</v>
      </c>
      <c r="K53">
        <v>2115</v>
      </c>
      <c r="L53" t="str">
        <f>"2799290"</f>
        <v>2799290</v>
      </c>
      <c r="M53" t="str">
        <f t="shared" si="8"/>
        <v>E042902565</v>
      </c>
      <c r="N53" t="str">
        <f t="shared" si="9"/>
        <v>普通成交</v>
      </c>
      <c r="O53" t="s">
        <v>1</v>
      </c>
    </row>
    <row r="54" spans="1:15" x14ac:dyDescent="0.15">
      <c r="A54" t="str">
        <f t="shared" si="7"/>
        <v>20161223</v>
      </c>
      <c r="B54" t="str">
        <f>"10:14:26"</f>
        <v>10:14:26</v>
      </c>
      <c r="C54" t="str">
        <f t="shared" si="12"/>
        <v>601985</v>
      </c>
      <c r="D54" t="str">
        <f t="shared" si="13"/>
        <v>中国核电</v>
      </c>
      <c r="E54" t="str">
        <f t="shared" si="10"/>
        <v>普通卖出</v>
      </c>
      <c r="F54">
        <v>7.05</v>
      </c>
      <c r="G54">
        <v>50000</v>
      </c>
      <c r="H54" t="str">
        <f t="shared" si="11"/>
        <v>45477</v>
      </c>
      <c r="I54">
        <v>7.05</v>
      </c>
      <c r="J54">
        <v>1000</v>
      </c>
      <c r="K54">
        <v>7050</v>
      </c>
      <c r="L54" t="str">
        <f>"2800181"</f>
        <v>2800181</v>
      </c>
      <c r="M54" t="str">
        <f t="shared" si="8"/>
        <v>E042902565</v>
      </c>
      <c r="N54" t="str">
        <f t="shared" si="9"/>
        <v>普通成交</v>
      </c>
      <c r="O54" t="s">
        <v>1</v>
      </c>
    </row>
    <row r="55" spans="1:15" x14ac:dyDescent="0.15">
      <c r="A55" t="str">
        <f t="shared" si="7"/>
        <v>20161223</v>
      </c>
      <c r="B55" t="str">
        <f>"10:14:29"</f>
        <v>10:14:29</v>
      </c>
      <c r="C55" t="str">
        <f t="shared" si="12"/>
        <v>601985</v>
      </c>
      <c r="D55" t="str">
        <f t="shared" si="13"/>
        <v>中国核电</v>
      </c>
      <c r="E55" t="str">
        <f t="shared" si="10"/>
        <v>普通卖出</v>
      </c>
      <c r="F55">
        <v>7.05</v>
      </c>
      <c r="G55">
        <v>50000</v>
      </c>
      <c r="H55" t="str">
        <f t="shared" si="11"/>
        <v>45477</v>
      </c>
      <c r="I55">
        <v>7.05</v>
      </c>
      <c r="J55">
        <v>1000</v>
      </c>
      <c r="K55">
        <v>7050</v>
      </c>
      <c r="L55" t="str">
        <f>"2801957"</f>
        <v>2801957</v>
      </c>
      <c r="M55" t="str">
        <f t="shared" si="8"/>
        <v>E042902565</v>
      </c>
      <c r="N55" t="str">
        <f t="shared" si="9"/>
        <v>普通成交</v>
      </c>
      <c r="O55" t="s">
        <v>1</v>
      </c>
    </row>
    <row r="56" spans="1:15" x14ac:dyDescent="0.15">
      <c r="A56" t="str">
        <f t="shared" si="7"/>
        <v>20161223</v>
      </c>
      <c r="B56" t="str">
        <f>"10:14:31"</f>
        <v>10:14:31</v>
      </c>
      <c r="C56" t="str">
        <f t="shared" si="12"/>
        <v>601985</v>
      </c>
      <c r="D56" t="str">
        <f t="shared" si="13"/>
        <v>中国核电</v>
      </c>
      <c r="E56" t="str">
        <f t="shared" si="10"/>
        <v>普通卖出</v>
      </c>
      <c r="F56">
        <v>7.05</v>
      </c>
      <c r="G56">
        <v>50000</v>
      </c>
      <c r="H56" t="str">
        <f t="shared" si="11"/>
        <v>45477</v>
      </c>
      <c r="I56">
        <v>7.05</v>
      </c>
      <c r="J56">
        <v>700</v>
      </c>
      <c r="K56">
        <v>4935</v>
      </c>
      <c r="L56" t="str">
        <f>"2803053"</f>
        <v>2803053</v>
      </c>
      <c r="M56" t="str">
        <f t="shared" si="8"/>
        <v>E042902565</v>
      </c>
      <c r="N56" t="str">
        <f t="shared" si="9"/>
        <v>普通成交</v>
      </c>
      <c r="O56" t="s">
        <v>1</v>
      </c>
    </row>
    <row r="57" spans="1:15" x14ac:dyDescent="0.15">
      <c r="A57" t="str">
        <f t="shared" si="7"/>
        <v>20161223</v>
      </c>
      <c r="B57" t="str">
        <f>"10:14:33"</f>
        <v>10:14:33</v>
      </c>
      <c r="C57" t="str">
        <f t="shared" si="12"/>
        <v>601985</v>
      </c>
      <c r="D57" t="str">
        <f t="shared" si="13"/>
        <v>中国核电</v>
      </c>
      <c r="E57" t="str">
        <f t="shared" si="10"/>
        <v>普通卖出</v>
      </c>
      <c r="F57">
        <v>7.05</v>
      </c>
      <c r="G57">
        <v>50000</v>
      </c>
      <c r="H57" t="str">
        <f t="shared" si="11"/>
        <v>45477</v>
      </c>
      <c r="I57">
        <v>7.05</v>
      </c>
      <c r="J57">
        <v>5800</v>
      </c>
      <c r="K57">
        <v>40890</v>
      </c>
      <c r="L57" t="str">
        <f>"2804904"</f>
        <v>2804904</v>
      </c>
      <c r="M57" t="str">
        <f t="shared" si="8"/>
        <v>E042902565</v>
      </c>
      <c r="N57" t="str">
        <f t="shared" si="9"/>
        <v>普通成交</v>
      </c>
      <c r="O57" t="s">
        <v>1</v>
      </c>
    </row>
    <row r="58" spans="1:15" x14ac:dyDescent="0.15">
      <c r="A58" t="str">
        <f t="shared" si="7"/>
        <v>20161223</v>
      </c>
      <c r="B58" t="str">
        <f>"10:14:35"</f>
        <v>10:14:35</v>
      </c>
      <c r="C58" t="str">
        <f t="shared" si="12"/>
        <v>601985</v>
      </c>
      <c r="D58" t="str">
        <f t="shared" si="13"/>
        <v>中国核电</v>
      </c>
      <c r="E58" t="str">
        <f t="shared" si="10"/>
        <v>普通卖出</v>
      </c>
      <c r="F58">
        <v>7.05</v>
      </c>
      <c r="G58">
        <v>50000</v>
      </c>
      <c r="H58" t="str">
        <f t="shared" si="11"/>
        <v>45477</v>
      </c>
      <c r="I58">
        <v>7.05</v>
      </c>
      <c r="J58">
        <v>5000</v>
      </c>
      <c r="K58">
        <v>35250</v>
      </c>
      <c r="L58" t="str">
        <f>"2805773"</f>
        <v>2805773</v>
      </c>
      <c r="M58" t="str">
        <f t="shared" si="8"/>
        <v>E042902565</v>
      </c>
      <c r="N58" t="str">
        <f t="shared" si="9"/>
        <v>普通成交</v>
      </c>
      <c r="O58" t="s">
        <v>1</v>
      </c>
    </row>
    <row r="59" spans="1:15" x14ac:dyDescent="0.15">
      <c r="A59" t="str">
        <f t="shared" si="7"/>
        <v>20161223</v>
      </c>
      <c r="B59" t="str">
        <f>"10:14:35"</f>
        <v>10:14:35</v>
      </c>
      <c r="C59" t="str">
        <f t="shared" si="12"/>
        <v>601985</v>
      </c>
      <c r="D59" t="str">
        <f t="shared" si="13"/>
        <v>中国核电</v>
      </c>
      <c r="E59" t="str">
        <f t="shared" si="10"/>
        <v>普通卖出</v>
      </c>
      <c r="F59">
        <v>7.05</v>
      </c>
      <c r="G59">
        <v>50000</v>
      </c>
      <c r="H59" t="str">
        <f t="shared" si="11"/>
        <v>45477</v>
      </c>
      <c r="I59">
        <v>7.05</v>
      </c>
      <c r="J59">
        <v>2300</v>
      </c>
      <c r="K59">
        <v>16215</v>
      </c>
      <c r="L59" t="str">
        <f>"2805879"</f>
        <v>2805879</v>
      </c>
      <c r="M59" t="str">
        <f t="shared" si="8"/>
        <v>E042902565</v>
      </c>
      <c r="N59" t="str">
        <f t="shared" si="9"/>
        <v>普通成交</v>
      </c>
      <c r="O59" t="s">
        <v>1</v>
      </c>
    </row>
    <row r="60" spans="1:15" x14ac:dyDescent="0.15">
      <c r="A60" t="str">
        <f t="shared" si="7"/>
        <v>20161223</v>
      </c>
      <c r="B60" t="str">
        <f>"10:14:35"</f>
        <v>10:14:35</v>
      </c>
      <c r="C60" t="str">
        <f t="shared" si="12"/>
        <v>601985</v>
      </c>
      <c r="D60" t="str">
        <f t="shared" si="13"/>
        <v>中国核电</v>
      </c>
      <c r="E60" t="str">
        <f t="shared" si="10"/>
        <v>普通卖出</v>
      </c>
      <c r="F60">
        <v>7.05</v>
      </c>
      <c r="G60">
        <v>50000</v>
      </c>
      <c r="H60" t="str">
        <f t="shared" si="11"/>
        <v>45477</v>
      </c>
      <c r="I60">
        <v>7.05</v>
      </c>
      <c r="J60">
        <v>400</v>
      </c>
      <c r="K60">
        <v>2820</v>
      </c>
      <c r="L60" t="str">
        <f>"2806351"</f>
        <v>2806351</v>
      </c>
      <c r="M60" t="str">
        <f t="shared" si="8"/>
        <v>E042902565</v>
      </c>
      <c r="N60" t="str">
        <f t="shared" si="9"/>
        <v>普通成交</v>
      </c>
      <c r="O60" t="s">
        <v>1</v>
      </c>
    </row>
    <row r="61" spans="1:15" x14ac:dyDescent="0.15">
      <c r="A61" t="str">
        <f t="shared" si="7"/>
        <v>20161223</v>
      </c>
      <c r="B61" t="str">
        <f>"10:14:37"</f>
        <v>10:14:37</v>
      </c>
      <c r="C61" t="str">
        <f t="shared" si="12"/>
        <v>601985</v>
      </c>
      <c r="D61" t="str">
        <f t="shared" si="13"/>
        <v>中国核电</v>
      </c>
      <c r="E61" t="str">
        <f t="shared" si="10"/>
        <v>普通卖出</v>
      </c>
      <c r="F61">
        <v>7.05</v>
      </c>
      <c r="G61">
        <v>50000</v>
      </c>
      <c r="H61" t="str">
        <f t="shared" si="11"/>
        <v>45477</v>
      </c>
      <c r="I61">
        <v>7.05</v>
      </c>
      <c r="J61">
        <v>6000</v>
      </c>
      <c r="K61">
        <v>42300</v>
      </c>
      <c r="L61" t="str">
        <f>"2807846"</f>
        <v>2807846</v>
      </c>
      <c r="M61" t="str">
        <f t="shared" si="8"/>
        <v>E042902565</v>
      </c>
      <c r="N61" t="str">
        <f t="shared" si="9"/>
        <v>普通成交</v>
      </c>
      <c r="O61" t="s">
        <v>1</v>
      </c>
    </row>
    <row r="62" spans="1:15" x14ac:dyDescent="0.15">
      <c r="A62" t="str">
        <f t="shared" si="7"/>
        <v>20161223</v>
      </c>
      <c r="B62" t="str">
        <f>"10:14:38"</f>
        <v>10:14:38</v>
      </c>
      <c r="C62" t="str">
        <f t="shared" si="12"/>
        <v>601985</v>
      </c>
      <c r="D62" t="str">
        <f t="shared" si="13"/>
        <v>中国核电</v>
      </c>
      <c r="E62" t="str">
        <f t="shared" si="10"/>
        <v>普通卖出</v>
      </c>
      <c r="F62">
        <v>7.05</v>
      </c>
      <c r="G62">
        <v>50000</v>
      </c>
      <c r="H62" t="str">
        <f t="shared" si="11"/>
        <v>45477</v>
      </c>
      <c r="I62">
        <v>7.05</v>
      </c>
      <c r="J62">
        <v>1900</v>
      </c>
      <c r="K62">
        <v>13395</v>
      </c>
      <c r="L62" t="str">
        <f>"2808189"</f>
        <v>2808189</v>
      </c>
      <c r="M62" t="str">
        <f t="shared" si="8"/>
        <v>E042902565</v>
      </c>
      <c r="N62" t="str">
        <f t="shared" si="9"/>
        <v>普通成交</v>
      </c>
      <c r="O62" t="s">
        <v>1</v>
      </c>
    </row>
    <row r="63" spans="1:15" x14ac:dyDescent="0.15">
      <c r="A63" t="str">
        <f t="shared" si="7"/>
        <v>20161223</v>
      </c>
      <c r="B63" t="str">
        <f>"10:21:47"</f>
        <v>10:21:47</v>
      </c>
      <c r="C63" t="str">
        <f t="shared" si="12"/>
        <v>601985</v>
      </c>
      <c r="D63" t="str">
        <f t="shared" si="13"/>
        <v>中国核电</v>
      </c>
      <c r="E63" t="str">
        <f>"普通买入"</f>
        <v>普通买入</v>
      </c>
      <c r="F63">
        <v>7.02</v>
      </c>
      <c r="G63">
        <v>50000</v>
      </c>
      <c r="H63" t="str">
        <f>"51576"</f>
        <v>51576</v>
      </c>
      <c r="I63">
        <v>7.02</v>
      </c>
      <c r="J63">
        <v>371</v>
      </c>
      <c r="K63">
        <v>2604.42</v>
      </c>
      <c r="L63" t="str">
        <f>"3213064"</f>
        <v>3213064</v>
      </c>
      <c r="M63" t="str">
        <f t="shared" si="8"/>
        <v>E042902565</v>
      </c>
      <c r="N63" t="str">
        <f t="shared" si="9"/>
        <v>普通成交</v>
      </c>
      <c r="O63" t="s">
        <v>1</v>
      </c>
    </row>
    <row r="64" spans="1:15" x14ac:dyDescent="0.15">
      <c r="A64" t="str">
        <f t="shared" si="7"/>
        <v>20161223</v>
      </c>
      <c r="B64" t="str">
        <f>"10:21:48"</f>
        <v>10:21:48</v>
      </c>
      <c r="C64" t="str">
        <f t="shared" si="12"/>
        <v>601985</v>
      </c>
      <c r="D64" t="str">
        <f t="shared" si="13"/>
        <v>中国核电</v>
      </c>
      <c r="E64" t="str">
        <f>"普通买入"</f>
        <v>普通买入</v>
      </c>
      <c r="F64">
        <v>7.02</v>
      </c>
      <c r="G64">
        <v>50000</v>
      </c>
      <c r="H64" t="str">
        <f>"51576"</f>
        <v>51576</v>
      </c>
      <c r="I64">
        <v>7.02</v>
      </c>
      <c r="J64">
        <v>9900</v>
      </c>
      <c r="K64">
        <v>69498</v>
      </c>
      <c r="L64" t="str">
        <f>"3213347"</f>
        <v>3213347</v>
      </c>
      <c r="M64" t="str">
        <f t="shared" si="8"/>
        <v>E042902565</v>
      </c>
      <c r="N64" t="str">
        <f t="shared" si="9"/>
        <v>普通成交</v>
      </c>
      <c r="O64" t="s">
        <v>1</v>
      </c>
    </row>
    <row r="65" spans="1:15" x14ac:dyDescent="0.15">
      <c r="A65" t="str">
        <f t="shared" si="7"/>
        <v>20161223</v>
      </c>
      <c r="B65" t="str">
        <f>"10:21:48"</f>
        <v>10:21:48</v>
      </c>
      <c r="C65" t="str">
        <f t="shared" si="12"/>
        <v>601985</v>
      </c>
      <c r="D65" t="str">
        <f t="shared" si="13"/>
        <v>中国核电</v>
      </c>
      <c r="E65" t="str">
        <f>"普通买入"</f>
        <v>普通买入</v>
      </c>
      <c r="F65">
        <v>7.02</v>
      </c>
      <c r="G65">
        <v>50000</v>
      </c>
      <c r="H65" t="str">
        <f>"51576"</f>
        <v>51576</v>
      </c>
      <c r="I65">
        <v>7.02</v>
      </c>
      <c r="J65">
        <v>2000</v>
      </c>
      <c r="K65">
        <v>14040</v>
      </c>
      <c r="L65" t="str">
        <f>"3213968"</f>
        <v>3213968</v>
      </c>
      <c r="M65" t="str">
        <f t="shared" si="8"/>
        <v>E042902565</v>
      </c>
      <c r="N65" t="str">
        <f t="shared" si="9"/>
        <v>普通成交</v>
      </c>
      <c r="O65" t="s">
        <v>1</v>
      </c>
    </row>
    <row r="66" spans="1:15" x14ac:dyDescent="0.15">
      <c r="A66" t="str">
        <f t="shared" ref="A66:A97" si="14">"20161223"</f>
        <v>20161223</v>
      </c>
      <c r="B66" t="str">
        <f>"10:21:51"</f>
        <v>10:21:51</v>
      </c>
      <c r="C66" t="str">
        <f t="shared" si="12"/>
        <v>601985</v>
      </c>
      <c r="D66" t="str">
        <f t="shared" si="13"/>
        <v>中国核电</v>
      </c>
      <c r="E66" t="str">
        <f>"普通买入"</f>
        <v>普通买入</v>
      </c>
      <c r="F66">
        <v>7.02</v>
      </c>
      <c r="G66">
        <v>50000</v>
      </c>
      <c r="H66" t="str">
        <f>"51576"</f>
        <v>51576</v>
      </c>
      <c r="I66">
        <v>7.02</v>
      </c>
      <c r="J66">
        <v>37729</v>
      </c>
      <c r="K66">
        <v>264857.58</v>
      </c>
      <c r="L66" t="str">
        <f>"3216643"</f>
        <v>3216643</v>
      </c>
      <c r="M66" t="str">
        <f t="shared" si="8"/>
        <v>E042902565</v>
      </c>
      <c r="N66" t="str">
        <f t="shared" ref="N66:N97" si="15">"普通成交"</f>
        <v>普通成交</v>
      </c>
      <c r="O66" t="s">
        <v>1</v>
      </c>
    </row>
    <row r="67" spans="1:15" x14ac:dyDescent="0.15">
      <c r="A67" t="str">
        <f t="shared" si="14"/>
        <v>20161223</v>
      </c>
      <c r="B67" t="str">
        <f>"10:42:31"</f>
        <v>10:42:31</v>
      </c>
      <c r="C67" t="str">
        <f t="shared" ref="C67:C75" si="16">"300017"</f>
        <v>300017</v>
      </c>
      <c r="D67" t="str">
        <f t="shared" ref="D67:D75" si="17">"网宿科技"</f>
        <v>网宿科技</v>
      </c>
      <c r="E67" t="str">
        <f>"卖券还款"</f>
        <v>卖券还款</v>
      </c>
      <c r="F67">
        <v>54.04</v>
      </c>
      <c r="G67">
        <v>5000</v>
      </c>
      <c r="H67" t="str">
        <f>"64462"</f>
        <v>64462</v>
      </c>
      <c r="I67">
        <v>54.04</v>
      </c>
      <c r="J67">
        <v>1800</v>
      </c>
      <c r="K67">
        <v>97272</v>
      </c>
      <c r="L67" t="str">
        <f>"0101000005398230"</f>
        <v>0101000005398230</v>
      </c>
      <c r="M67" t="str">
        <f t="shared" ref="M67:M75" si="18">"0604291857"</f>
        <v>0604291857</v>
      </c>
      <c r="N67" t="str">
        <f t="shared" si="15"/>
        <v>普通成交</v>
      </c>
      <c r="O67" t="s">
        <v>1</v>
      </c>
    </row>
    <row r="68" spans="1:15" x14ac:dyDescent="0.15">
      <c r="A68" t="str">
        <f t="shared" si="14"/>
        <v>20161223</v>
      </c>
      <c r="B68" t="str">
        <f>"10:42:31"</f>
        <v>10:42:31</v>
      </c>
      <c r="C68" t="str">
        <f t="shared" si="16"/>
        <v>300017</v>
      </c>
      <c r="D68" t="str">
        <f t="shared" si="17"/>
        <v>网宿科技</v>
      </c>
      <c r="E68" t="str">
        <f>"卖券还款"</f>
        <v>卖券还款</v>
      </c>
      <c r="F68">
        <v>54.04</v>
      </c>
      <c r="G68">
        <v>5000</v>
      </c>
      <c r="H68" t="str">
        <f>"64462"</f>
        <v>64462</v>
      </c>
      <c r="I68">
        <v>54.04</v>
      </c>
      <c r="J68">
        <v>100</v>
      </c>
      <c r="K68">
        <v>5404</v>
      </c>
      <c r="L68" t="str">
        <f>"0101000005398232"</f>
        <v>0101000005398232</v>
      </c>
      <c r="M68" t="str">
        <f t="shared" si="18"/>
        <v>0604291857</v>
      </c>
      <c r="N68" t="str">
        <f t="shared" si="15"/>
        <v>普通成交</v>
      </c>
      <c r="O68" t="s">
        <v>1</v>
      </c>
    </row>
    <row r="69" spans="1:15" x14ac:dyDescent="0.15">
      <c r="A69" t="str">
        <f t="shared" si="14"/>
        <v>20161223</v>
      </c>
      <c r="B69" t="str">
        <f>"10:49:12"</f>
        <v>10:49:12</v>
      </c>
      <c r="C69" t="str">
        <f t="shared" si="16"/>
        <v>300017</v>
      </c>
      <c r="D69" t="str">
        <f t="shared" si="17"/>
        <v>网宿科技</v>
      </c>
      <c r="E69" t="str">
        <f>"普通买入"</f>
        <v>普通买入</v>
      </c>
      <c r="F69">
        <v>53.86</v>
      </c>
      <c r="G69">
        <v>1900</v>
      </c>
      <c r="H69" t="str">
        <f>"67879"</f>
        <v>67879</v>
      </c>
      <c r="I69">
        <v>53.86</v>
      </c>
      <c r="J69">
        <v>1600</v>
      </c>
      <c r="K69">
        <v>86176</v>
      </c>
      <c r="L69" t="str">
        <f>"0101000005631039"</f>
        <v>0101000005631039</v>
      </c>
      <c r="M69" t="str">
        <f t="shared" si="18"/>
        <v>0604291857</v>
      </c>
      <c r="N69" t="str">
        <f t="shared" si="15"/>
        <v>普通成交</v>
      </c>
      <c r="O69" t="s">
        <v>1</v>
      </c>
    </row>
    <row r="70" spans="1:15" x14ac:dyDescent="0.15">
      <c r="A70" t="str">
        <f t="shared" si="14"/>
        <v>20161223</v>
      </c>
      <c r="B70" t="str">
        <f>"10:49:12"</f>
        <v>10:49:12</v>
      </c>
      <c r="C70" t="str">
        <f t="shared" si="16"/>
        <v>300017</v>
      </c>
      <c r="D70" t="str">
        <f t="shared" si="17"/>
        <v>网宿科技</v>
      </c>
      <c r="E70" t="str">
        <f>"普通买入"</f>
        <v>普通买入</v>
      </c>
      <c r="F70">
        <v>53.86</v>
      </c>
      <c r="G70">
        <v>1900</v>
      </c>
      <c r="H70" t="str">
        <f>"67879"</f>
        <v>67879</v>
      </c>
      <c r="I70">
        <v>53.86</v>
      </c>
      <c r="J70">
        <v>300</v>
      </c>
      <c r="K70">
        <v>16158</v>
      </c>
      <c r="L70" t="str">
        <f>"0101000005631041"</f>
        <v>0101000005631041</v>
      </c>
      <c r="M70" t="str">
        <f t="shared" si="18"/>
        <v>0604291857</v>
      </c>
      <c r="N70" t="str">
        <f t="shared" si="15"/>
        <v>普通成交</v>
      </c>
      <c r="O70" t="s">
        <v>1</v>
      </c>
    </row>
    <row r="71" spans="1:15" x14ac:dyDescent="0.15">
      <c r="A71" t="str">
        <f t="shared" si="14"/>
        <v>20161223</v>
      </c>
      <c r="B71" t="str">
        <f>"11:20:04"</f>
        <v>11:20:04</v>
      </c>
      <c r="C71" t="str">
        <f t="shared" si="16"/>
        <v>300017</v>
      </c>
      <c r="D71" t="str">
        <f t="shared" si="17"/>
        <v>网宿科技</v>
      </c>
      <c r="E71" t="str">
        <f>"卖券还款"</f>
        <v>卖券还款</v>
      </c>
      <c r="F71">
        <v>53.78</v>
      </c>
      <c r="G71">
        <v>10000</v>
      </c>
      <c r="H71" t="str">
        <f>"81839"</f>
        <v>81839</v>
      </c>
      <c r="I71">
        <v>53.78</v>
      </c>
      <c r="J71">
        <v>9400</v>
      </c>
      <c r="K71">
        <v>505532</v>
      </c>
      <c r="L71" t="str">
        <f>"0101000006630001"</f>
        <v>0101000006630001</v>
      </c>
      <c r="M71" t="str">
        <f t="shared" si="18"/>
        <v>0604291857</v>
      </c>
      <c r="N71" t="str">
        <f t="shared" si="15"/>
        <v>普通成交</v>
      </c>
      <c r="O71" t="s">
        <v>1</v>
      </c>
    </row>
    <row r="72" spans="1:15" x14ac:dyDescent="0.15">
      <c r="A72" t="str">
        <f t="shared" si="14"/>
        <v>20161223</v>
      </c>
      <c r="B72" t="str">
        <f>"11:20:04"</f>
        <v>11:20:04</v>
      </c>
      <c r="C72" t="str">
        <f t="shared" si="16"/>
        <v>300017</v>
      </c>
      <c r="D72" t="str">
        <f t="shared" si="17"/>
        <v>网宿科技</v>
      </c>
      <c r="E72" t="str">
        <f>"卖券还款"</f>
        <v>卖券还款</v>
      </c>
      <c r="F72">
        <v>53.78</v>
      </c>
      <c r="G72">
        <v>10000</v>
      </c>
      <c r="H72" t="str">
        <f>"81839"</f>
        <v>81839</v>
      </c>
      <c r="I72">
        <v>53.78</v>
      </c>
      <c r="J72">
        <v>600</v>
      </c>
      <c r="K72">
        <v>32268</v>
      </c>
      <c r="L72" t="str">
        <f>"0101000006630003"</f>
        <v>0101000006630003</v>
      </c>
      <c r="M72" t="str">
        <f t="shared" si="18"/>
        <v>0604291857</v>
      </c>
      <c r="N72" t="str">
        <f t="shared" si="15"/>
        <v>普通成交</v>
      </c>
      <c r="O72" t="s">
        <v>1</v>
      </c>
    </row>
    <row r="73" spans="1:15" x14ac:dyDescent="0.15">
      <c r="A73" t="str">
        <f t="shared" si="14"/>
        <v>20161223</v>
      </c>
      <c r="B73" t="str">
        <f>"13:00:47"</f>
        <v>13:00:47</v>
      </c>
      <c r="C73" t="str">
        <f t="shared" si="16"/>
        <v>300017</v>
      </c>
      <c r="D73" t="str">
        <f t="shared" si="17"/>
        <v>网宿科技</v>
      </c>
      <c r="E73" t="str">
        <f>"普通买入"</f>
        <v>普通买入</v>
      </c>
      <c r="F73">
        <v>53.7</v>
      </c>
      <c r="G73">
        <v>5000</v>
      </c>
      <c r="H73" t="str">
        <f>"89329"</f>
        <v>89329</v>
      </c>
      <c r="I73">
        <v>53.7</v>
      </c>
      <c r="J73">
        <v>3900</v>
      </c>
      <c r="K73">
        <v>209430</v>
      </c>
      <c r="L73" t="str">
        <f>"0101000007051841"</f>
        <v>0101000007051841</v>
      </c>
      <c r="M73" t="str">
        <f t="shared" si="18"/>
        <v>0604291857</v>
      </c>
      <c r="N73" t="str">
        <f t="shared" si="15"/>
        <v>普通成交</v>
      </c>
      <c r="O73" t="s">
        <v>1</v>
      </c>
    </row>
    <row r="74" spans="1:15" x14ac:dyDescent="0.15">
      <c r="A74" t="str">
        <f t="shared" si="14"/>
        <v>20161223</v>
      </c>
      <c r="B74" t="str">
        <f>"13:00:49"</f>
        <v>13:00:49</v>
      </c>
      <c r="C74" t="str">
        <f t="shared" si="16"/>
        <v>300017</v>
      </c>
      <c r="D74" t="str">
        <f t="shared" si="17"/>
        <v>网宿科技</v>
      </c>
      <c r="E74" t="str">
        <f>"普通买入"</f>
        <v>普通买入</v>
      </c>
      <c r="F74">
        <v>53.7</v>
      </c>
      <c r="G74">
        <v>5000</v>
      </c>
      <c r="H74" t="str">
        <f>"89329"</f>
        <v>89329</v>
      </c>
      <c r="I74">
        <v>53.7</v>
      </c>
      <c r="J74">
        <v>300</v>
      </c>
      <c r="K74">
        <v>16110</v>
      </c>
      <c r="L74" t="str">
        <f>"0101000007052377"</f>
        <v>0101000007052377</v>
      </c>
      <c r="M74" t="str">
        <f t="shared" si="18"/>
        <v>0604291857</v>
      </c>
      <c r="N74" t="str">
        <f t="shared" si="15"/>
        <v>普通成交</v>
      </c>
      <c r="O74" t="s">
        <v>1</v>
      </c>
    </row>
    <row r="75" spans="1:15" x14ac:dyDescent="0.15">
      <c r="A75" t="str">
        <f t="shared" si="14"/>
        <v>20161223</v>
      </c>
      <c r="B75" t="str">
        <f>"13:00:49"</f>
        <v>13:00:49</v>
      </c>
      <c r="C75" t="str">
        <f t="shared" si="16"/>
        <v>300017</v>
      </c>
      <c r="D75" t="str">
        <f t="shared" si="17"/>
        <v>网宿科技</v>
      </c>
      <c r="E75" t="str">
        <f>"普通买入"</f>
        <v>普通买入</v>
      </c>
      <c r="F75">
        <v>53.7</v>
      </c>
      <c r="G75">
        <v>5000</v>
      </c>
      <c r="H75" t="str">
        <f>"89329"</f>
        <v>89329</v>
      </c>
      <c r="I75">
        <v>53.7</v>
      </c>
      <c r="J75">
        <v>800</v>
      </c>
      <c r="K75">
        <v>42960</v>
      </c>
      <c r="L75" t="str">
        <f>"0101000007052380"</f>
        <v>0101000007052380</v>
      </c>
      <c r="M75" t="str">
        <f t="shared" si="18"/>
        <v>0604291857</v>
      </c>
      <c r="N75" t="str">
        <f t="shared" si="15"/>
        <v>普通成交</v>
      </c>
      <c r="O75" t="s">
        <v>1</v>
      </c>
    </row>
    <row r="76" spans="1:15" x14ac:dyDescent="0.15">
      <c r="A76" t="str">
        <f t="shared" si="14"/>
        <v>20161223</v>
      </c>
      <c r="B76" t="str">
        <f>"13:02:10"</f>
        <v>13:02:10</v>
      </c>
      <c r="C76" t="str">
        <f t="shared" ref="C76:C98" si="19">"603727"</f>
        <v>603727</v>
      </c>
      <c r="D76" t="str">
        <f t="shared" ref="D76:D98" si="20">"博迈科"</f>
        <v>博迈科</v>
      </c>
      <c r="E76" t="str">
        <f>"普通卖出"</f>
        <v>普通卖出</v>
      </c>
      <c r="F76">
        <v>49.09</v>
      </c>
      <c r="G76">
        <v>2000</v>
      </c>
      <c r="H76" t="str">
        <f>"89667"</f>
        <v>89667</v>
      </c>
      <c r="I76">
        <v>49.09</v>
      </c>
      <c r="J76">
        <v>2000</v>
      </c>
      <c r="K76">
        <v>98180</v>
      </c>
      <c r="L76" t="str">
        <f>"5424158"</f>
        <v>5424158</v>
      </c>
      <c r="M76" t="str">
        <f t="shared" ref="M76:M98" si="21">"E042902565"</f>
        <v>E042902565</v>
      </c>
      <c r="N76" t="str">
        <f t="shared" si="15"/>
        <v>普通成交</v>
      </c>
      <c r="O76" t="s">
        <v>1</v>
      </c>
    </row>
    <row r="77" spans="1:15" x14ac:dyDescent="0.15">
      <c r="A77" t="str">
        <f t="shared" si="14"/>
        <v>20161223</v>
      </c>
      <c r="B77" t="str">
        <f>"13:05:04"</f>
        <v>13:05:04</v>
      </c>
      <c r="C77" t="str">
        <f t="shared" si="19"/>
        <v>603727</v>
      </c>
      <c r="D77" t="str">
        <f t="shared" si="20"/>
        <v>博迈科</v>
      </c>
      <c r="E77" t="str">
        <f>"普通买入"</f>
        <v>普通买入</v>
      </c>
      <c r="F77">
        <v>48.81</v>
      </c>
      <c r="G77">
        <v>2000</v>
      </c>
      <c r="H77" t="str">
        <f>"90588"</f>
        <v>90588</v>
      </c>
      <c r="I77">
        <v>48.81</v>
      </c>
      <c r="J77">
        <v>500</v>
      </c>
      <c r="K77">
        <v>24405</v>
      </c>
      <c r="L77" t="str">
        <f>"5493458"</f>
        <v>5493458</v>
      </c>
      <c r="M77" t="str">
        <f t="shared" si="21"/>
        <v>E042902565</v>
      </c>
      <c r="N77" t="str">
        <f t="shared" si="15"/>
        <v>普通成交</v>
      </c>
      <c r="O77" t="s">
        <v>1</v>
      </c>
    </row>
    <row r="78" spans="1:15" x14ac:dyDescent="0.15">
      <c r="A78" t="str">
        <f t="shared" si="14"/>
        <v>20161223</v>
      </c>
      <c r="B78" t="str">
        <f>"13:05:06"</f>
        <v>13:05:06</v>
      </c>
      <c r="C78" t="str">
        <f t="shared" si="19"/>
        <v>603727</v>
      </c>
      <c r="D78" t="str">
        <f t="shared" si="20"/>
        <v>博迈科</v>
      </c>
      <c r="E78" t="str">
        <f>"普通买入"</f>
        <v>普通买入</v>
      </c>
      <c r="F78">
        <v>48.81</v>
      </c>
      <c r="G78">
        <v>2000</v>
      </c>
      <c r="H78" t="str">
        <f>"90588"</f>
        <v>90588</v>
      </c>
      <c r="I78">
        <v>48.81</v>
      </c>
      <c r="J78">
        <v>1000</v>
      </c>
      <c r="K78">
        <v>48810</v>
      </c>
      <c r="L78" t="str">
        <f>"5494711"</f>
        <v>5494711</v>
      </c>
      <c r="M78" t="str">
        <f t="shared" si="21"/>
        <v>E042902565</v>
      </c>
      <c r="N78" t="str">
        <f t="shared" si="15"/>
        <v>普通成交</v>
      </c>
      <c r="O78" t="s">
        <v>1</v>
      </c>
    </row>
    <row r="79" spans="1:15" x14ac:dyDescent="0.15">
      <c r="A79" t="str">
        <f t="shared" si="14"/>
        <v>20161223</v>
      </c>
      <c r="B79" t="str">
        <f>"13:05:10"</f>
        <v>13:05:10</v>
      </c>
      <c r="C79" t="str">
        <f t="shared" si="19"/>
        <v>603727</v>
      </c>
      <c r="D79" t="str">
        <f t="shared" si="20"/>
        <v>博迈科</v>
      </c>
      <c r="E79" t="str">
        <f>"普通买入"</f>
        <v>普通买入</v>
      </c>
      <c r="F79">
        <v>48.81</v>
      </c>
      <c r="G79">
        <v>2000</v>
      </c>
      <c r="H79" t="str">
        <f>"90588"</f>
        <v>90588</v>
      </c>
      <c r="I79">
        <v>48.81</v>
      </c>
      <c r="J79">
        <v>500</v>
      </c>
      <c r="K79">
        <v>24405</v>
      </c>
      <c r="L79" t="str">
        <f>"5496541"</f>
        <v>5496541</v>
      </c>
      <c r="M79" t="str">
        <f t="shared" si="21"/>
        <v>E042902565</v>
      </c>
      <c r="N79" t="str">
        <f t="shared" si="15"/>
        <v>普通成交</v>
      </c>
      <c r="O79" t="s">
        <v>1</v>
      </c>
    </row>
    <row r="80" spans="1:15" x14ac:dyDescent="0.15">
      <c r="A80" t="str">
        <f t="shared" si="14"/>
        <v>20161223</v>
      </c>
      <c r="B80" t="str">
        <f>"13:09:18"</f>
        <v>13:09:18</v>
      </c>
      <c r="C80" t="str">
        <f t="shared" si="19"/>
        <v>603727</v>
      </c>
      <c r="D80" t="str">
        <f t="shared" si="20"/>
        <v>博迈科</v>
      </c>
      <c r="E80" t="str">
        <f t="shared" ref="E80:E90" si="22">"普通卖出"</f>
        <v>普通卖出</v>
      </c>
      <c r="F80">
        <v>48.7</v>
      </c>
      <c r="G80">
        <v>3000</v>
      </c>
      <c r="H80" t="str">
        <f t="shared" ref="H80:H88" si="23">"92145"</f>
        <v>92145</v>
      </c>
      <c r="I80">
        <v>48.73</v>
      </c>
      <c r="J80">
        <v>1100</v>
      </c>
      <c r="K80">
        <v>53603</v>
      </c>
      <c r="L80" t="str">
        <f>"5624205"</f>
        <v>5624205</v>
      </c>
      <c r="M80" t="str">
        <f t="shared" si="21"/>
        <v>E042902565</v>
      </c>
      <c r="N80" t="str">
        <f t="shared" si="15"/>
        <v>普通成交</v>
      </c>
      <c r="O80" t="s">
        <v>1</v>
      </c>
    </row>
    <row r="81" spans="1:15" x14ac:dyDescent="0.15">
      <c r="A81" t="str">
        <f t="shared" si="14"/>
        <v>20161223</v>
      </c>
      <c r="B81" t="str">
        <f>"13:09:18"</f>
        <v>13:09:18</v>
      </c>
      <c r="C81" t="str">
        <f t="shared" si="19"/>
        <v>603727</v>
      </c>
      <c r="D81" t="str">
        <f t="shared" si="20"/>
        <v>博迈科</v>
      </c>
      <c r="E81" t="str">
        <f t="shared" si="22"/>
        <v>普通卖出</v>
      </c>
      <c r="F81">
        <v>48.7</v>
      </c>
      <c r="G81">
        <v>3000</v>
      </c>
      <c r="H81" t="str">
        <f t="shared" si="23"/>
        <v>92145</v>
      </c>
      <c r="I81">
        <v>48.72</v>
      </c>
      <c r="J81">
        <v>500</v>
      </c>
      <c r="K81">
        <v>24360</v>
      </c>
      <c r="L81" t="str">
        <f>"5624207"</f>
        <v>5624207</v>
      </c>
      <c r="M81" t="str">
        <f t="shared" si="21"/>
        <v>E042902565</v>
      </c>
      <c r="N81" t="str">
        <f t="shared" si="15"/>
        <v>普通成交</v>
      </c>
      <c r="O81" t="s">
        <v>1</v>
      </c>
    </row>
    <row r="82" spans="1:15" x14ac:dyDescent="0.15">
      <c r="A82" t="str">
        <f t="shared" si="14"/>
        <v>20161223</v>
      </c>
      <c r="B82" t="str">
        <f>"13:09:19"</f>
        <v>13:09:19</v>
      </c>
      <c r="C82" t="str">
        <f t="shared" si="19"/>
        <v>603727</v>
      </c>
      <c r="D82" t="str">
        <f t="shared" si="20"/>
        <v>博迈科</v>
      </c>
      <c r="E82" t="str">
        <f t="shared" si="22"/>
        <v>普通卖出</v>
      </c>
      <c r="F82">
        <v>48.7</v>
      </c>
      <c r="G82">
        <v>3000</v>
      </c>
      <c r="H82" t="str">
        <f t="shared" si="23"/>
        <v>92145</v>
      </c>
      <c r="I82">
        <v>48.7</v>
      </c>
      <c r="J82">
        <v>100</v>
      </c>
      <c r="K82">
        <v>4870</v>
      </c>
      <c r="L82" t="str">
        <f>"5624318"</f>
        <v>5624318</v>
      </c>
      <c r="M82" t="str">
        <f t="shared" si="21"/>
        <v>E042902565</v>
      </c>
      <c r="N82" t="str">
        <f t="shared" si="15"/>
        <v>普通成交</v>
      </c>
      <c r="O82" t="s">
        <v>1</v>
      </c>
    </row>
    <row r="83" spans="1:15" x14ac:dyDescent="0.15">
      <c r="A83" t="str">
        <f t="shared" si="14"/>
        <v>20161223</v>
      </c>
      <c r="B83" t="str">
        <f>"13:09:19"</f>
        <v>13:09:19</v>
      </c>
      <c r="C83" t="str">
        <f t="shared" si="19"/>
        <v>603727</v>
      </c>
      <c r="D83" t="str">
        <f t="shared" si="20"/>
        <v>博迈科</v>
      </c>
      <c r="E83" t="str">
        <f t="shared" si="22"/>
        <v>普通卖出</v>
      </c>
      <c r="F83">
        <v>48.7</v>
      </c>
      <c r="G83">
        <v>3000</v>
      </c>
      <c r="H83" t="str">
        <f t="shared" si="23"/>
        <v>92145</v>
      </c>
      <c r="I83">
        <v>48.7</v>
      </c>
      <c r="J83">
        <v>100</v>
      </c>
      <c r="K83">
        <v>4870</v>
      </c>
      <c r="L83" t="str">
        <f>"5624425"</f>
        <v>5624425</v>
      </c>
      <c r="M83" t="str">
        <f t="shared" si="21"/>
        <v>E042902565</v>
      </c>
      <c r="N83" t="str">
        <f t="shared" si="15"/>
        <v>普通成交</v>
      </c>
      <c r="O83" t="s">
        <v>1</v>
      </c>
    </row>
    <row r="84" spans="1:15" x14ac:dyDescent="0.15">
      <c r="A84" t="str">
        <f t="shared" si="14"/>
        <v>20161223</v>
      </c>
      <c r="B84" t="str">
        <f>"13:09:19"</f>
        <v>13:09:19</v>
      </c>
      <c r="C84" t="str">
        <f t="shared" si="19"/>
        <v>603727</v>
      </c>
      <c r="D84" t="str">
        <f t="shared" si="20"/>
        <v>博迈科</v>
      </c>
      <c r="E84" t="str">
        <f t="shared" si="22"/>
        <v>普通卖出</v>
      </c>
      <c r="F84">
        <v>48.7</v>
      </c>
      <c r="G84">
        <v>3000</v>
      </c>
      <c r="H84" t="str">
        <f t="shared" si="23"/>
        <v>92145</v>
      </c>
      <c r="I84">
        <v>48.7</v>
      </c>
      <c r="J84">
        <v>400</v>
      </c>
      <c r="K84">
        <v>19480</v>
      </c>
      <c r="L84" t="str">
        <f>"5624648"</f>
        <v>5624648</v>
      </c>
      <c r="M84" t="str">
        <f t="shared" si="21"/>
        <v>E042902565</v>
      </c>
      <c r="N84" t="str">
        <f t="shared" si="15"/>
        <v>普通成交</v>
      </c>
      <c r="O84" t="s">
        <v>1</v>
      </c>
    </row>
    <row r="85" spans="1:15" x14ac:dyDescent="0.15">
      <c r="A85" t="str">
        <f t="shared" si="14"/>
        <v>20161223</v>
      </c>
      <c r="B85" t="str">
        <f>"13:09:21"</f>
        <v>13:09:21</v>
      </c>
      <c r="C85" t="str">
        <f t="shared" si="19"/>
        <v>603727</v>
      </c>
      <c r="D85" t="str">
        <f t="shared" si="20"/>
        <v>博迈科</v>
      </c>
      <c r="E85" t="str">
        <f t="shared" si="22"/>
        <v>普通卖出</v>
      </c>
      <c r="F85">
        <v>48.7</v>
      </c>
      <c r="G85">
        <v>3000</v>
      </c>
      <c r="H85" t="str">
        <f t="shared" si="23"/>
        <v>92145</v>
      </c>
      <c r="I85">
        <v>48.7</v>
      </c>
      <c r="J85">
        <v>200</v>
      </c>
      <c r="K85">
        <v>9740</v>
      </c>
      <c r="L85" t="str">
        <f>"5625485"</f>
        <v>5625485</v>
      </c>
      <c r="M85" t="str">
        <f t="shared" si="21"/>
        <v>E042902565</v>
      </c>
      <c r="N85" t="str">
        <f t="shared" si="15"/>
        <v>普通成交</v>
      </c>
      <c r="O85" t="s">
        <v>1</v>
      </c>
    </row>
    <row r="86" spans="1:15" x14ac:dyDescent="0.15">
      <c r="A86" t="str">
        <f t="shared" si="14"/>
        <v>20161223</v>
      </c>
      <c r="B86" t="str">
        <f>"13:09:21"</f>
        <v>13:09:21</v>
      </c>
      <c r="C86" t="str">
        <f t="shared" si="19"/>
        <v>603727</v>
      </c>
      <c r="D86" t="str">
        <f t="shared" si="20"/>
        <v>博迈科</v>
      </c>
      <c r="E86" t="str">
        <f t="shared" si="22"/>
        <v>普通卖出</v>
      </c>
      <c r="F86">
        <v>48.7</v>
      </c>
      <c r="G86">
        <v>3000</v>
      </c>
      <c r="H86" t="str">
        <f t="shared" si="23"/>
        <v>92145</v>
      </c>
      <c r="I86">
        <v>48.7</v>
      </c>
      <c r="J86">
        <v>200</v>
      </c>
      <c r="K86">
        <v>9740</v>
      </c>
      <c r="L86" t="str">
        <f>"5625733"</f>
        <v>5625733</v>
      </c>
      <c r="M86" t="str">
        <f t="shared" si="21"/>
        <v>E042902565</v>
      </c>
      <c r="N86" t="str">
        <f t="shared" si="15"/>
        <v>普通成交</v>
      </c>
      <c r="O86" t="s">
        <v>1</v>
      </c>
    </row>
    <row r="87" spans="1:15" x14ac:dyDescent="0.15">
      <c r="A87" t="str">
        <f t="shared" si="14"/>
        <v>20161223</v>
      </c>
      <c r="B87" t="str">
        <f>"13:09:23"</f>
        <v>13:09:23</v>
      </c>
      <c r="C87" t="str">
        <f t="shared" si="19"/>
        <v>603727</v>
      </c>
      <c r="D87" t="str">
        <f t="shared" si="20"/>
        <v>博迈科</v>
      </c>
      <c r="E87" t="str">
        <f t="shared" si="22"/>
        <v>普通卖出</v>
      </c>
      <c r="F87">
        <v>48.7</v>
      </c>
      <c r="G87">
        <v>3000</v>
      </c>
      <c r="H87" t="str">
        <f t="shared" si="23"/>
        <v>92145</v>
      </c>
      <c r="I87">
        <v>48.7</v>
      </c>
      <c r="J87">
        <v>200</v>
      </c>
      <c r="K87">
        <v>9740</v>
      </c>
      <c r="L87" t="str">
        <f>"5627225"</f>
        <v>5627225</v>
      </c>
      <c r="M87" t="str">
        <f t="shared" si="21"/>
        <v>E042902565</v>
      </c>
      <c r="N87" t="str">
        <f t="shared" si="15"/>
        <v>普通成交</v>
      </c>
      <c r="O87" t="s">
        <v>1</v>
      </c>
    </row>
    <row r="88" spans="1:15" x14ac:dyDescent="0.15">
      <c r="A88" t="str">
        <f t="shared" si="14"/>
        <v>20161223</v>
      </c>
      <c r="B88" t="str">
        <f>"13:09:27"</f>
        <v>13:09:27</v>
      </c>
      <c r="C88" t="str">
        <f t="shared" si="19"/>
        <v>603727</v>
      </c>
      <c r="D88" t="str">
        <f t="shared" si="20"/>
        <v>博迈科</v>
      </c>
      <c r="E88" t="str">
        <f t="shared" si="22"/>
        <v>普通卖出</v>
      </c>
      <c r="F88">
        <v>48.7</v>
      </c>
      <c r="G88">
        <v>3000</v>
      </c>
      <c r="H88" t="str">
        <f t="shared" si="23"/>
        <v>92145</v>
      </c>
      <c r="I88">
        <v>48.7</v>
      </c>
      <c r="J88">
        <v>200</v>
      </c>
      <c r="K88">
        <v>9740</v>
      </c>
      <c r="L88" t="str">
        <f>"5629270"</f>
        <v>5629270</v>
      </c>
      <c r="M88" t="str">
        <f t="shared" si="21"/>
        <v>E042902565</v>
      </c>
      <c r="N88" t="str">
        <f t="shared" si="15"/>
        <v>普通成交</v>
      </c>
      <c r="O88" t="s">
        <v>1</v>
      </c>
    </row>
    <row r="89" spans="1:15" x14ac:dyDescent="0.15">
      <c r="A89" t="str">
        <f t="shared" si="14"/>
        <v>20161223</v>
      </c>
      <c r="B89" t="str">
        <f>"13:13:56"</f>
        <v>13:13:56</v>
      </c>
      <c r="C89" t="str">
        <f t="shared" si="19"/>
        <v>603727</v>
      </c>
      <c r="D89" t="str">
        <f t="shared" si="20"/>
        <v>博迈科</v>
      </c>
      <c r="E89" t="str">
        <f t="shared" si="22"/>
        <v>普通卖出</v>
      </c>
      <c r="F89">
        <v>48.9</v>
      </c>
      <c r="G89">
        <v>2000</v>
      </c>
      <c r="H89" t="str">
        <f>"93842"</f>
        <v>93842</v>
      </c>
      <c r="I89">
        <v>48.91</v>
      </c>
      <c r="J89">
        <v>100</v>
      </c>
      <c r="K89">
        <v>4891</v>
      </c>
      <c r="L89" t="str">
        <f>"5740656"</f>
        <v>5740656</v>
      </c>
      <c r="M89" t="str">
        <f t="shared" si="21"/>
        <v>E042902565</v>
      </c>
      <c r="N89" t="str">
        <f t="shared" si="15"/>
        <v>普通成交</v>
      </c>
      <c r="O89" t="s">
        <v>1</v>
      </c>
    </row>
    <row r="90" spans="1:15" x14ac:dyDescent="0.15">
      <c r="A90" t="str">
        <f t="shared" si="14"/>
        <v>20161223</v>
      </c>
      <c r="B90" t="str">
        <f>"13:13:56"</f>
        <v>13:13:56</v>
      </c>
      <c r="C90" t="str">
        <f t="shared" si="19"/>
        <v>603727</v>
      </c>
      <c r="D90" t="str">
        <f t="shared" si="20"/>
        <v>博迈科</v>
      </c>
      <c r="E90" t="str">
        <f t="shared" si="22"/>
        <v>普通卖出</v>
      </c>
      <c r="F90">
        <v>48.9</v>
      </c>
      <c r="G90">
        <v>2000</v>
      </c>
      <c r="H90" t="str">
        <f>"93842"</f>
        <v>93842</v>
      </c>
      <c r="I90">
        <v>48.9</v>
      </c>
      <c r="J90">
        <v>1900</v>
      </c>
      <c r="K90">
        <v>92910</v>
      </c>
      <c r="L90" t="str">
        <f>"5740657"</f>
        <v>5740657</v>
      </c>
      <c r="M90" t="str">
        <f t="shared" si="21"/>
        <v>E042902565</v>
      </c>
      <c r="N90" t="str">
        <f t="shared" si="15"/>
        <v>普通成交</v>
      </c>
      <c r="O90" t="s">
        <v>1</v>
      </c>
    </row>
    <row r="91" spans="1:15" x14ac:dyDescent="0.15">
      <c r="A91" t="str">
        <f t="shared" si="14"/>
        <v>20161223</v>
      </c>
      <c r="B91" t="str">
        <f>"13:17:59"</f>
        <v>13:17:59</v>
      </c>
      <c r="C91" t="str">
        <f t="shared" si="19"/>
        <v>603727</v>
      </c>
      <c r="D91" t="str">
        <f t="shared" si="20"/>
        <v>博迈科</v>
      </c>
      <c r="E91" t="str">
        <f>"普通买入"</f>
        <v>普通买入</v>
      </c>
      <c r="F91">
        <v>48.79</v>
      </c>
      <c r="G91">
        <v>2000</v>
      </c>
      <c r="H91" t="str">
        <f>"95142"</f>
        <v>95142</v>
      </c>
      <c r="I91">
        <v>48.79</v>
      </c>
      <c r="J91">
        <v>2000</v>
      </c>
      <c r="K91">
        <v>97580</v>
      </c>
      <c r="L91" t="str">
        <f>"5839056"</f>
        <v>5839056</v>
      </c>
      <c r="M91" t="str">
        <f t="shared" si="21"/>
        <v>E042902565</v>
      </c>
      <c r="N91" t="str">
        <f t="shared" si="15"/>
        <v>普通成交</v>
      </c>
      <c r="O91" t="s">
        <v>1</v>
      </c>
    </row>
    <row r="92" spans="1:15" x14ac:dyDescent="0.15">
      <c r="A92" t="str">
        <f t="shared" si="14"/>
        <v>20161223</v>
      </c>
      <c r="B92" t="str">
        <f>"13:19:02"</f>
        <v>13:19:02</v>
      </c>
      <c r="C92" t="str">
        <f t="shared" si="19"/>
        <v>603727</v>
      </c>
      <c r="D92" t="str">
        <f t="shared" si="20"/>
        <v>博迈科</v>
      </c>
      <c r="E92" t="str">
        <f>"普通买入"</f>
        <v>普通买入</v>
      </c>
      <c r="F92">
        <v>48.9</v>
      </c>
      <c r="G92">
        <v>5000</v>
      </c>
      <c r="H92" t="str">
        <f>"95609"</f>
        <v>95609</v>
      </c>
      <c r="I92">
        <v>48.8</v>
      </c>
      <c r="J92">
        <v>200</v>
      </c>
      <c r="K92">
        <v>9760</v>
      </c>
      <c r="L92" t="str">
        <f>"5864126"</f>
        <v>5864126</v>
      </c>
      <c r="M92" t="str">
        <f t="shared" si="21"/>
        <v>E042902565</v>
      </c>
      <c r="N92" t="str">
        <f t="shared" si="15"/>
        <v>普通成交</v>
      </c>
      <c r="O92" t="s">
        <v>1</v>
      </c>
    </row>
    <row r="93" spans="1:15" x14ac:dyDescent="0.15">
      <c r="A93" t="str">
        <f t="shared" si="14"/>
        <v>20161223</v>
      </c>
      <c r="B93" t="str">
        <f>"13:19:02"</f>
        <v>13:19:02</v>
      </c>
      <c r="C93" t="str">
        <f t="shared" si="19"/>
        <v>603727</v>
      </c>
      <c r="D93" t="str">
        <f t="shared" si="20"/>
        <v>博迈科</v>
      </c>
      <c r="E93" t="str">
        <f>"普通买入"</f>
        <v>普通买入</v>
      </c>
      <c r="F93">
        <v>48.9</v>
      </c>
      <c r="G93">
        <v>5000</v>
      </c>
      <c r="H93" t="str">
        <f>"95609"</f>
        <v>95609</v>
      </c>
      <c r="I93">
        <v>48.84</v>
      </c>
      <c r="J93">
        <v>2273</v>
      </c>
      <c r="K93">
        <v>111013.32</v>
      </c>
      <c r="L93" t="str">
        <f>"5864127"</f>
        <v>5864127</v>
      </c>
      <c r="M93" t="str">
        <f t="shared" si="21"/>
        <v>E042902565</v>
      </c>
      <c r="N93" t="str">
        <f t="shared" si="15"/>
        <v>普通成交</v>
      </c>
      <c r="O93" t="s">
        <v>1</v>
      </c>
    </row>
    <row r="94" spans="1:15" x14ac:dyDescent="0.15">
      <c r="A94" t="str">
        <f t="shared" si="14"/>
        <v>20161223</v>
      </c>
      <c r="B94" t="str">
        <f>"13:19:02"</f>
        <v>13:19:02</v>
      </c>
      <c r="C94" t="str">
        <f t="shared" si="19"/>
        <v>603727</v>
      </c>
      <c r="D94" t="str">
        <f t="shared" si="20"/>
        <v>博迈科</v>
      </c>
      <c r="E94" t="str">
        <f>"普通买入"</f>
        <v>普通买入</v>
      </c>
      <c r="F94">
        <v>48.9</v>
      </c>
      <c r="G94">
        <v>5000</v>
      </c>
      <c r="H94" t="str">
        <f>"95609"</f>
        <v>95609</v>
      </c>
      <c r="I94">
        <v>48.85</v>
      </c>
      <c r="J94">
        <v>2527</v>
      </c>
      <c r="K94">
        <v>123443.95</v>
      </c>
      <c r="L94" t="str">
        <f>"5864130"</f>
        <v>5864130</v>
      </c>
      <c r="M94" t="str">
        <f t="shared" si="21"/>
        <v>E042902565</v>
      </c>
      <c r="N94" t="str">
        <f t="shared" si="15"/>
        <v>普通成交</v>
      </c>
      <c r="O94" t="s">
        <v>1</v>
      </c>
    </row>
    <row r="95" spans="1:15" x14ac:dyDescent="0.15">
      <c r="A95" t="str">
        <f t="shared" si="14"/>
        <v>20161223</v>
      </c>
      <c r="B95" t="str">
        <f>"13:20:45"</f>
        <v>13:20:45</v>
      </c>
      <c r="C95" t="str">
        <f t="shared" si="19"/>
        <v>603727</v>
      </c>
      <c r="D95" t="str">
        <f t="shared" si="20"/>
        <v>博迈科</v>
      </c>
      <c r="E95" t="str">
        <f>"普通卖出"</f>
        <v>普通卖出</v>
      </c>
      <c r="F95">
        <v>48.93</v>
      </c>
      <c r="G95">
        <v>5000</v>
      </c>
      <c r="H95" t="str">
        <f>"96246"</f>
        <v>96246</v>
      </c>
      <c r="I95">
        <v>48.97</v>
      </c>
      <c r="J95">
        <v>1700</v>
      </c>
      <c r="K95">
        <v>83249</v>
      </c>
      <c r="L95" t="str">
        <f>"5911092"</f>
        <v>5911092</v>
      </c>
      <c r="M95" t="str">
        <f t="shared" si="21"/>
        <v>E042902565</v>
      </c>
      <c r="N95" t="str">
        <f t="shared" si="15"/>
        <v>普通成交</v>
      </c>
      <c r="O95" t="s">
        <v>1</v>
      </c>
    </row>
    <row r="96" spans="1:15" x14ac:dyDescent="0.15">
      <c r="A96" t="str">
        <f t="shared" si="14"/>
        <v>20161223</v>
      </c>
      <c r="B96" t="str">
        <f>"13:20:45"</f>
        <v>13:20:45</v>
      </c>
      <c r="C96" t="str">
        <f t="shared" si="19"/>
        <v>603727</v>
      </c>
      <c r="D96" t="str">
        <f t="shared" si="20"/>
        <v>博迈科</v>
      </c>
      <c r="E96" t="str">
        <f>"普通卖出"</f>
        <v>普通卖出</v>
      </c>
      <c r="F96">
        <v>48.93</v>
      </c>
      <c r="G96">
        <v>5000</v>
      </c>
      <c r="H96" t="str">
        <f>"96246"</f>
        <v>96246</v>
      </c>
      <c r="I96">
        <v>48.96</v>
      </c>
      <c r="J96">
        <v>500</v>
      </c>
      <c r="K96">
        <v>24480</v>
      </c>
      <c r="L96" t="str">
        <f>"5911097"</f>
        <v>5911097</v>
      </c>
      <c r="M96" t="str">
        <f t="shared" si="21"/>
        <v>E042902565</v>
      </c>
      <c r="N96" t="str">
        <f t="shared" si="15"/>
        <v>普通成交</v>
      </c>
      <c r="O96" t="s">
        <v>1</v>
      </c>
    </row>
    <row r="97" spans="1:15" x14ac:dyDescent="0.15">
      <c r="A97" t="str">
        <f t="shared" si="14"/>
        <v>20161223</v>
      </c>
      <c r="B97" t="str">
        <f>"13:20:45"</f>
        <v>13:20:45</v>
      </c>
      <c r="C97" t="str">
        <f t="shared" si="19"/>
        <v>603727</v>
      </c>
      <c r="D97" t="str">
        <f t="shared" si="20"/>
        <v>博迈科</v>
      </c>
      <c r="E97" t="str">
        <f>"普通卖出"</f>
        <v>普通卖出</v>
      </c>
      <c r="F97">
        <v>48.93</v>
      </c>
      <c r="G97">
        <v>5000</v>
      </c>
      <c r="H97" t="str">
        <f>"96246"</f>
        <v>96246</v>
      </c>
      <c r="I97">
        <v>48.95</v>
      </c>
      <c r="J97">
        <v>2200</v>
      </c>
      <c r="K97">
        <v>107690</v>
      </c>
      <c r="L97" t="str">
        <f>"5911098"</f>
        <v>5911098</v>
      </c>
      <c r="M97" t="str">
        <f t="shared" si="21"/>
        <v>E042902565</v>
      </c>
      <c r="N97" t="str">
        <f t="shared" si="15"/>
        <v>普通成交</v>
      </c>
      <c r="O97" t="s">
        <v>1</v>
      </c>
    </row>
    <row r="98" spans="1:15" x14ac:dyDescent="0.15">
      <c r="A98" t="str">
        <f t="shared" ref="A98:A129" si="24">"20161223"</f>
        <v>20161223</v>
      </c>
      <c r="B98" t="str">
        <f>"13:20:45"</f>
        <v>13:20:45</v>
      </c>
      <c r="C98" t="str">
        <f t="shared" si="19"/>
        <v>603727</v>
      </c>
      <c r="D98" t="str">
        <f t="shared" si="20"/>
        <v>博迈科</v>
      </c>
      <c r="E98" t="str">
        <f>"普通卖出"</f>
        <v>普通卖出</v>
      </c>
      <c r="F98">
        <v>48.93</v>
      </c>
      <c r="G98">
        <v>5000</v>
      </c>
      <c r="H98" t="str">
        <f>"96246"</f>
        <v>96246</v>
      </c>
      <c r="I98">
        <v>48.94</v>
      </c>
      <c r="J98">
        <v>600</v>
      </c>
      <c r="K98">
        <v>29364</v>
      </c>
      <c r="L98" t="str">
        <f>"5911104"</f>
        <v>5911104</v>
      </c>
      <c r="M98" t="str">
        <f t="shared" si="21"/>
        <v>E042902565</v>
      </c>
      <c r="N98" t="str">
        <f t="shared" ref="N98:N129" si="25">"普通成交"</f>
        <v>普通成交</v>
      </c>
      <c r="O98" t="s">
        <v>1</v>
      </c>
    </row>
    <row r="99" spans="1:15" x14ac:dyDescent="0.15">
      <c r="A99" t="str">
        <f t="shared" si="24"/>
        <v>20161223</v>
      </c>
      <c r="B99" t="str">
        <f>"13:26:50"</f>
        <v>13:26:50</v>
      </c>
      <c r="C99" t="str">
        <f t="shared" ref="C99:C109" si="26">"300017"</f>
        <v>300017</v>
      </c>
      <c r="D99" t="str">
        <f t="shared" ref="D99:D109" si="27">"网宿科技"</f>
        <v>网宿科技</v>
      </c>
      <c r="E99" t="str">
        <f>"普通买入"</f>
        <v>普通买入</v>
      </c>
      <c r="F99">
        <v>53.72</v>
      </c>
      <c r="G99">
        <v>5000</v>
      </c>
      <c r="H99" t="str">
        <f>"93308"</f>
        <v>93308</v>
      </c>
      <c r="I99">
        <v>53.72</v>
      </c>
      <c r="J99">
        <v>5000</v>
      </c>
      <c r="K99">
        <v>268600</v>
      </c>
      <c r="L99" t="str">
        <f>"0101000007933211"</f>
        <v>0101000007933211</v>
      </c>
      <c r="M99" t="str">
        <f t="shared" ref="M99:M109" si="28">"0604291857"</f>
        <v>0604291857</v>
      </c>
      <c r="N99" t="str">
        <f t="shared" si="25"/>
        <v>普通成交</v>
      </c>
      <c r="O99" t="s">
        <v>1</v>
      </c>
    </row>
    <row r="100" spans="1:15" x14ac:dyDescent="0.15">
      <c r="A100" t="str">
        <f t="shared" si="24"/>
        <v>20161223</v>
      </c>
      <c r="B100" t="str">
        <f>"13:26:50"</f>
        <v>13:26:50</v>
      </c>
      <c r="C100" t="str">
        <f t="shared" si="26"/>
        <v>300017</v>
      </c>
      <c r="D100" t="str">
        <f t="shared" si="27"/>
        <v>网宿科技</v>
      </c>
      <c r="E100" t="str">
        <f t="shared" ref="E100:E109" si="29">"融资买入"</f>
        <v>融资买入</v>
      </c>
      <c r="F100">
        <v>53.71</v>
      </c>
      <c r="G100">
        <v>200000</v>
      </c>
      <c r="H100" t="str">
        <f t="shared" ref="H100:H109" si="30">"93015"</f>
        <v>93015</v>
      </c>
      <c r="I100">
        <v>53.71</v>
      </c>
      <c r="J100">
        <v>10900</v>
      </c>
      <c r="K100">
        <v>585439</v>
      </c>
      <c r="L100" t="str">
        <f>"0101000007933219"</f>
        <v>0101000007933219</v>
      </c>
      <c r="M100" t="str">
        <f t="shared" si="28"/>
        <v>0604291857</v>
      </c>
      <c r="N100" t="str">
        <f t="shared" si="25"/>
        <v>普通成交</v>
      </c>
      <c r="O100" t="s">
        <v>1</v>
      </c>
    </row>
    <row r="101" spans="1:15" x14ac:dyDescent="0.15">
      <c r="A101" t="str">
        <f t="shared" si="24"/>
        <v>20161223</v>
      </c>
      <c r="B101" t="str">
        <f>"13:26:58"</f>
        <v>13:26:58</v>
      </c>
      <c r="C101" t="str">
        <f t="shared" si="26"/>
        <v>300017</v>
      </c>
      <c r="D101" t="str">
        <f t="shared" si="27"/>
        <v>网宿科技</v>
      </c>
      <c r="E101" t="str">
        <f t="shared" si="29"/>
        <v>融资买入</v>
      </c>
      <c r="F101">
        <v>53.71</v>
      </c>
      <c r="G101">
        <v>200000</v>
      </c>
      <c r="H101" t="str">
        <f t="shared" si="30"/>
        <v>93015</v>
      </c>
      <c r="I101">
        <v>53.71</v>
      </c>
      <c r="J101">
        <v>1200</v>
      </c>
      <c r="K101">
        <v>64452</v>
      </c>
      <c r="L101" t="str">
        <f>"0101000007941137"</f>
        <v>0101000007941137</v>
      </c>
      <c r="M101" t="str">
        <f t="shared" si="28"/>
        <v>0604291857</v>
      </c>
      <c r="N101" t="str">
        <f t="shared" si="25"/>
        <v>普通成交</v>
      </c>
      <c r="O101" t="s">
        <v>1</v>
      </c>
    </row>
    <row r="102" spans="1:15" x14ac:dyDescent="0.15">
      <c r="A102" t="str">
        <f t="shared" si="24"/>
        <v>20161223</v>
      </c>
      <c r="B102" t="str">
        <f>"13:27:00"</f>
        <v>13:27:00</v>
      </c>
      <c r="C102" t="str">
        <f t="shared" si="26"/>
        <v>300017</v>
      </c>
      <c r="D102" t="str">
        <f t="shared" si="27"/>
        <v>网宿科技</v>
      </c>
      <c r="E102" t="str">
        <f t="shared" si="29"/>
        <v>融资买入</v>
      </c>
      <c r="F102">
        <v>53.71</v>
      </c>
      <c r="G102">
        <v>200000</v>
      </c>
      <c r="H102" t="str">
        <f t="shared" si="30"/>
        <v>93015</v>
      </c>
      <c r="I102">
        <v>53.71</v>
      </c>
      <c r="J102">
        <v>1100</v>
      </c>
      <c r="K102">
        <v>59081</v>
      </c>
      <c r="L102" t="str">
        <f>"0101000007943150"</f>
        <v>0101000007943150</v>
      </c>
      <c r="M102" t="str">
        <f t="shared" si="28"/>
        <v>0604291857</v>
      </c>
      <c r="N102" t="str">
        <f t="shared" si="25"/>
        <v>普通成交</v>
      </c>
      <c r="O102" t="s">
        <v>1</v>
      </c>
    </row>
    <row r="103" spans="1:15" x14ac:dyDescent="0.15">
      <c r="A103" t="str">
        <f t="shared" si="24"/>
        <v>20161223</v>
      </c>
      <c r="B103" t="str">
        <f>"13:27:06"</f>
        <v>13:27:06</v>
      </c>
      <c r="C103" t="str">
        <f t="shared" si="26"/>
        <v>300017</v>
      </c>
      <c r="D103" t="str">
        <f t="shared" si="27"/>
        <v>网宿科技</v>
      </c>
      <c r="E103" t="str">
        <f t="shared" si="29"/>
        <v>融资买入</v>
      </c>
      <c r="F103">
        <v>53.71</v>
      </c>
      <c r="G103">
        <v>200000</v>
      </c>
      <c r="H103" t="str">
        <f t="shared" si="30"/>
        <v>93015</v>
      </c>
      <c r="I103">
        <v>53.71</v>
      </c>
      <c r="J103">
        <v>400</v>
      </c>
      <c r="K103">
        <v>21484</v>
      </c>
      <c r="L103" t="str">
        <f>"0101000007950177"</f>
        <v>0101000007950177</v>
      </c>
      <c r="M103" t="str">
        <f t="shared" si="28"/>
        <v>0604291857</v>
      </c>
      <c r="N103" t="str">
        <f t="shared" si="25"/>
        <v>普通成交</v>
      </c>
      <c r="O103" t="s">
        <v>1</v>
      </c>
    </row>
    <row r="104" spans="1:15" x14ac:dyDescent="0.15">
      <c r="A104" t="str">
        <f t="shared" si="24"/>
        <v>20161223</v>
      </c>
      <c r="B104" t="str">
        <f>"13:27:11"</f>
        <v>13:27:11</v>
      </c>
      <c r="C104" t="str">
        <f t="shared" si="26"/>
        <v>300017</v>
      </c>
      <c r="D104" t="str">
        <f t="shared" si="27"/>
        <v>网宿科技</v>
      </c>
      <c r="E104" t="str">
        <f t="shared" si="29"/>
        <v>融资买入</v>
      </c>
      <c r="F104">
        <v>53.71</v>
      </c>
      <c r="G104">
        <v>200000</v>
      </c>
      <c r="H104" t="str">
        <f t="shared" si="30"/>
        <v>93015</v>
      </c>
      <c r="I104">
        <v>53.71</v>
      </c>
      <c r="J104">
        <v>2100</v>
      </c>
      <c r="K104">
        <v>112791</v>
      </c>
      <c r="L104" t="str">
        <f>"0101000007954402"</f>
        <v>0101000007954402</v>
      </c>
      <c r="M104" t="str">
        <f t="shared" si="28"/>
        <v>0604291857</v>
      </c>
      <c r="N104" t="str">
        <f t="shared" si="25"/>
        <v>普通成交</v>
      </c>
      <c r="O104" t="s">
        <v>1</v>
      </c>
    </row>
    <row r="105" spans="1:15" x14ac:dyDescent="0.15">
      <c r="A105" t="str">
        <f t="shared" si="24"/>
        <v>20161223</v>
      </c>
      <c r="B105" t="str">
        <f>"13:27:19"</f>
        <v>13:27:19</v>
      </c>
      <c r="C105" t="str">
        <f t="shared" si="26"/>
        <v>300017</v>
      </c>
      <c r="D105" t="str">
        <f t="shared" si="27"/>
        <v>网宿科技</v>
      </c>
      <c r="E105" t="str">
        <f t="shared" si="29"/>
        <v>融资买入</v>
      </c>
      <c r="F105">
        <v>53.71</v>
      </c>
      <c r="G105">
        <v>200000</v>
      </c>
      <c r="H105" t="str">
        <f t="shared" si="30"/>
        <v>93015</v>
      </c>
      <c r="I105">
        <v>53.71</v>
      </c>
      <c r="J105">
        <v>600</v>
      </c>
      <c r="K105">
        <v>32226</v>
      </c>
      <c r="L105" t="str">
        <f>"0101000007963505"</f>
        <v>0101000007963505</v>
      </c>
      <c r="M105" t="str">
        <f t="shared" si="28"/>
        <v>0604291857</v>
      </c>
      <c r="N105" t="str">
        <f t="shared" si="25"/>
        <v>普通成交</v>
      </c>
      <c r="O105" t="s">
        <v>1</v>
      </c>
    </row>
    <row r="106" spans="1:15" x14ac:dyDescent="0.15">
      <c r="A106" t="str">
        <f t="shared" si="24"/>
        <v>20161223</v>
      </c>
      <c r="B106" t="str">
        <f>"13:27:21"</f>
        <v>13:27:21</v>
      </c>
      <c r="C106" t="str">
        <f t="shared" si="26"/>
        <v>300017</v>
      </c>
      <c r="D106" t="str">
        <f t="shared" si="27"/>
        <v>网宿科技</v>
      </c>
      <c r="E106" t="str">
        <f t="shared" si="29"/>
        <v>融资买入</v>
      </c>
      <c r="F106">
        <v>53.71</v>
      </c>
      <c r="G106">
        <v>200000</v>
      </c>
      <c r="H106" t="str">
        <f t="shared" si="30"/>
        <v>93015</v>
      </c>
      <c r="I106">
        <v>53.71</v>
      </c>
      <c r="J106">
        <v>100</v>
      </c>
      <c r="K106">
        <v>5371</v>
      </c>
      <c r="L106" t="str">
        <f>"0101000007965019"</f>
        <v>0101000007965019</v>
      </c>
      <c r="M106" t="str">
        <f t="shared" si="28"/>
        <v>0604291857</v>
      </c>
      <c r="N106" t="str">
        <f t="shared" si="25"/>
        <v>普通成交</v>
      </c>
      <c r="O106" t="s">
        <v>1</v>
      </c>
    </row>
    <row r="107" spans="1:15" x14ac:dyDescent="0.15">
      <c r="A107" t="str">
        <f t="shared" si="24"/>
        <v>20161223</v>
      </c>
      <c r="B107" t="str">
        <f>"13:27:23"</f>
        <v>13:27:23</v>
      </c>
      <c r="C107" t="str">
        <f t="shared" si="26"/>
        <v>300017</v>
      </c>
      <c r="D107" t="str">
        <f t="shared" si="27"/>
        <v>网宿科技</v>
      </c>
      <c r="E107" t="str">
        <f t="shared" si="29"/>
        <v>融资买入</v>
      </c>
      <c r="F107">
        <v>53.71</v>
      </c>
      <c r="G107">
        <v>200000</v>
      </c>
      <c r="H107" t="str">
        <f t="shared" si="30"/>
        <v>93015</v>
      </c>
      <c r="I107">
        <v>53.71</v>
      </c>
      <c r="J107">
        <v>104700</v>
      </c>
      <c r="K107">
        <v>5623437</v>
      </c>
      <c r="L107" t="str">
        <f>"0101000007967045"</f>
        <v>0101000007967045</v>
      </c>
      <c r="M107" t="str">
        <f t="shared" si="28"/>
        <v>0604291857</v>
      </c>
      <c r="N107" t="str">
        <f t="shared" si="25"/>
        <v>普通成交</v>
      </c>
      <c r="O107" t="s">
        <v>1</v>
      </c>
    </row>
    <row r="108" spans="1:15" x14ac:dyDescent="0.15">
      <c r="A108" t="str">
        <f t="shared" si="24"/>
        <v>20161223</v>
      </c>
      <c r="B108" t="str">
        <f>"13:27:23"</f>
        <v>13:27:23</v>
      </c>
      <c r="C108" t="str">
        <f t="shared" si="26"/>
        <v>300017</v>
      </c>
      <c r="D108" t="str">
        <f t="shared" si="27"/>
        <v>网宿科技</v>
      </c>
      <c r="E108" t="str">
        <f t="shared" si="29"/>
        <v>融资买入</v>
      </c>
      <c r="F108">
        <v>53.71</v>
      </c>
      <c r="G108">
        <v>200000</v>
      </c>
      <c r="H108" t="str">
        <f t="shared" si="30"/>
        <v>93015</v>
      </c>
      <c r="I108">
        <v>53.71</v>
      </c>
      <c r="J108">
        <v>511</v>
      </c>
      <c r="K108">
        <v>27445.81</v>
      </c>
      <c r="L108" t="str">
        <f>"0101000007967613"</f>
        <v>0101000007967613</v>
      </c>
      <c r="M108" t="str">
        <f t="shared" si="28"/>
        <v>0604291857</v>
      </c>
      <c r="N108" t="str">
        <f t="shared" si="25"/>
        <v>普通成交</v>
      </c>
      <c r="O108" t="s">
        <v>1</v>
      </c>
    </row>
    <row r="109" spans="1:15" x14ac:dyDescent="0.15">
      <c r="A109" t="str">
        <f t="shared" si="24"/>
        <v>20161223</v>
      </c>
      <c r="B109" t="str">
        <f>"13:27:35"</f>
        <v>13:27:35</v>
      </c>
      <c r="C109" t="str">
        <f t="shared" si="26"/>
        <v>300017</v>
      </c>
      <c r="D109" t="str">
        <f t="shared" si="27"/>
        <v>网宿科技</v>
      </c>
      <c r="E109" t="str">
        <f t="shared" si="29"/>
        <v>融资买入</v>
      </c>
      <c r="F109">
        <v>53.71</v>
      </c>
      <c r="G109">
        <v>200000</v>
      </c>
      <c r="H109" t="str">
        <f t="shared" si="30"/>
        <v>93015</v>
      </c>
      <c r="I109">
        <v>53.71</v>
      </c>
      <c r="J109">
        <v>10000</v>
      </c>
      <c r="K109">
        <v>537100</v>
      </c>
      <c r="L109" t="str">
        <f>"0101000007979595"</f>
        <v>0101000007979595</v>
      </c>
      <c r="M109" t="str">
        <f t="shared" si="28"/>
        <v>0604291857</v>
      </c>
      <c r="N109" t="str">
        <f t="shared" si="25"/>
        <v>普通成交</v>
      </c>
      <c r="O109" t="s">
        <v>1</v>
      </c>
    </row>
    <row r="110" spans="1:15" x14ac:dyDescent="0.15">
      <c r="A110" t="str">
        <f t="shared" si="24"/>
        <v>20161223</v>
      </c>
      <c r="B110" t="str">
        <f>"13:27:35"</f>
        <v>13:27:35</v>
      </c>
      <c r="C110" t="str">
        <f>"603727"</f>
        <v>603727</v>
      </c>
      <c r="D110" t="str">
        <f>"博迈科"</f>
        <v>博迈科</v>
      </c>
      <c r="E110" t="str">
        <f>"普通买入"</f>
        <v>普通买入</v>
      </c>
      <c r="F110">
        <v>48.15</v>
      </c>
      <c r="G110">
        <v>3000</v>
      </c>
      <c r="H110" t="str">
        <f>"98943"</f>
        <v>98943</v>
      </c>
      <c r="I110">
        <v>48.15</v>
      </c>
      <c r="J110">
        <v>500</v>
      </c>
      <c r="K110">
        <v>24075</v>
      </c>
      <c r="L110" t="str">
        <f>"6215286"</f>
        <v>6215286</v>
      </c>
      <c r="M110" t="str">
        <f>"E042902565"</f>
        <v>E042902565</v>
      </c>
      <c r="N110" t="str">
        <f t="shared" si="25"/>
        <v>普通成交</v>
      </c>
      <c r="O110" t="s">
        <v>1</v>
      </c>
    </row>
    <row r="111" spans="1:15" x14ac:dyDescent="0.15">
      <c r="A111" t="str">
        <f t="shared" si="24"/>
        <v>20161223</v>
      </c>
      <c r="B111" t="str">
        <f>"13:27:36"</f>
        <v>13:27:36</v>
      </c>
      <c r="C111" t="str">
        <f>"300017"</f>
        <v>300017</v>
      </c>
      <c r="D111" t="str">
        <f>"网宿科技"</f>
        <v>网宿科技</v>
      </c>
      <c r="E111" t="str">
        <f>"融资买入"</f>
        <v>融资买入</v>
      </c>
      <c r="F111">
        <v>53.71</v>
      </c>
      <c r="G111">
        <v>200000</v>
      </c>
      <c r="H111" t="str">
        <f>"93015"</f>
        <v>93015</v>
      </c>
      <c r="I111">
        <v>53.71</v>
      </c>
      <c r="J111">
        <v>200</v>
      </c>
      <c r="K111">
        <v>10742</v>
      </c>
      <c r="L111" t="str">
        <f>"0101000007980436"</f>
        <v>0101000007980436</v>
      </c>
      <c r="M111" t="str">
        <f>"0604291857"</f>
        <v>0604291857</v>
      </c>
      <c r="N111" t="str">
        <f t="shared" si="25"/>
        <v>普通成交</v>
      </c>
      <c r="O111" t="s">
        <v>1</v>
      </c>
    </row>
    <row r="112" spans="1:15" x14ac:dyDescent="0.15">
      <c r="A112" t="str">
        <f t="shared" si="24"/>
        <v>20161223</v>
      </c>
      <c r="B112" t="str">
        <f>"13:27:40"</f>
        <v>13:27:40</v>
      </c>
      <c r="C112" t="str">
        <f>"603727"</f>
        <v>603727</v>
      </c>
      <c r="D112" t="str">
        <f>"博迈科"</f>
        <v>博迈科</v>
      </c>
      <c r="E112" t="str">
        <f>"普通买入"</f>
        <v>普通买入</v>
      </c>
      <c r="F112">
        <v>48.15</v>
      </c>
      <c r="G112">
        <v>3000</v>
      </c>
      <c r="H112" t="str">
        <f>"98943"</f>
        <v>98943</v>
      </c>
      <c r="I112">
        <v>48.15</v>
      </c>
      <c r="J112">
        <v>100</v>
      </c>
      <c r="K112">
        <v>4815</v>
      </c>
      <c r="L112" t="str">
        <f>"6219414"</f>
        <v>6219414</v>
      </c>
      <c r="M112" t="str">
        <f>"E042902565"</f>
        <v>E042902565</v>
      </c>
      <c r="N112" t="str">
        <f t="shared" si="25"/>
        <v>普通成交</v>
      </c>
      <c r="O112" t="s">
        <v>1</v>
      </c>
    </row>
    <row r="113" spans="1:15" x14ac:dyDescent="0.15">
      <c r="A113" t="str">
        <f t="shared" si="24"/>
        <v>20161223</v>
      </c>
      <c r="B113" t="str">
        <f>"13:27:41"</f>
        <v>13:27:41</v>
      </c>
      <c r="C113" t="str">
        <f>"300017"</f>
        <v>300017</v>
      </c>
      <c r="D113" t="str">
        <f>"网宿科技"</f>
        <v>网宿科技</v>
      </c>
      <c r="E113" t="str">
        <f>"融资买入"</f>
        <v>融资买入</v>
      </c>
      <c r="F113">
        <v>53.71</v>
      </c>
      <c r="G113">
        <v>200000</v>
      </c>
      <c r="H113" t="str">
        <f>"93015"</f>
        <v>93015</v>
      </c>
      <c r="I113">
        <v>53.71</v>
      </c>
      <c r="J113">
        <v>200</v>
      </c>
      <c r="K113">
        <v>10742</v>
      </c>
      <c r="L113" t="str">
        <f>"0101000007985155"</f>
        <v>0101000007985155</v>
      </c>
      <c r="M113" t="str">
        <f>"0604291857"</f>
        <v>0604291857</v>
      </c>
      <c r="N113" t="str">
        <f t="shared" si="25"/>
        <v>普通成交</v>
      </c>
      <c r="O113" t="s">
        <v>1</v>
      </c>
    </row>
    <row r="114" spans="1:15" x14ac:dyDescent="0.15">
      <c r="A114" t="str">
        <f t="shared" si="24"/>
        <v>20161223</v>
      </c>
      <c r="B114" t="str">
        <f>"13:27:41"</f>
        <v>13:27:41</v>
      </c>
      <c r="C114" t="str">
        <f>"300017"</f>
        <v>300017</v>
      </c>
      <c r="D114" t="str">
        <f>"网宿科技"</f>
        <v>网宿科技</v>
      </c>
      <c r="E114" t="str">
        <f>"融资买入"</f>
        <v>融资买入</v>
      </c>
      <c r="F114">
        <v>53.71</v>
      </c>
      <c r="G114">
        <v>200000</v>
      </c>
      <c r="H114" t="str">
        <f>"93015"</f>
        <v>93015</v>
      </c>
      <c r="I114">
        <v>53.71</v>
      </c>
      <c r="J114">
        <v>100</v>
      </c>
      <c r="K114">
        <v>5371</v>
      </c>
      <c r="L114" t="str">
        <f>"0101000007985248"</f>
        <v>0101000007985248</v>
      </c>
      <c r="M114" t="str">
        <f>"0604291857"</f>
        <v>0604291857</v>
      </c>
      <c r="N114" t="str">
        <f t="shared" si="25"/>
        <v>普通成交</v>
      </c>
      <c r="O114" t="s">
        <v>1</v>
      </c>
    </row>
    <row r="115" spans="1:15" x14ac:dyDescent="0.15">
      <c r="A115" t="str">
        <f t="shared" si="24"/>
        <v>20161223</v>
      </c>
      <c r="B115" t="str">
        <f>"13:27:42"</f>
        <v>13:27:42</v>
      </c>
      <c r="C115" t="str">
        <f>"603727"</f>
        <v>603727</v>
      </c>
      <c r="D115" t="str">
        <f>"博迈科"</f>
        <v>博迈科</v>
      </c>
      <c r="E115" t="str">
        <f>"普通买入"</f>
        <v>普通买入</v>
      </c>
      <c r="F115">
        <v>48.15</v>
      </c>
      <c r="G115">
        <v>3000</v>
      </c>
      <c r="H115" t="str">
        <f>"98943"</f>
        <v>98943</v>
      </c>
      <c r="I115">
        <v>48.15</v>
      </c>
      <c r="J115">
        <v>500</v>
      </c>
      <c r="K115">
        <v>24075</v>
      </c>
      <c r="L115" t="str">
        <f>"6221006"</f>
        <v>6221006</v>
      </c>
      <c r="M115" t="str">
        <f>"E042902565"</f>
        <v>E042902565</v>
      </c>
      <c r="N115" t="str">
        <f t="shared" si="25"/>
        <v>普通成交</v>
      </c>
      <c r="O115" t="s">
        <v>1</v>
      </c>
    </row>
    <row r="116" spans="1:15" x14ac:dyDescent="0.15">
      <c r="A116" t="str">
        <f t="shared" si="24"/>
        <v>20161223</v>
      </c>
      <c r="B116" t="str">
        <f>"13:27:42"</f>
        <v>13:27:42</v>
      </c>
      <c r="C116" t="str">
        <f>"603727"</f>
        <v>603727</v>
      </c>
      <c r="D116" t="str">
        <f>"博迈科"</f>
        <v>博迈科</v>
      </c>
      <c r="E116" t="str">
        <f>"普通买入"</f>
        <v>普通买入</v>
      </c>
      <c r="F116">
        <v>48.15</v>
      </c>
      <c r="G116">
        <v>3000</v>
      </c>
      <c r="H116" t="str">
        <f>"98943"</f>
        <v>98943</v>
      </c>
      <c r="I116">
        <v>48.15</v>
      </c>
      <c r="J116">
        <v>1400</v>
      </c>
      <c r="K116">
        <v>67410</v>
      </c>
      <c r="L116" t="str">
        <f>"6221533"</f>
        <v>6221533</v>
      </c>
      <c r="M116" t="str">
        <f>"E042902565"</f>
        <v>E042902565</v>
      </c>
      <c r="N116" t="str">
        <f t="shared" si="25"/>
        <v>普通成交</v>
      </c>
      <c r="O116" t="s">
        <v>1</v>
      </c>
    </row>
    <row r="117" spans="1:15" x14ac:dyDescent="0.15">
      <c r="A117" t="str">
        <f t="shared" si="24"/>
        <v>20161223</v>
      </c>
      <c r="B117" t="str">
        <f>"13:27:42"</f>
        <v>13:27:42</v>
      </c>
      <c r="C117" t="str">
        <f>"603727"</f>
        <v>603727</v>
      </c>
      <c r="D117" t="str">
        <f>"博迈科"</f>
        <v>博迈科</v>
      </c>
      <c r="E117" t="str">
        <f>"普通买入"</f>
        <v>普通买入</v>
      </c>
      <c r="F117">
        <v>48.15</v>
      </c>
      <c r="G117">
        <v>3000</v>
      </c>
      <c r="H117" t="str">
        <f>"98943"</f>
        <v>98943</v>
      </c>
      <c r="I117">
        <v>48.15</v>
      </c>
      <c r="J117">
        <v>500</v>
      </c>
      <c r="K117">
        <v>24075</v>
      </c>
      <c r="L117" t="str">
        <f>"6221752"</f>
        <v>6221752</v>
      </c>
      <c r="M117" t="str">
        <f>"E042902565"</f>
        <v>E042902565</v>
      </c>
      <c r="N117" t="str">
        <f t="shared" si="25"/>
        <v>普通成交</v>
      </c>
      <c r="O117" t="s">
        <v>1</v>
      </c>
    </row>
    <row r="118" spans="1:15" x14ac:dyDescent="0.15">
      <c r="A118" t="str">
        <f t="shared" si="24"/>
        <v>20161223</v>
      </c>
      <c r="B118" t="str">
        <f>"13:27:49"</f>
        <v>13:27:49</v>
      </c>
      <c r="C118" t="str">
        <f t="shared" ref="C118:C139" si="31">"300017"</f>
        <v>300017</v>
      </c>
      <c r="D118" t="str">
        <f t="shared" ref="D118:D139" si="32">"网宿科技"</f>
        <v>网宿科技</v>
      </c>
      <c r="E118" t="str">
        <f t="shared" ref="E118:E139" si="33">"融资买入"</f>
        <v>融资买入</v>
      </c>
      <c r="F118">
        <v>53.71</v>
      </c>
      <c r="G118">
        <v>200000</v>
      </c>
      <c r="H118" t="str">
        <f t="shared" ref="H118:H139" si="34">"93015"</f>
        <v>93015</v>
      </c>
      <c r="I118">
        <v>53.71</v>
      </c>
      <c r="J118">
        <v>200</v>
      </c>
      <c r="K118">
        <v>10742</v>
      </c>
      <c r="L118" t="str">
        <f>"0101000007994402"</f>
        <v>0101000007994402</v>
      </c>
      <c r="M118" t="str">
        <f t="shared" ref="M118:M139" si="35">"0604291857"</f>
        <v>0604291857</v>
      </c>
      <c r="N118" t="str">
        <f t="shared" si="25"/>
        <v>普通成交</v>
      </c>
      <c r="O118" t="s">
        <v>1</v>
      </c>
    </row>
    <row r="119" spans="1:15" x14ac:dyDescent="0.15">
      <c r="A119" t="str">
        <f t="shared" si="24"/>
        <v>20161223</v>
      </c>
      <c r="B119" t="str">
        <f>"13:27:50"</f>
        <v>13:27:50</v>
      </c>
      <c r="C119" t="str">
        <f t="shared" si="31"/>
        <v>300017</v>
      </c>
      <c r="D119" t="str">
        <f t="shared" si="32"/>
        <v>网宿科技</v>
      </c>
      <c r="E119" t="str">
        <f t="shared" si="33"/>
        <v>融资买入</v>
      </c>
      <c r="F119">
        <v>53.71</v>
      </c>
      <c r="G119">
        <v>200000</v>
      </c>
      <c r="H119" t="str">
        <f t="shared" si="34"/>
        <v>93015</v>
      </c>
      <c r="I119">
        <v>53.71</v>
      </c>
      <c r="J119">
        <v>2000</v>
      </c>
      <c r="K119">
        <v>107420</v>
      </c>
      <c r="L119" t="str">
        <f>"0101000007994524"</f>
        <v>0101000007994524</v>
      </c>
      <c r="M119" t="str">
        <f t="shared" si="35"/>
        <v>0604291857</v>
      </c>
      <c r="N119" t="str">
        <f t="shared" si="25"/>
        <v>普通成交</v>
      </c>
      <c r="O119" t="s">
        <v>1</v>
      </c>
    </row>
    <row r="120" spans="1:15" x14ac:dyDescent="0.15">
      <c r="A120" t="str">
        <f t="shared" si="24"/>
        <v>20161223</v>
      </c>
      <c r="B120" t="str">
        <f>"13:27:58"</f>
        <v>13:27:58</v>
      </c>
      <c r="C120" t="str">
        <f t="shared" si="31"/>
        <v>300017</v>
      </c>
      <c r="D120" t="str">
        <f t="shared" si="32"/>
        <v>网宿科技</v>
      </c>
      <c r="E120" t="str">
        <f t="shared" si="33"/>
        <v>融资买入</v>
      </c>
      <c r="F120">
        <v>53.71</v>
      </c>
      <c r="G120">
        <v>200000</v>
      </c>
      <c r="H120" t="str">
        <f t="shared" si="34"/>
        <v>93015</v>
      </c>
      <c r="I120">
        <v>53.71</v>
      </c>
      <c r="J120">
        <v>200</v>
      </c>
      <c r="K120">
        <v>10742</v>
      </c>
      <c r="L120" t="str">
        <f>"0101000008002667"</f>
        <v>0101000008002667</v>
      </c>
      <c r="M120" t="str">
        <f t="shared" si="35"/>
        <v>0604291857</v>
      </c>
      <c r="N120" t="str">
        <f t="shared" si="25"/>
        <v>普通成交</v>
      </c>
      <c r="O120" t="s">
        <v>1</v>
      </c>
    </row>
    <row r="121" spans="1:15" x14ac:dyDescent="0.15">
      <c r="A121" t="str">
        <f t="shared" si="24"/>
        <v>20161223</v>
      </c>
      <c r="B121" t="str">
        <f>"13:28:01"</f>
        <v>13:28:01</v>
      </c>
      <c r="C121" t="str">
        <f t="shared" si="31"/>
        <v>300017</v>
      </c>
      <c r="D121" t="str">
        <f t="shared" si="32"/>
        <v>网宿科技</v>
      </c>
      <c r="E121" t="str">
        <f t="shared" si="33"/>
        <v>融资买入</v>
      </c>
      <c r="F121">
        <v>53.71</v>
      </c>
      <c r="G121">
        <v>200000</v>
      </c>
      <c r="H121" t="str">
        <f t="shared" si="34"/>
        <v>93015</v>
      </c>
      <c r="I121">
        <v>53.71</v>
      </c>
      <c r="J121">
        <v>22000</v>
      </c>
      <c r="K121">
        <v>1181620</v>
      </c>
      <c r="L121" t="str">
        <f>"0101000008004838"</f>
        <v>0101000008004838</v>
      </c>
      <c r="M121" t="str">
        <f t="shared" si="35"/>
        <v>0604291857</v>
      </c>
      <c r="N121" t="str">
        <f t="shared" si="25"/>
        <v>普通成交</v>
      </c>
      <c r="O121" t="s">
        <v>1</v>
      </c>
    </row>
    <row r="122" spans="1:15" x14ac:dyDescent="0.15">
      <c r="A122" t="str">
        <f t="shared" si="24"/>
        <v>20161223</v>
      </c>
      <c r="B122" t="str">
        <f>"13:28:10"</f>
        <v>13:28:10</v>
      </c>
      <c r="C122" t="str">
        <f t="shared" si="31"/>
        <v>300017</v>
      </c>
      <c r="D122" t="str">
        <f t="shared" si="32"/>
        <v>网宿科技</v>
      </c>
      <c r="E122" t="str">
        <f t="shared" si="33"/>
        <v>融资买入</v>
      </c>
      <c r="F122">
        <v>53.71</v>
      </c>
      <c r="G122">
        <v>200000</v>
      </c>
      <c r="H122" t="str">
        <f t="shared" si="34"/>
        <v>93015</v>
      </c>
      <c r="I122">
        <v>53.71</v>
      </c>
      <c r="J122">
        <v>1000</v>
      </c>
      <c r="K122">
        <v>53710</v>
      </c>
      <c r="L122" t="str">
        <f>"0101000008014338"</f>
        <v>0101000008014338</v>
      </c>
      <c r="M122" t="str">
        <f t="shared" si="35"/>
        <v>0604291857</v>
      </c>
      <c r="N122" t="str">
        <f t="shared" si="25"/>
        <v>普通成交</v>
      </c>
      <c r="O122" t="s">
        <v>1</v>
      </c>
    </row>
    <row r="123" spans="1:15" x14ac:dyDescent="0.15">
      <c r="A123" t="str">
        <f t="shared" si="24"/>
        <v>20161223</v>
      </c>
      <c r="B123" t="str">
        <f>"13:28:18"</f>
        <v>13:28:18</v>
      </c>
      <c r="C123" t="str">
        <f t="shared" si="31"/>
        <v>300017</v>
      </c>
      <c r="D123" t="str">
        <f t="shared" si="32"/>
        <v>网宿科技</v>
      </c>
      <c r="E123" t="str">
        <f t="shared" si="33"/>
        <v>融资买入</v>
      </c>
      <c r="F123">
        <v>53.71</v>
      </c>
      <c r="G123">
        <v>200000</v>
      </c>
      <c r="H123" t="str">
        <f t="shared" si="34"/>
        <v>93015</v>
      </c>
      <c r="I123">
        <v>53.71</v>
      </c>
      <c r="J123">
        <v>300</v>
      </c>
      <c r="K123">
        <v>16113</v>
      </c>
      <c r="L123" t="str">
        <f>"0101000008021554"</f>
        <v>0101000008021554</v>
      </c>
      <c r="M123" t="str">
        <f t="shared" si="35"/>
        <v>0604291857</v>
      </c>
      <c r="N123" t="str">
        <f t="shared" si="25"/>
        <v>普通成交</v>
      </c>
      <c r="O123" t="s">
        <v>1</v>
      </c>
    </row>
    <row r="124" spans="1:15" x14ac:dyDescent="0.15">
      <c r="A124" t="str">
        <f t="shared" si="24"/>
        <v>20161223</v>
      </c>
      <c r="B124" t="str">
        <f>"13:28:34"</f>
        <v>13:28:34</v>
      </c>
      <c r="C124" t="str">
        <f t="shared" si="31"/>
        <v>300017</v>
      </c>
      <c r="D124" t="str">
        <f t="shared" si="32"/>
        <v>网宿科技</v>
      </c>
      <c r="E124" t="str">
        <f t="shared" si="33"/>
        <v>融资买入</v>
      </c>
      <c r="F124">
        <v>53.71</v>
      </c>
      <c r="G124">
        <v>200000</v>
      </c>
      <c r="H124" t="str">
        <f t="shared" si="34"/>
        <v>93015</v>
      </c>
      <c r="I124">
        <v>53.71</v>
      </c>
      <c r="J124">
        <v>1000</v>
      </c>
      <c r="K124">
        <v>53710</v>
      </c>
      <c r="L124" t="str">
        <f>"0101000008036133"</f>
        <v>0101000008036133</v>
      </c>
      <c r="M124" t="str">
        <f t="shared" si="35"/>
        <v>0604291857</v>
      </c>
      <c r="N124" t="str">
        <f t="shared" si="25"/>
        <v>普通成交</v>
      </c>
      <c r="O124" t="s">
        <v>1</v>
      </c>
    </row>
    <row r="125" spans="1:15" x14ac:dyDescent="0.15">
      <c r="A125" t="str">
        <f t="shared" si="24"/>
        <v>20161223</v>
      </c>
      <c r="B125" t="str">
        <f>"13:28:39"</f>
        <v>13:28:39</v>
      </c>
      <c r="C125" t="str">
        <f t="shared" si="31"/>
        <v>300017</v>
      </c>
      <c r="D125" t="str">
        <f t="shared" si="32"/>
        <v>网宿科技</v>
      </c>
      <c r="E125" t="str">
        <f t="shared" si="33"/>
        <v>融资买入</v>
      </c>
      <c r="F125">
        <v>53.71</v>
      </c>
      <c r="G125">
        <v>200000</v>
      </c>
      <c r="H125" t="str">
        <f t="shared" si="34"/>
        <v>93015</v>
      </c>
      <c r="I125">
        <v>53.71</v>
      </c>
      <c r="J125">
        <v>200</v>
      </c>
      <c r="K125">
        <v>10742</v>
      </c>
      <c r="L125" t="str">
        <f>"0101000008040742"</f>
        <v>0101000008040742</v>
      </c>
      <c r="M125" t="str">
        <f t="shared" si="35"/>
        <v>0604291857</v>
      </c>
      <c r="N125" t="str">
        <f t="shared" si="25"/>
        <v>普通成交</v>
      </c>
      <c r="O125" t="s">
        <v>1</v>
      </c>
    </row>
    <row r="126" spans="1:15" x14ac:dyDescent="0.15">
      <c r="A126" t="str">
        <f t="shared" si="24"/>
        <v>20161223</v>
      </c>
      <c r="B126" t="str">
        <f>"13:51:13"</f>
        <v>13:51:13</v>
      </c>
      <c r="C126" t="str">
        <f t="shared" si="31"/>
        <v>300017</v>
      </c>
      <c r="D126" t="str">
        <f t="shared" si="32"/>
        <v>网宿科技</v>
      </c>
      <c r="E126" t="str">
        <f t="shared" si="33"/>
        <v>融资买入</v>
      </c>
      <c r="F126">
        <v>53.71</v>
      </c>
      <c r="G126">
        <v>200000</v>
      </c>
      <c r="H126" t="str">
        <f t="shared" si="34"/>
        <v>93015</v>
      </c>
      <c r="I126">
        <v>53.71</v>
      </c>
      <c r="J126">
        <v>2900</v>
      </c>
      <c r="K126">
        <v>155759</v>
      </c>
      <c r="L126" t="str">
        <f>"0101000008817939"</f>
        <v>0101000008817939</v>
      </c>
      <c r="M126" t="str">
        <f t="shared" si="35"/>
        <v>0604291857</v>
      </c>
      <c r="N126" t="str">
        <f t="shared" si="25"/>
        <v>普通成交</v>
      </c>
      <c r="O126" t="s">
        <v>1</v>
      </c>
    </row>
    <row r="127" spans="1:15" x14ac:dyDescent="0.15">
      <c r="A127" t="str">
        <f t="shared" si="24"/>
        <v>20161223</v>
      </c>
      <c r="B127" t="str">
        <f>"13:51:29"</f>
        <v>13:51:29</v>
      </c>
      <c r="C127" t="str">
        <f t="shared" si="31"/>
        <v>300017</v>
      </c>
      <c r="D127" t="str">
        <f t="shared" si="32"/>
        <v>网宿科技</v>
      </c>
      <c r="E127" t="str">
        <f t="shared" si="33"/>
        <v>融资买入</v>
      </c>
      <c r="F127">
        <v>53.71</v>
      </c>
      <c r="G127">
        <v>200000</v>
      </c>
      <c r="H127" t="str">
        <f t="shared" si="34"/>
        <v>93015</v>
      </c>
      <c r="I127">
        <v>53.71</v>
      </c>
      <c r="J127">
        <v>21500</v>
      </c>
      <c r="K127">
        <v>1154765</v>
      </c>
      <c r="L127" t="str">
        <f>"0101000008827322"</f>
        <v>0101000008827322</v>
      </c>
      <c r="M127" t="str">
        <f t="shared" si="35"/>
        <v>0604291857</v>
      </c>
      <c r="N127" t="str">
        <f t="shared" si="25"/>
        <v>普通成交</v>
      </c>
      <c r="O127" t="s">
        <v>1</v>
      </c>
    </row>
    <row r="128" spans="1:15" x14ac:dyDescent="0.15">
      <c r="A128" t="str">
        <f t="shared" si="24"/>
        <v>20161223</v>
      </c>
      <c r="B128" t="str">
        <f>"13:51:36"</f>
        <v>13:51:36</v>
      </c>
      <c r="C128" t="str">
        <f t="shared" si="31"/>
        <v>300017</v>
      </c>
      <c r="D128" t="str">
        <f t="shared" si="32"/>
        <v>网宿科技</v>
      </c>
      <c r="E128" t="str">
        <f t="shared" si="33"/>
        <v>融资买入</v>
      </c>
      <c r="F128">
        <v>53.71</v>
      </c>
      <c r="G128">
        <v>200000</v>
      </c>
      <c r="H128" t="str">
        <f t="shared" si="34"/>
        <v>93015</v>
      </c>
      <c r="I128">
        <v>53.71</v>
      </c>
      <c r="J128">
        <v>3000</v>
      </c>
      <c r="K128">
        <v>161130</v>
      </c>
      <c r="L128" t="str">
        <f>"0101000008831623"</f>
        <v>0101000008831623</v>
      </c>
      <c r="M128" t="str">
        <f t="shared" si="35"/>
        <v>0604291857</v>
      </c>
      <c r="N128" t="str">
        <f t="shared" si="25"/>
        <v>普通成交</v>
      </c>
      <c r="O128" t="s">
        <v>1</v>
      </c>
    </row>
    <row r="129" spans="1:15" x14ac:dyDescent="0.15">
      <c r="A129" t="str">
        <f t="shared" si="24"/>
        <v>20161223</v>
      </c>
      <c r="B129" t="str">
        <f>"13:51:44"</f>
        <v>13:51:44</v>
      </c>
      <c r="C129" t="str">
        <f t="shared" si="31"/>
        <v>300017</v>
      </c>
      <c r="D129" t="str">
        <f t="shared" si="32"/>
        <v>网宿科技</v>
      </c>
      <c r="E129" t="str">
        <f t="shared" si="33"/>
        <v>融资买入</v>
      </c>
      <c r="F129">
        <v>53.71</v>
      </c>
      <c r="G129">
        <v>200000</v>
      </c>
      <c r="H129" t="str">
        <f t="shared" si="34"/>
        <v>93015</v>
      </c>
      <c r="I129">
        <v>53.71</v>
      </c>
      <c r="J129">
        <v>1100</v>
      </c>
      <c r="K129">
        <v>59081</v>
      </c>
      <c r="L129" t="str">
        <f>"0101000008837375"</f>
        <v>0101000008837375</v>
      </c>
      <c r="M129" t="str">
        <f t="shared" si="35"/>
        <v>0604291857</v>
      </c>
      <c r="N129" t="str">
        <f t="shared" si="25"/>
        <v>普通成交</v>
      </c>
      <c r="O129" t="s">
        <v>1</v>
      </c>
    </row>
    <row r="130" spans="1:15" x14ac:dyDescent="0.15">
      <c r="A130" t="str">
        <f t="shared" ref="A130:A161" si="36">"20161223"</f>
        <v>20161223</v>
      </c>
      <c r="B130" t="str">
        <f>"13:51:50"</f>
        <v>13:51:50</v>
      </c>
      <c r="C130" t="str">
        <f t="shared" si="31"/>
        <v>300017</v>
      </c>
      <c r="D130" t="str">
        <f t="shared" si="32"/>
        <v>网宿科技</v>
      </c>
      <c r="E130" t="str">
        <f t="shared" si="33"/>
        <v>融资买入</v>
      </c>
      <c r="F130">
        <v>53.71</v>
      </c>
      <c r="G130">
        <v>200000</v>
      </c>
      <c r="H130" t="str">
        <f t="shared" si="34"/>
        <v>93015</v>
      </c>
      <c r="I130">
        <v>53.71</v>
      </c>
      <c r="J130">
        <v>100</v>
      </c>
      <c r="K130">
        <v>5371</v>
      </c>
      <c r="L130" t="str">
        <f>"0101000008841870"</f>
        <v>0101000008841870</v>
      </c>
      <c r="M130" t="str">
        <f t="shared" si="35"/>
        <v>0604291857</v>
      </c>
      <c r="N130" t="str">
        <f t="shared" ref="N130:N161" si="37">"普通成交"</f>
        <v>普通成交</v>
      </c>
      <c r="O130" t="s">
        <v>1</v>
      </c>
    </row>
    <row r="131" spans="1:15" x14ac:dyDescent="0.15">
      <c r="A131" t="str">
        <f t="shared" si="36"/>
        <v>20161223</v>
      </c>
      <c r="B131" t="str">
        <f>"13:52:02"</f>
        <v>13:52:02</v>
      </c>
      <c r="C131" t="str">
        <f t="shared" si="31"/>
        <v>300017</v>
      </c>
      <c r="D131" t="str">
        <f t="shared" si="32"/>
        <v>网宿科技</v>
      </c>
      <c r="E131" t="str">
        <f t="shared" si="33"/>
        <v>融资买入</v>
      </c>
      <c r="F131">
        <v>53.71</v>
      </c>
      <c r="G131">
        <v>200000</v>
      </c>
      <c r="H131" t="str">
        <f t="shared" si="34"/>
        <v>93015</v>
      </c>
      <c r="I131">
        <v>53.71</v>
      </c>
      <c r="J131">
        <v>300</v>
      </c>
      <c r="K131">
        <v>16113</v>
      </c>
      <c r="L131" t="str">
        <f>"0101000008849547"</f>
        <v>0101000008849547</v>
      </c>
      <c r="M131" t="str">
        <f t="shared" si="35"/>
        <v>0604291857</v>
      </c>
      <c r="N131" t="str">
        <f t="shared" si="37"/>
        <v>普通成交</v>
      </c>
      <c r="O131" t="s">
        <v>1</v>
      </c>
    </row>
    <row r="132" spans="1:15" x14ac:dyDescent="0.15">
      <c r="A132" t="str">
        <f t="shared" si="36"/>
        <v>20161223</v>
      </c>
      <c r="B132" t="str">
        <f>"13:52:24"</f>
        <v>13:52:24</v>
      </c>
      <c r="C132" t="str">
        <f t="shared" si="31"/>
        <v>300017</v>
      </c>
      <c r="D132" t="str">
        <f t="shared" si="32"/>
        <v>网宿科技</v>
      </c>
      <c r="E132" t="str">
        <f t="shared" si="33"/>
        <v>融资买入</v>
      </c>
      <c r="F132">
        <v>53.71</v>
      </c>
      <c r="G132">
        <v>200000</v>
      </c>
      <c r="H132" t="str">
        <f t="shared" si="34"/>
        <v>93015</v>
      </c>
      <c r="I132">
        <v>53.71</v>
      </c>
      <c r="J132">
        <v>511</v>
      </c>
      <c r="K132">
        <v>27445.81</v>
      </c>
      <c r="L132" t="str">
        <f>"0101000008863618"</f>
        <v>0101000008863618</v>
      </c>
      <c r="M132" t="str">
        <f t="shared" si="35"/>
        <v>0604291857</v>
      </c>
      <c r="N132" t="str">
        <f t="shared" si="37"/>
        <v>普通成交</v>
      </c>
      <c r="O132" t="s">
        <v>1</v>
      </c>
    </row>
    <row r="133" spans="1:15" x14ac:dyDescent="0.15">
      <c r="A133" t="str">
        <f t="shared" si="36"/>
        <v>20161223</v>
      </c>
      <c r="B133" t="str">
        <f>"13:52:32"</f>
        <v>13:52:32</v>
      </c>
      <c r="C133" t="str">
        <f t="shared" si="31"/>
        <v>300017</v>
      </c>
      <c r="D133" t="str">
        <f t="shared" si="32"/>
        <v>网宿科技</v>
      </c>
      <c r="E133" t="str">
        <f t="shared" si="33"/>
        <v>融资买入</v>
      </c>
      <c r="F133">
        <v>53.71</v>
      </c>
      <c r="G133">
        <v>200000</v>
      </c>
      <c r="H133" t="str">
        <f t="shared" si="34"/>
        <v>93015</v>
      </c>
      <c r="I133">
        <v>53.71</v>
      </c>
      <c r="J133">
        <v>600</v>
      </c>
      <c r="K133">
        <v>32226</v>
      </c>
      <c r="L133" t="str">
        <f>"0101000008868705"</f>
        <v>0101000008868705</v>
      </c>
      <c r="M133" t="str">
        <f t="shared" si="35"/>
        <v>0604291857</v>
      </c>
      <c r="N133" t="str">
        <f t="shared" si="37"/>
        <v>普通成交</v>
      </c>
      <c r="O133" t="s">
        <v>1</v>
      </c>
    </row>
    <row r="134" spans="1:15" x14ac:dyDescent="0.15">
      <c r="A134" t="str">
        <f t="shared" si="36"/>
        <v>20161223</v>
      </c>
      <c r="B134" t="str">
        <f>"13:52:50"</f>
        <v>13:52:50</v>
      </c>
      <c r="C134" t="str">
        <f t="shared" si="31"/>
        <v>300017</v>
      </c>
      <c r="D134" t="str">
        <f t="shared" si="32"/>
        <v>网宿科技</v>
      </c>
      <c r="E134" t="str">
        <f t="shared" si="33"/>
        <v>融资买入</v>
      </c>
      <c r="F134">
        <v>53.71</v>
      </c>
      <c r="G134">
        <v>200000</v>
      </c>
      <c r="H134" t="str">
        <f t="shared" si="34"/>
        <v>93015</v>
      </c>
      <c r="I134">
        <v>53.71</v>
      </c>
      <c r="J134">
        <v>600</v>
      </c>
      <c r="K134">
        <v>32226</v>
      </c>
      <c r="L134" t="str">
        <f>"0101000008880616"</f>
        <v>0101000008880616</v>
      </c>
      <c r="M134" t="str">
        <f t="shared" si="35"/>
        <v>0604291857</v>
      </c>
      <c r="N134" t="str">
        <f t="shared" si="37"/>
        <v>普通成交</v>
      </c>
      <c r="O134" t="s">
        <v>1</v>
      </c>
    </row>
    <row r="135" spans="1:15" x14ac:dyDescent="0.15">
      <c r="A135" t="str">
        <f t="shared" si="36"/>
        <v>20161223</v>
      </c>
      <c r="B135" t="str">
        <f>"13:52:51"</f>
        <v>13:52:51</v>
      </c>
      <c r="C135" t="str">
        <f t="shared" si="31"/>
        <v>300017</v>
      </c>
      <c r="D135" t="str">
        <f t="shared" si="32"/>
        <v>网宿科技</v>
      </c>
      <c r="E135" t="str">
        <f t="shared" si="33"/>
        <v>融资买入</v>
      </c>
      <c r="F135">
        <v>53.71</v>
      </c>
      <c r="G135">
        <v>200000</v>
      </c>
      <c r="H135" t="str">
        <f t="shared" si="34"/>
        <v>93015</v>
      </c>
      <c r="I135">
        <v>53.71</v>
      </c>
      <c r="J135">
        <v>1000</v>
      </c>
      <c r="K135">
        <v>53710</v>
      </c>
      <c r="L135" t="str">
        <f>"0101000008881462"</f>
        <v>0101000008881462</v>
      </c>
      <c r="M135" t="str">
        <f t="shared" si="35"/>
        <v>0604291857</v>
      </c>
      <c r="N135" t="str">
        <f t="shared" si="37"/>
        <v>普通成交</v>
      </c>
      <c r="O135" t="s">
        <v>1</v>
      </c>
    </row>
    <row r="136" spans="1:15" x14ac:dyDescent="0.15">
      <c r="A136" t="str">
        <f t="shared" si="36"/>
        <v>20161223</v>
      </c>
      <c r="B136" t="str">
        <f>"13:52:52"</f>
        <v>13:52:52</v>
      </c>
      <c r="C136" t="str">
        <f t="shared" si="31"/>
        <v>300017</v>
      </c>
      <c r="D136" t="str">
        <f t="shared" si="32"/>
        <v>网宿科技</v>
      </c>
      <c r="E136" t="str">
        <f t="shared" si="33"/>
        <v>融资买入</v>
      </c>
      <c r="F136">
        <v>53.71</v>
      </c>
      <c r="G136">
        <v>200000</v>
      </c>
      <c r="H136" t="str">
        <f t="shared" si="34"/>
        <v>93015</v>
      </c>
      <c r="I136">
        <v>53.71</v>
      </c>
      <c r="J136">
        <v>6500</v>
      </c>
      <c r="K136">
        <v>349115</v>
      </c>
      <c r="L136" t="str">
        <f>"0101000008881777"</f>
        <v>0101000008881777</v>
      </c>
      <c r="M136" t="str">
        <f t="shared" si="35"/>
        <v>0604291857</v>
      </c>
      <c r="N136" t="str">
        <f t="shared" si="37"/>
        <v>普通成交</v>
      </c>
      <c r="O136" t="s">
        <v>1</v>
      </c>
    </row>
    <row r="137" spans="1:15" x14ac:dyDescent="0.15">
      <c r="A137" t="str">
        <f t="shared" si="36"/>
        <v>20161223</v>
      </c>
      <c r="B137" t="str">
        <f>"13:53:01"</f>
        <v>13:53:01</v>
      </c>
      <c r="C137" t="str">
        <f t="shared" si="31"/>
        <v>300017</v>
      </c>
      <c r="D137" t="str">
        <f t="shared" si="32"/>
        <v>网宿科技</v>
      </c>
      <c r="E137" t="str">
        <f t="shared" si="33"/>
        <v>融资买入</v>
      </c>
      <c r="F137">
        <v>53.71</v>
      </c>
      <c r="G137">
        <v>200000</v>
      </c>
      <c r="H137" t="str">
        <f t="shared" si="34"/>
        <v>93015</v>
      </c>
      <c r="I137">
        <v>53.71</v>
      </c>
      <c r="J137">
        <v>100</v>
      </c>
      <c r="K137">
        <v>5371</v>
      </c>
      <c r="L137" t="str">
        <f>"0101000008887952"</f>
        <v>0101000008887952</v>
      </c>
      <c r="M137" t="str">
        <f t="shared" si="35"/>
        <v>0604291857</v>
      </c>
      <c r="N137" t="str">
        <f t="shared" si="37"/>
        <v>普通成交</v>
      </c>
      <c r="O137" t="s">
        <v>1</v>
      </c>
    </row>
    <row r="138" spans="1:15" x14ac:dyDescent="0.15">
      <c r="A138" t="str">
        <f t="shared" si="36"/>
        <v>20161223</v>
      </c>
      <c r="B138" t="str">
        <f>"13:53:01"</f>
        <v>13:53:01</v>
      </c>
      <c r="C138" t="str">
        <f t="shared" si="31"/>
        <v>300017</v>
      </c>
      <c r="D138" t="str">
        <f t="shared" si="32"/>
        <v>网宿科技</v>
      </c>
      <c r="E138" t="str">
        <f t="shared" si="33"/>
        <v>融资买入</v>
      </c>
      <c r="F138">
        <v>53.71</v>
      </c>
      <c r="G138">
        <v>200000</v>
      </c>
      <c r="H138" t="str">
        <f t="shared" si="34"/>
        <v>93015</v>
      </c>
      <c r="I138">
        <v>53.71</v>
      </c>
      <c r="J138">
        <v>600</v>
      </c>
      <c r="K138">
        <v>32226</v>
      </c>
      <c r="L138" t="str">
        <f>"0101000008888029"</f>
        <v>0101000008888029</v>
      </c>
      <c r="M138" t="str">
        <f t="shared" si="35"/>
        <v>0604291857</v>
      </c>
      <c r="N138" t="str">
        <f t="shared" si="37"/>
        <v>普通成交</v>
      </c>
      <c r="O138" t="s">
        <v>1</v>
      </c>
    </row>
    <row r="139" spans="1:15" x14ac:dyDescent="0.15">
      <c r="A139" t="str">
        <f t="shared" si="36"/>
        <v>20161223</v>
      </c>
      <c r="B139" t="str">
        <f>"13:53:10"</f>
        <v>13:53:10</v>
      </c>
      <c r="C139" t="str">
        <f t="shared" si="31"/>
        <v>300017</v>
      </c>
      <c r="D139" t="str">
        <f t="shared" si="32"/>
        <v>网宿科技</v>
      </c>
      <c r="E139" t="str">
        <f t="shared" si="33"/>
        <v>融资买入</v>
      </c>
      <c r="F139">
        <v>53.71</v>
      </c>
      <c r="G139">
        <v>200000</v>
      </c>
      <c r="H139" t="str">
        <f t="shared" si="34"/>
        <v>93015</v>
      </c>
      <c r="I139">
        <v>53.71</v>
      </c>
      <c r="J139">
        <v>2178</v>
      </c>
      <c r="K139">
        <v>116980.38</v>
      </c>
      <c r="L139" t="str">
        <f>"0101000008893700"</f>
        <v>0101000008893700</v>
      </c>
      <c r="M139" t="str">
        <f t="shared" si="35"/>
        <v>0604291857</v>
      </c>
      <c r="N139" t="str">
        <f t="shared" si="37"/>
        <v>普通成交</v>
      </c>
      <c r="O139" t="s">
        <v>1</v>
      </c>
    </row>
    <row r="140" spans="1:15" x14ac:dyDescent="0.15">
      <c r="A140" t="str">
        <f t="shared" si="36"/>
        <v>20161223</v>
      </c>
      <c r="B140" t="str">
        <f>"14:00:05"</f>
        <v>14:00:05</v>
      </c>
      <c r="C140" t="str">
        <f t="shared" ref="C140:C155" si="38">"603727"</f>
        <v>603727</v>
      </c>
      <c r="D140" t="str">
        <f t="shared" ref="D140:D155" si="39">"博迈科"</f>
        <v>博迈科</v>
      </c>
      <c r="E140" t="str">
        <f>"普通买入"</f>
        <v>普通买入</v>
      </c>
      <c r="F140">
        <v>48.06</v>
      </c>
      <c r="G140">
        <v>2000</v>
      </c>
      <c r="H140" t="str">
        <f>"111396"</f>
        <v>111396</v>
      </c>
      <c r="I140">
        <v>48.04</v>
      </c>
      <c r="J140">
        <v>795</v>
      </c>
      <c r="K140">
        <v>38191.800000000003</v>
      </c>
      <c r="L140" t="str">
        <f>"7259479"</f>
        <v>7259479</v>
      </c>
      <c r="M140" t="str">
        <f t="shared" ref="M140:M155" si="40">"E042902565"</f>
        <v>E042902565</v>
      </c>
      <c r="N140" t="str">
        <f t="shared" si="37"/>
        <v>普通成交</v>
      </c>
      <c r="O140" t="s">
        <v>1</v>
      </c>
    </row>
    <row r="141" spans="1:15" x14ac:dyDescent="0.15">
      <c r="A141" t="str">
        <f t="shared" si="36"/>
        <v>20161223</v>
      </c>
      <c r="B141" t="str">
        <f>"14:00:05"</f>
        <v>14:00:05</v>
      </c>
      <c r="C141" t="str">
        <f t="shared" si="38"/>
        <v>603727</v>
      </c>
      <c r="D141" t="str">
        <f t="shared" si="39"/>
        <v>博迈科</v>
      </c>
      <c r="E141" t="str">
        <f>"普通买入"</f>
        <v>普通买入</v>
      </c>
      <c r="F141">
        <v>48.06</v>
      </c>
      <c r="G141">
        <v>2000</v>
      </c>
      <c r="H141" t="str">
        <f>"111396"</f>
        <v>111396</v>
      </c>
      <c r="I141">
        <v>48.05</v>
      </c>
      <c r="J141">
        <v>200</v>
      </c>
      <c r="K141">
        <v>9610</v>
      </c>
      <c r="L141" t="str">
        <f>"7259480"</f>
        <v>7259480</v>
      </c>
      <c r="M141" t="str">
        <f t="shared" si="40"/>
        <v>E042902565</v>
      </c>
      <c r="N141" t="str">
        <f t="shared" si="37"/>
        <v>普通成交</v>
      </c>
      <c r="O141" t="s">
        <v>1</v>
      </c>
    </row>
    <row r="142" spans="1:15" x14ac:dyDescent="0.15">
      <c r="A142" t="str">
        <f t="shared" si="36"/>
        <v>20161223</v>
      </c>
      <c r="B142" t="str">
        <f>"14:00:05"</f>
        <v>14:00:05</v>
      </c>
      <c r="C142" t="str">
        <f t="shared" si="38"/>
        <v>603727</v>
      </c>
      <c r="D142" t="str">
        <f t="shared" si="39"/>
        <v>博迈科</v>
      </c>
      <c r="E142" t="str">
        <f>"普通买入"</f>
        <v>普通买入</v>
      </c>
      <c r="F142">
        <v>48.06</v>
      </c>
      <c r="G142">
        <v>2000</v>
      </c>
      <c r="H142" t="str">
        <f>"111396"</f>
        <v>111396</v>
      </c>
      <c r="I142">
        <v>48.06</v>
      </c>
      <c r="J142">
        <v>1005</v>
      </c>
      <c r="K142">
        <v>48300.3</v>
      </c>
      <c r="L142" t="str">
        <f>"7259482"</f>
        <v>7259482</v>
      </c>
      <c r="M142" t="str">
        <f t="shared" si="40"/>
        <v>E042902565</v>
      </c>
      <c r="N142" t="str">
        <f t="shared" si="37"/>
        <v>普通成交</v>
      </c>
      <c r="O142" t="s">
        <v>1</v>
      </c>
    </row>
    <row r="143" spans="1:15" x14ac:dyDescent="0.15">
      <c r="A143" t="str">
        <f t="shared" si="36"/>
        <v>20161223</v>
      </c>
      <c r="B143" t="str">
        <f>"14:07:00"</f>
        <v>14:07:00</v>
      </c>
      <c r="C143" t="str">
        <f t="shared" si="38"/>
        <v>603727</v>
      </c>
      <c r="D143" t="str">
        <f t="shared" si="39"/>
        <v>博迈科</v>
      </c>
      <c r="E143" t="str">
        <f>"普通卖出"</f>
        <v>普通卖出</v>
      </c>
      <c r="F143">
        <v>48.43</v>
      </c>
      <c r="G143">
        <v>2000</v>
      </c>
      <c r="H143" t="str">
        <f>"114239"</f>
        <v>114239</v>
      </c>
      <c r="I143">
        <v>48.43</v>
      </c>
      <c r="J143">
        <v>600</v>
      </c>
      <c r="K143">
        <v>29058</v>
      </c>
      <c r="L143" t="str">
        <f>"7476925"</f>
        <v>7476925</v>
      </c>
      <c r="M143" t="str">
        <f t="shared" si="40"/>
        <v>E042902565</v>
      </c>
      <c r="N143" t="str">
        <f t="shared" si="37"/>
        <v>普通成交</v>
      </c>
      <c r="O143" t="s">
        <v>1</v>
      </c>
    </row>
    <row r="144" spans="1:15" x14ac:dyDescent="0.15">
      <c r="A144" t="str">
        <f t="shared" si="36"/>
        <v>20161223</v>
      </c>
      <c r="B144" t="str">
        <f>"14:07:01"</f>
        <v>14:07:01</v>
      </c>
      <c r="C144" t="str">
        <f t="shared" si="38"/>
        <v>603727</v>
      </c>
      <c r="D144" t="str">
        <f t="shared" si="39"/>
        <v>博迈科</v>
      </c>
      <c r="E144" t="str">
        <f>"普通卖出"</f>
        <v>普通卖出</v>
      </c>
      <c r="F144">
        <v>48.43</v>
      </c>
      <c r="G144">
        <v>2000</v>
      </c>
      <c r="H144" t="str">
        <f>"114239"</f>
        <v>114239</v>
      </c>
      <c r="I144">
        <v>48.43</v>
      </c>
      <c r="J144">
        <v>1400</v>
      </c>
      <c r="K144">
        <v>67802</v>
      </c>
      <c r="L144" t="str">
        <f>"7477636"</f>
        <v>7477636</v>
      </c>
      <c r="M144" t="str">
        <f t="shared" si="40"/>
        <v>E042902565</v>
      </c>
      <c r="N144" t="str">
        <f t="shared" si="37"/>
        <v>普通成交</v>
      </c>
      <c r="O144" t="s">
        <v>1</v>
      </c>
    </row>
    <row r="145" spans="1:15" x14ac:dyDescent="0.15">
      <c r="A145" t="str">
        <f t="shared" si="36"/>
        <v>20161223</v>
      </c>
      <c r="B145" t="str">
        <f>"14:26:41"</f>
        <v>14:26:41</v>
      </c>
      <c r="C145" t="str">
        <f t="shared" si="38"/>
        <v>603727</v>
      </c>
      <c r="D145" t="str">
        <f t="shared" si="39"/>
        <v>博迈科</v>
      </c>
      <c r="E145" t="str">
        <f>"普通买入"</f>
        <v>普通买入</v>
      </c>
      <c r="F145">
        <v>47.75</v>
      </c>
      <c r="G145">
        <v>2000</v>
      </c>
      <c r="H145" t="str">
        <f>"121511"</f>
        <v>121511</v>
      </c>
      <c r="I145">
        <v>47.75</v>
      </c>
      <c r="J145">
        <v>100</v>
      </c>
      <c r="K145">
        <v>4775</v>
      </c>
      <c r="L145" t="str">
        <f>"8219916"</f>
        <v>8219916</v>
      </c>
      <c r="M145" t="str">
        <f t="shared" si="40"/>
        <v>E042902565</v>
      </c>
      <c r="N145" t="str">
        <f t="shared" si="37"/>
        <v>普通成交</v>
      </c>
      <c r="O145" t="s">
        <v>1</v>
      </c>
    </row>
    <row r="146" spans="1:15" x14ac:dyDescent="0.15">
      <c r="A146" t="str">
        <f t="shared" si="36"/>
        <v>20161223</v>
      </c>
      <c r="B146" t="str">
        <f>"14:26:42"</f>
        <v>14:26:42</v>
      </c>
      <c r="C146" t="str">
        <f t="shared" si="38"/>
        <v>603727</v>
      </c>
      <c r="D146" t="str">
        <f t="shared" si="39"/>
        <v>博迈科</v>
      </c>
      <c r="E146" t="str">
        <f>"普通买入"</f>
        <v>普通买入</v>
      </c>
      <c r="F146">
        <v>47.75</v>
      </c>
      <c r="G146">
        <v>2000</v>
      </c>
      <c r="H146" t="str">
        <f>"121511"</f>
        <v>121511</v>
      </c>
      <c r="I146">
        <v>47.75</v>
      </c>
      <c r="J146">
        <v>1000</v>
      </c>
      <c r="K146">
        <v>47750</v>
      </c>
      <c r="L146" t="str">
        <f>"8220140"</f>
        <v>8220140</v>
      </c>
      <c r="M146" t="str">
        <f t="shared" si="40"/>
        <v>E042902565</v>
      </c>
      <c r="N146" t="str">
        <f t="shared" si="37"/>
        <v>普通成交</v>
      </c>
      <c r="O146" t="s">
        <v>1</v>
      </c>
    </row>
    <row r="147" spans="1:15" x14ac:dyDescent="0.15">
      <c r="A147" t="str">
        <f t="shared" si="36"/>
        <v>20161223</v>
      </c>
      <c r="B147" t="str">
        <f>"14:26:44"</f>
        <v>14:26:44</v>
      </c>
      <c r="C147" t="str">
        <f t="shared" si="38"/>
        <v>603727</v>
      </c>
      <c r="D147" t="str">
        <f t="shared" si="39"/>
        <v>博迈科</v>
      </c>
      <c r="E147" t="str">
        <f>"普通买入"</f>
        <v>普通买入</v>
      </c>
      <c r="F147">
        <v>47.75</v>
      </c>
      <c r="G147">
        <v>2000</v>
      </c>
      <c r="H147" t="str">
        <f>"121511"</f>
        <v>121511</v>
      </c>
      <c r="I147">
        <v>47.75</v>
      </c>
      <c r="J147">
        <v>900</v>
      </c>
      <c r="K147">
        <v>42975</v>
      </c>
      <c r="L147" t="str">
        <f>"8221606"</f>
        <v>8221606</v>
      </c>
      <c r="M147" t="str">
        <f t="shared" si="40"/>
        <v>E042902565</v>
      </c>
      <c r="N147" t="str">
        <f t="shared" si="37"/>
        <v>普通成交</v>
      </c>
      <c r="O147" t="s">
        <v>1</v>
      </c>
    </row>
    <row r="148" spans="1:15" x14ac:dyDescent="0.15">
      <c r="A148" t="str">
        <f t="shared" si="36"/>
        <v>20161223</v>
      </c>
      <c r="B148" t="str">
        <f>"14:29:22"</f>
        <v>14:29:22</v>
      </c>
      <c r="C148" t="str">
        <f t="shared" si="38"/>
        <v>603727</v>
      </c>
      <c r="D148" t="str">
        <f t="shared" si="39"/>
        <v>博迈科</v>
      </c>
      <c r="E148" t="str">
        <f>"普通卖出"</f>
        <v>普通卖出</v>
      </c>
      <c r="F148">
        <v>47.93</v>
      </c>
      <c r="G148">
        <v>2000</v>
      </c>
      <c r="H148" t="str">
        <f>"122507"</f>
        <v>122507</v>
      </c>
      <c r="I148">
        <v>47.95</v>
      </c>
      <c r="J148">
        <v>1500</v>
      </c>
      <c r="K148">
        <v>71925</v>
      </c>
      <c r="L148" t="str">
        <f>"8304714"</f>
        <v>8304714</v>
      </c>
      <c r="M148" t="str">
        <f t="shared" si="40"/>
        <v>E042902565</v>
      </c>
      <c r="N148" t="str">
        <f t="shared" si="37"/>
        <v>普通成交</v>
      </c>
      <c r="O148" t="s">
        <v>1</v>
      </c>
    </row>
    <row r="149" spans="1:15" x14ac:dyDescent="0.15">
      <c r="A149" t="str">
        <f t="shared" si="36"/>
        <v>20161223</v>
      </c>
      <c r="B149" t="str">
        <f>"14:29:22"</f>
        <v>14:29:22</v>
      </c>
      <c r="C149" t="str">
        <f t="shared" si="38"/>
        <v>603727</v>
      </c>
      <c r="D149" t="str">
        <f t="shared" si="39"/>
        <v>博迈科</v>
      </c>
      <c r="E149" t="str">
        <f>"普通卖出"</f>
        <v>普通卖出</v>
      </c>
      <c r="F149">
        <v>47.93</v>
      </c>
      <c r="G149">
        <v>2000</v>
      </c>
      <c r="H149" t="str">
        <f>"122507"</f>
        <v>122507</v>
      </c>
      <c r="I149">
        <v>47.93</v>
      </c>
      <c r="J149">
        <v>500</v>
      </c>
      <c r="K149">
        <v>23965</v>
      </c>
      <c r="L149" t="str">
        <f>"8304715"</f>
        <v>8304715</v>
      </c>
      <c r="M149" t="str">
        <f t="shared" si="40"/>
        <v>E042902565</v>
      </c>
      <c r="N149" t="str">
        <f t="shared" si="37"/>
        <v>普通成交</v>
      </c>
      <c r="O149" t="s">
        <v>1</v>
      </c>
    </row>
    <row r="150" spans="1:15" x14ac:dyDescent="0.15">
      <c r="A150" t="str">
        <f t="shared" si="36"/>
        <v>20161223</v>
      </c>
      <c r="B150" t="str">
        <f>"14:36:54"</f>
        <v>14:36:54</v>
      </c>
      <c r="C150" t="str">
        <f t="shared" si="38"/>
        <v>603727</v>
      </c>
      <c r="D150" t="str">
        <f t="shared" si="39"/>
        <v>博迈科</v>
      </c>
      <c r="E150" t="str">
        <f>"普通买入"</f>
        <v>普通买入</v>
      </c>
      <c r="F150">
        <v>48.08</v>
      </c>
      <c r="G150">
        <v>3000</v>
      </c>
      <c r="H150" t="str">
        <f>"125359"</f>
        <v>125359</v>
      </c>
      <c r="I150">
        <v>48.08</v>
      </c>
      <c r="J150">
        <v>800</v>
      </c>
      <c r="K150">
        <v>38464</v>
      </c>
      <c r="L150" t="str">
        <f>"8558831"</f>
        <v>8558831</v>
      </c>
      <c r="M150" t="str">
        <f t="shared" si="40"/>
        <v>E042902565</v>
      </c>
      <c r="N150" t="str">
        <f t="shared" si="37"/>
        <v>普通成交</v>
      </c>
      <c r="O150" t="s">
        <v>1</v>
      </c>
    </row>
    <row r="151" spans="1:15" x14ac:dyDescent="0.15">
      <c r="A151" t="str">
        <f t="shared" si="36"/>
        <v>20161223</v>
      </c>
      <c r="B151" t="str">
        <f>"14:36:54"</f>
        <v>14:36:54</v>
      </c>
      <c r="C151" t="str">
        <f t="shared" si="38"/>
        <v>603727</v>
      </c>
      <c r="D151" t="str">
        <f t="shared" si="39"/>
        <v>博迈科</v>
      </c>
      <c r="E151" t="str">
        <f>"普通买入"</f>
        <v>普通买入</v>
      </c>
      <c r="F151">
        <v>48.08</v>
      </c>
      <c r="G151">
        <v>3000</v>
      </c>
      <c r="H151" t="str">
        <f>"125359"</f>
        <v>125359</v>
      </c>
      <c r="I151">
        <v>48.08</v>
      </c>
      <c r="J151">
        <v>1100</v>
      </c>
      <c r="K151">
        <v>52888</v>
      </c>
      <c r="L151" t="str">
        <f>"8558832"</f>
        <v>8558832</v>
      </c>
      <c r="M151" t="str">
        <f t="shared" si="40"/>
        <v>E042902565</v>
      </c>
      <c r="N151" t="str">
        <f t="shared" si="37"/>
        <v>普通成交</v>
      </c>
      <c r="O151" t="s">
        <v>1</v>
      </c>
    </row>
    <row r="152" spans="1:15" x14ac:dyDescent="0.15">
      <c r="A152" t="str">
        <f t="shared" si="36"/>
        <v>20161223</v>
      </c>
      <c r="B152" t="str">
        <f>"14:36:55"</f>
        <v>14:36:55</v>
      </c>
      <c r="C152" t="str">
        <f t="shared" si="38"/>
        <v>603727</v>
      </c>
      <c r="D152" t="str">
        <f t="shared" si="39"/>
        <v>博迈科</v>
      </c>
      <c r="E152" t="str">
        <f>"普通买入"</f>
        <v>普通买入</v>
      </c>
      <c r="F152">
        <v>48.08</v>
      </c>
      <c r="G152">
        <v>3000</v>
      </c>
      <c r="H152" t="str">
        <f>"125359"</f>
        <v>125359</v>
      </c>
      <c r="I152">
        <v>48.08</v>
      </c>
      <c r="J152">
        <v>500</v>
      </c>
      <c r="K152">
        <v>24040</v>
      </c>
      <c r="L152" t="str">
        <f>"8559763"</f>
        <v>8559763</v>
      </c>
      <c r="M152" t="str">
        <f t="shared" si="40"/>
        <v>E042902565</v>
      </c>
      <c r="N152" t="str">
        <f t="shared" si="37"/>
        <v>普通成交</v>
      </c>
      <c r="O152" t="s">
        <v>1</v>
      </c>
    </row>
    <row r="153" spans="1:15" x14ac:dyDescent="0.15">
      <c r="A153" t="str">
        <f t="shared" si="36"/>
        <v>20161223</v>
      </c>
      <c r="B153" t="str">
        <f>"14:37:01"</f>
        <v>14:37:01</v>
      </c>
      <c r="C153" t="str">
        <f t="shared" si="38"/>
        <v>603727</v>
      </c>
      <c r="D153" t="str">
        <f t="shared" si="39"/>
        <v>博迈科</v>
      </c>
      <c r="E153" t="str">
        <f>"普通买入"</f>
        <v>普通买入</v>
      </c>
      <c r="F153">
        <v>48.08</v>
      </c>
      <c r="G153">
        <v>3000</v>
      </c>
      <c r="H153" t="str">
        <f>"125359"</f>
        <v>125359</v>
      </c>
      <c r="I153">
        <v>48.08</v>
      </c>
      <c r="J153">
        <v>600</v>
      </c>
      <c r="K153">
        <v>28848</v>
      </c>
      <c r="L153" t="str">
        <f>"8563994"</f>
        <v>8563994</v>
      </c>
      <c r="M153" t="str">
        <f t="shared" si="40"/>
        <v>E042902565</v>
      </c>
      <c r="N153" t="str">
        <f t="shared" si="37"/>
        <v>普通成交</v>
      </c>
      <c r="O153" t="s">
        <v>1</v>
      </c>
    </row>
    <row r="154" spans="1:15" x14ac:dyDescent="0.15">
      <c r="A154" t="str">
        <f t="shared" si="36"/>
        <v>20161223</v>
      </c>
      <c r="B154" t="str">
        <f>"14:40:36"</f>
        <v>14:40:36</v>
      </c>
      <c r="C154" t="str">
        <f t="shared" si="38"/>
        <v>603727</v>
      </c>
      <c r="D154" t="str">
        <f t="shared" si="39"/>
        <v>博迈科</v>
      </c>
      <c r="E154" t="str">
        <f>"普通卖出"</f>
        <v>普通卖出</v>
      </c>
      <c r="F154">
        <v>48.05</v>
      </c>
      <c r="G154">
        <v>3000</v>
      </c>
      <c r="H154" t="str">
        <f>"126876"</f>
        <v>126876</v>
      </c>
      <c r="I154">
        <v>48.07</v>
      </c>
      <c r="J154">
        <v>700</v>
      </c>
      <c r="K154">
        <v>33649</v>
      </c>
      <c r="L154" t="str">
        <f>"8695588"</f>
        <v>8695588</v>
      </c>
      <c r="M154" t="str">
        <f t="shared" si="40"/>
        <v>E042902565</v>
      </c>
      <c r="N154" t="str">
        <f t="shared" si="37"/>
        <v>普通成交</v>
      </c>
      <c r="O154" t="s">
        <v>1</v>
      </c>
    </row>
    <row r="155" spans="1:15" x14ac:dyDescent="0.15">
      <c r="A155" t="str">
        <f t="shared" si="36"/>
        <v>20161223</v>
      </c>
      <c r="B155" t="str">
        <f>"14:40:36"</f>
        <v>14:40:36</v>
      </c>
      <c r="C155" t="str">
        <f t="shared" si="38"/>
        <v>603727</v>
      </c>
      <c r="D155" t="str">
        <f t="shared" si="39"/>
        <v>博迈科</v>
      </c>
      <c r="E155" t="str">
        <f>"普通卖出"</f>
        <v>普通卖出</v>
      </c>
      <c r="F155">
        <v>48.05</v>
      </c>
      <c r="G155">
        <v>3000</v>
      </c>
      <c r="H155" t="str">
        <f>"126876"</f>
        <v>126876</v>
      </c>
      <c r="I155">
        <v>48.05</v>
      </c>
      <c r="J155">
        <v>2300</v>
      </c>
      <c r="K155">
        <v>110515</v>
      </c>
      <c r="L155" t="str">
        <f>"8695589"</f>
        <v>8695589</v>
      </c>
      <c r="M155" t="str">
        <f t="shared" si="40"/>
        <v>E042902565</v>
      </c>
      <c r="N155" t="str">
        <f t="shared" si="37"/>
        <v>普通成交</v>
      </c>
      <c r="O155" t="s">
        <v>1</v>
      </c>
    </row>
    <row r="156" spans="1:15" x14ac:dyDescent="0.15">
      <c r="A156" t="str">
        <f t="shared" si="36"/>
        <v>20161223</v>
      </c>
      <c r="B156" t="str">
        <f t="shared" ref="B156:B169" si="41">"14:53:24"</f>
        <v>14:53:24</v>
      </c>
      <c r="C156" t="str">
        <f t="shared" ref="C156:C176" si="42">"300017"</f>
        <v>300017</v>
      </c>
      <c r="D156" t="str">
        <f t="shared" ref="D156:D176" si="43">"网宿科技"</f>
        <v>网宿科技</v>
      </c>
      <c r="E156" t="str">
        <f t="shared" ref="E156:E176" si="44">"卖券还款"</f>
        <v>卖券还款</v>
      </c>
      <c r="F156">
        <v>53.6</v>
      </c>
      <c r="G156">
        <v>50000</v>
      </c>
      <c r="H156" t="str">
        <f t="shared" ref="H156:H176" si="45">"132897"</f>
        <v>132897</v>
      </c>
      <c r="I156">
        <v>53.62</v>
      </c>
      <c r="J156">
        <v>14700</v>
      </c>
      <c r="K156">
        <v>788214</v>
      </c>
      <c r="L156" t="str">
        <f>"0101000011691025"</f>
        <v>0101000011691025</v>
      </c>
      <c r="M156" t="str">
        <f t="shared" ref="M156:M176" si="46">"0604291857"</f>
        <v>0604291857</v>
      </c>
      <c r="N156" t="str">
        <f t="shared" si="37"/>
        <v>普通成交</v>
      </c>
      <c r="O156" t="s">
        <v>1</v>
      </c>
    </row>
    <row r="157" spans="1:15" x14ac:dyDescent="0.15">
      <c r="A157" t="str">
        <f t="shared" si="36"/>
        <v>20161223</v>
      </c>
      <c r="B157" t="str">
        <f t="shared" si="41"/>
        <v>14:53:24</v>
      </c>
      <c r="C157" t="str">
        <f t="shared" si="42"/>
        <v>300017</v>
      </c>
      <c r="D157" t="str">
        <f t="shared" si="43"/>
        <v>网宿科技</v>
      </c>
      <c r="E157" t="str">
        <f t="shared" si="44"/>
        <v>卖券还款</v>
      </c>
      <c r="F157">
        <v>53.6</v>
      </c>
      <c r="G157">
        <v>50000</v>
      </c>
      <c r="H157" t="str">
        <f t="shared" si="45"/>
        <v>132897</v>
      </c>
      <c r="I157">
        <v>53.62</v>
      </c>
      <c r="J157">
        <v>100</v>
      </c>
      <c r="K157">
        <v>5362</v>
      </c>
      <c r="L157" t="str">
        <f>"0101000011691027"</f>
        <v>0101000011691027</v>
      </c>
      <c r="M157" t="str">
        <f t="shared" si="46"/>
        <v>0604291857</v>
      </c>
      <c r="N157" t="str">
        <f t="shared" si="37"/>
        <v>普通成交</v>
      </c>
      <c r="O157" t="s">
        <v>1</v>
      </c>
    </row>
    <row r="158" spans="1:15" x14ac:dyDescent="0.15">
      <c r="A158" t="str">
        <f t="shared" si="36"/>
        <v>20161223</v>
      </c>
      <c r="B158" t="str">
        <f t="shared" si="41"/>
        <v>14:53:24</v>
      </c>
      <c r="C158" t="str">
        <f t="shared" si="42"/>
        <v>300017</v>
      </c>
      <c r="D158" t="str">
        <f t="shared" si="43"/>
        <v>网宿科技</v>
      </c>
      <c r="E158" t="str">
        <f t="shared" si="44"/>
        <v>卖券还款</v>
      </c>
      <c r="F158">
        <v>53.6</v>
      </c>
      <c r="G158">
        <v>50000</v>
      </c>
      <c r="H158" t="str">
        <f t="shared" si="45"/>
        <v>132897</v>
      </c>
      <c r="I158">
        <v>53.62</v>
      </c>
      <c r="J158">
        <v>100</v>
      </c>
      <c r="K158">
        <v>5362</v>
      </c>
      <c r="L158" t="str">
        <f>"0101000011691029"</f>
        <v>0101000011691029</v>
      </c>
      <c r="M158" t="str">
        <f t="shared" si="46"/>
        <v>0604291857</v>
      </c>
      <c r="N158" t="str">
        <f t="shared" si="37"/>
        <v>普通成交</v>
      </c>
      <c r="O158" t="s">
        <v>1</v>
      </c>
    </row>
    <row r="159" spans="1:15" x14ac:dyDescent="0.15">
      <c r="A159" t="str">
        <f t="shared" si="36"/>
        <v>20161223</v>
      </c>
      <c r="B159" t="str">
        <f t="shared" si="41"/>
        <v>14:53:24</v>
      </c>
      <c r="C159" t="str">
        <f t="shared" si="42"/>
        <v>300017</v>
      </c>
      <c r="D159" t="str">
        <f t="shared" si="43"/>
        <v>网宿科技</v>
      </c>
      <c r="E159" t="str">
        <f t="shared" si="44"/>
        <v>卖券还款</v>
      </c>
      <c r="F159">
        <v>53.6</v>
      </c>
      <c r="G159">
        <v>50000</v>
      </c>
      <c r="H159" t="str">
        <f t="shared" si="45"/>
        <v>132897</v>
      </c>
      <c r="I159">
        <v>53.62</v>
      </c>
      <c r="J159">
        <v>100</v>
      </c>
      <c r="K159">
        <v>5362</v>
      </c>
      <c r="L159" t="str">
        <f>"0101000011691031"</f>
        <v>0101000011691031</v>
      </c>
      <c r="M159" t="str">
        <f t="shared" si="46"/>
        <v>0604291857</v>
      </c>
      <c r="N159" t="str">
        <f t="shared" si="37"/>
        <v>普通成交</v>
      </c>
      <c r="O159" t="s">
        <v>1</v>
      </c>
    </row>
    <row r="160" spans="1:15" x14ac:dyDescent="0.15">
      <c r="A160" t="str">
        <f t="shared" si="36"/>
        <v>20161223</v>
      </c>
      <c r="B160" t="str">
        <f t="shared" si="41"/>
        <v>14:53:24</v>
      </c>
      <c r="C160" t="str">
        <f t="shared" si="42"/>
        <v>300017</v>
      </c>
      <c r="D160" t="str">
        <f t="shared" si="43"/>
        <v>网宿科技</v>
      </c>
      <c r="E160" t="str">
        <f t="shared" si="44"/>
        <v>卖券还款</v>
      </c>
      <c r="F160">
        <v>53.6</v>
      </c>
      <c r="G160">
        <v>50000</v>
      </c>
      <c r="H160" t="str">
        <f t="shared" si="45"/>
        <v>132897</v>
      </c>
      <c r="I160">
        <v>53.61</v>
      </c>
      <c r="J160">
        <v>100</v>
      </c>
      <c r="K160">
        <v>5361</v>
      </c>
      <c r="L160" t="str">
        <f>"0101000011691033"</f>
        <v>0101000011691033</v>
      </c>
      <c r="M160" t="str">
        <f t="shared" si="46"/>
        <v>0604291857</v>
      </c>
      <c r="N160" t="str">
        <f t="shared" si="37"/>
        <v>普通成交</v>
      </c>
      <c r="O160" t="s">
        <v>1</v>
      </c>
    </row>
    <row r="161" spans="1:15" x14ac:dyDescent="0.15">
      <c r="A161" t="str">
        <f t="shared" si="36"/>
        <v>20161223</v>
      </c>
      <c r="B161" t="str">
        <f t="shared" si="41"/>
        <v>14:53:24</v>
      </c>
      <c r="C161" t="str">
        <f t="shared" si="42"/>
        <v>300017</v>
      </c>
      <c r="D161" t="str">
        <f t="shared" si="43"/>
        <v>网宿科技</v>
      </c>
      <c r="E161" t="str">
        <f t="shared" si="44"/>
        <v>卖券还款</v>
      </c>
      <c r="F161">
        <v>53.6</v>
      </c>
      <c r="G161">
        <v>50000</v>
      </c>
      <c r="H161" t="str">
        <f t="shared" si="45"/>
        <v>132897</v>
      </c>
      <c r="I161">
        <v>53.61</v>
      </c>
      <c r="J161">
        <v>200</v>
      </c>
      <c r="K161">
        <v>10722</v>
      </c>
      <c r="L161" t="str">
        <f>"0101000011691035"</f>
        <v>0101000011691035</v>
      </c>
      <c r="M161" t="str">
        <f t="shared" si="46"/>
        <v>0604291857</v>
      </c>
      <c r="N161" t="str">
        <f t="shared" si="37"/>
        <v>普通成交</v>
      </c>
      <c r="O161" t="s">
        <v>1</v>
      </c>
    </row>
    <row r="162" spans="1:15" x14ac:dyDescent="0.15">
      <c r="A162" t="str">
        <f t="shared" ref="A162:A176" si="47">"20161223"</f>
        <v>20161223</v>
      </c>
      <c r="B162" t="str">
        <f t="shared" si="41"/>
        <v>14:53:24</v>
      </c>
      <c r="C162" t="str">
        <f t="shared" si="42"/>
        <v>300017</v>
      </c>
      <c r="D162" t="str">
        <f t="shared" si="43"/>
        <v>网宿科技</v>
      </c>
      <c r="E162" t="str">
        <f t="shared" si="44"/>
        <v>卖券还款</v>
      </c>
      <c r="F162">
        <v>53.6</v>
      </c>
      <c r="G162">
        <v>50000</v>
      </c>
      <c r="H162" t="str">
        <f t="shared" si="45"/>
        <v>132897</v>
      </c>
      <c r="I162">
        <v>53.61</v>
      </c>
      <c r="J162">
        <v>200</v>
      </c>
      <c r="K162">
        <v>10722</v>
      </c>
      <c r="L162" t="str">
        <f>"0101000011691037"</f>
        <v>0101000011691037</v>
      </c>
      <c r="M162" t="str">
        <f t="shared" si="46"/>
        <v>0604291857</v>
      </c>
      <c r="N162" t="str">
        <f t="shared" ref="N162:N176" si="48">"普通成交"</f>
        <v>普通成交</v>
      </c>
      <c r="O162" t="s">
        <v>1</v>
      </c>
    </row>
    <row r="163" spans="1:15" x14ac:dyDescent="0.15">
      <c r="A163" t="str">
        <f t="shared" si="47"/>
        <v>20161223</v>
      </c>
      <c r="B163" t="str">
        <f t="shared" si="41"/>
        <v>14:53:24</v>
      </c>
      <c r="C163" t="str">
        <f t="shared" si="42"/>
        <v>300017</v>
      </c>
      <c r="D163" t="str">
        <f t="shared" si="43"/>
        <v>网宿科技</v>
      </c>
      <c r="E163" t="str">
        <f t="shared" si="44"/>
        <v>卖券还款</v>
      </c>
      <c r="F163">
        <v>53.6</v>
      </c>
      <c r="G163">
        <v>50000</v>
      </c>
      <c r="H163" t="str">
        <f t="shared" si="45"/>
        <v>132897</v>
      </c>
      <c r="I163">
        <v>53.6</v>
      </c>
      <c r="J163">
        <v>18300</v>
      </c>
      <c r="K163">
        <v>980880</v>
      </c>
      <c r="L163" t="str">
        <f>"0101000011691039"</f>
        <v>0101000011691039</v>
      </c>
      <c r="M163" t="str">
        <f t="shared" si="46"/>
        <v>0604291857</v>
      </c>
      <c r="N163" t="str">
        <f t="shared" si="48"/>
        <v>普通成交</v>
      </c>
      <c r="O163" t="s">
        <v>1</v>
      </c>
    </row>
    <row r="164" spans="1:15" x14ac:dyDescent="0.15">
      <c r="A164" t="str">
        <f t="shared" si="47"/>
        <v>20161223</v>
      </c>
      <c r="B164" t="str">
        <f t="shared" si="41"/>
        <v>14:53:24</v>
      </c>
      <c r="C164" t="str">
        <f t="shared" si="42"/>
        <v>300017</v>
      </c>
      <c r="D164" t="str">
        <f t="shared" si="43"/>
        <v>网宿科技</v>
      </c>
      <c r="E164" t="str">
        <f t="shared" si="44"/>
        <v>卖券还款</v>
      </c>
      <c r="F164">
        <v>53.6</v>
      </c>
      <c r="G164">
        <v>50000</v>
      </c>
      <c r="H164" t="str">
        <f t="shared" si="45"/>
        <v>132897</v>
      </c>
      <c r="I164">
        <v>53.6</v>
      </c>
      <c r="J164">
        <v>1000</v>
      </c>
      <c r="K164">
        <v>53600</v>
      </c>
      <c r="L164" t="str">
        <f>"0101000011691041"</f>
        <v>0101000011691041</v>
      </c>
      <c r="M164" t="str">
        <f t="shared" si="46"/>
        <v>0604291857</v>
      </c>
      <c r="N164" t="str">
        <f t="shared" si="48"/>
        <v>普通成交</v>
      </c>
      <c r="O164" t="s">
        <v>1</v>
      </c>
    </row>
    <row r="165" spans="1:15" x14ac:dyDescent="0.15">
      <c r="A165" t="str">
        <f t="shared" si="47"/>
        <v>20161223</v>
      </c>
      <c r="B165" t="str">
        <f t="shared" si="41"/>
        <v>14:53:24</v>
      </c>
      <c r="C165" t="str">
        <f t="shared" si="42"/>
        <v>300017</v>
      </c>
      <c r="D165" t="str">
        <f t="shared" si="43"/>
        <v>网宿科技</v>
      </c>
      <c r="E165" t="str">
        <f t="shared" si="44"/>
        <v>卖券还款</v>
      </c>
      <c r="F165">
        <v>53.6</v>
      </c>
      <c r="G165">
        <v>50000</v>
      </c>
      <c r="H165" t="str">
        <f t="shared" si="45"/>
        <v>132897</v>
      </c>
      <c r="I165">
        <v>53.6</v>
      </c>
      <c r="J165">
        <v>1000</v>
      </c>
      <c r="K165">
        <v>53600</v>
      </c>
      <c r="L165" t="str">
        <f>"0101000011691043"</f>
        <v>0101000011691043</v>
      </c>
      <c r="M165" t="str">
        <f t="shared" si="46"/>
        <v>0604291857</v>
      </c>
      <c r="N165" t="str">
        <f t="shared" si="48"/>
        <v>普通成交</v>
      </c>
      <c r="O165" t="s">
        <v>1</v>
      </c>
    </row>
    <row r="166" spans="1:15" x14ac:dyDescent="0.15">
      <c r="A166" t="str">
        <f t="shared" si="47"/>
        <v>20161223</v>
      </c>
      <c r="B166" t="str">
        <f t="shared" si="41"/>
        <v>14:53:24</v>
      </c>
      <c r="C166" t="str">
        <f t="shared" si="42"/>
        <v>300017</v>
      </c>
      <c r="D166" t="str">
        <f t="shared" si="43"/>
        <v>网宿科技</v>
      </c>
      <c r="E166" t="str">
        <f t="shared" si="44"/>
        <v>卖券还款</v>
      </c>
      <c r="F166">
        <v>53.6</v>
      </c>
      <c r="G166">
        <v>50000</v>
      </c>
      <c r="H166" t="str">
        <f t="shared" si="45"/>
        <v>132897</v>
      </c>
      <c r="I166">
        <v>53.6</v>
      </c>
      <c r="J166">
        <v>100</v>
      </c>
      <c r="K166">
        <v>5360</v>
      </c>
      <c r="L166" t="str">
        <f>"0101000011691045"</f>
        <v>0101000011691045</v>
      </c>
      <c r="M166" t="str">
        <f t="shared" si="46"/>
        <v>0604291857</v>
      </c>
      <c r="N166" t="str">
        <f t="shared" si="48"/>
        <v>普通成交</v>
      </c>
      <c r="O166" t="s">
        <v>1</v>
      </c>
    </row>
    <row r="167" spans="1:15" x14ac:dyDescent="0.15">
      <c r="A167" t="str">
        <f t="shared" si="47"/>
        <v>20161223</v>
      </c>
      <c r="B167" t="str">
        <f t="shared" si="41"/>
        <v>14:53:24</v>
      </c>
      <c r="C167" t="str">
        <f t="shared" si="42"/>
        <v>300017</v>
      </c>
      <c r="D167" t="str">
        <f t="shared" si="43"/>
        <v>网宿科技</v>
      </c>
      <c r="E167" t="str">
        <f t="shared" si="44"/>
        <v>卖券还款</v>
      </c>
      <c r="F167">
        <v>53.6</v>
      </c>
      <c r="G167">
        <v>50000</v>
      </c>
      <c r="H167" t="str">
        <f t="shared" si="45"/>
        <v>132897</v>
      </c>
      <c r="I167">
        <v>53.6</v>
      </c>
      <c r="J167">
        <v>400</v>
      </c>
      <c r="K167">
        <v>21440</v>
      </c>
      <c r="L167" t="str">
        <f>"0101000011691047"</f>
        <v>0101000011691047</v>
      </c>
      <c r="M167" t="str">
        <f t="shared" si="46"/>
        <v>0604291857</v>
      </c>
      <c r="N167" t="str">
        <f t="shared" si="48"/>
        <v>普通成交</v>
      </c>
      <c r="O167" t="s">
        <v>1</v>
      </c>
    </row>
    <row r="168" spans="1:15" x14ac:dyDescent="0.15">
      <c r="A168" t="str">
        <f t="shared" si="47"/>
        <v>20161223</v>
      </c>
      <c r="B168" t="str">
        <f t="shared" si="41"/>
        <v>14:53:24</v>
      </c>
      <c r="C168" t="str">
        <f t="shared" si="42"/>
        <v>300017</v>
      </c>
      <c r="D168" t="str">
        <f t="shared" si="43"/>
        <v>网宿科技</v>
      </c>
      <c r="E168" t="str">
        <f t="shared" si="44"/>
        <v>卖券还款</v>
      </c>
      <c r="F168">
        <v>53.6</v>
      </c>
      <c r="G168">
        <v>50000</v>
      </c>
      <c r="H168" t="str">
        <f t="shared" si="45"/>
        <v>132897</v>
      </c>
      <c r="I168">
        <v>53.6</v>
      </c>
      <c r="J168">
        <v>100</v>
      </c>
      <c r="K168">
        <v>5360</v>
      </c>
      <c r="L168" t="str">
        <f>"0101000011691049"</f>
        <v>0101000011691049</v>
      </c>
      <c r="M168" t="str">
        <f t="shared" si="46"/>
        <v>0604291857</v>
      </c>
      <c r="N168" t="str">
        <f t="shared" si="48"/>
        <v>普通成交</v>
      </c>
      <c r="O168" t="s">
        <v>1</v>
      </c>
    </row>
    <row r="169" spans="1:15" x14ac:dyDescent="0.15">
      <c r="A169" t="str">
        <f t="shared" si="47"/>
        <v>20161223</v>
      </c>
      <c r="B169" t="str">
        <f t="shared" si="41"/>
        <v>14:53:24</v>
      </c>
      <c r="C169" t="str">
        <f t="shared" si="42"/>
        <v>300017</v>
      </c>
      <c r="D169" t="str">
        <f t="shared" si="43"/>
        <v>网宿科技</v>
      </c>
      <c r="E169" t="str">
        <f t="shared" si="44"/>
        <v>卖券还款</v>
      </c>
      <c r="F169">
        <v>53.6</v>
      </c>
      <c r="G169">
        <v>50000</v>
      </c>
      <c r="H169" t="str">
        <f t="shared" si="45"/>
        <v>132897</v>
      </c>
      <c r="I169">
        <v>53.6</v>
      </c>
      <c r="J169">
        <v>200</v>
      </c>
      <c r="K169">
        <v>10720</v>
      </c>
      <c r="L169" t="str">
        <f>"0101000011692637"</f>
        <v>0101000011692637</v>
      </c>
      <c r="M169" t="str">
        <f t="shared" si="46"/>
        <v>0604291857</v>
      </c>
      <c r="N169" t="str">
        <f t="shared" si="48"/>
        <v>普通成交</v>
      </c>
      <c r="O169" t="s">
        <v>1</v>
      </c>
    </row>
    <row r="170" spans="1:15" x14ac:dyDescent="0.15">
      <c r="A170" t="str">
        <f t="shared" si="47"/>
        <v>20161223</v>
      </c>
      <c r="B170" t="str">
        <f>"14:53:26"</f>
        <v>14:53:26</v>
      </c>
      <c r="C170" t="str">
        <f t="shared" si="42"/>
        <v>300017</v>
      </c>
      <c r="D170" t="str">
        <f t="shared" si="43"/>
        <v>网宿科技</v>
      </c>
      <c r="E170" t="str">
        <f t="shared" si="44"/>
        <v>卖券还款</v>
      </c>
      <c r="F170">
        <v>53.6</v>
      </c>
      <c r="G170">
        <v>50000</v>
      </c>
      <c r="H170" t="str">
        <f t="shared" si="45"/>
        <v>132897</v>
      </c>
      <c r="I170">
        <v>53.6</v>
      </c>
      <c r="J170">
        <v>2000</v>
      </c>
      <c r="K170">
        <v>107200</v>
      </c>
      <c r="L170" t="str">
        <f>"0101000011694566"</f>
        <v>0101000011694566</v>
      </c>
      <c r="M170" t="str">
        <f t="shared" si="46"/>
        <v>0604291857</v>
      </c>
      <c r="N170" t="str">
        <f t="shared" si="48"/>
        <v>普通成交</v>
      </c>
      <c r="O170" t="s">
        <v>1</v>
      </c>
    </row>
    <row r="171" spans="1:15" x14ac:dyDescent="0.15">
      <c r="A171" t="str">
        <f t="shared" si="47"/>
        <v>20161223</v>
      </c>
      <c r="B171" t="str">
        <f>"14:53:26"</f>
        <v>14:53:26</v>
      </c>
      <c r="C171" t="str">
        <f t="shared" si="42"/>
        <v>300017</v>
      </c>
      <c r="D171" t="str">
        <f t="shared" si="43"/>
        <v>网宿科技</v>
      </c>
      <c r="E171" t="str">
        <f t="shared" si="44"/>
        <v>卖券还款</v>
      </c>
      <c r="F171">
        <v>53.6</v>
      </c>
      <c r="G171">
        <v>50000</v>
      </c>
      <c r="H171" t="str">
        <f t="shared" si="45"/>
        <v>132897</v>
      </c>
      <c r="I171">
        <v>53.6</v>
      </c>
      <c r="J171">
        <v>2000</v>
      </c>
      <c r="K171">
        <v>107200</v>
      </c>
      <c r="L171" t="str">
        <f>"0101000011694619"</f>
        <v>0101000011694619</v>
      </c>
      <c r="M171" t="str">
        <f t="shared" si="46"/>
        <v>0604291857</v>
      </c>
      <c r="N171" t="str">
        <f t="shared" si="48"/>
        <v>普通成交</v>
      </c>
      <c r="O171" t="s">
        <v>1</v>
      </c>
    </row>
    <row r="172" spans="1:15" x14ac:dyDescent="0.15">
      <c r="A172" t="str">
        <f t="shared" si="47"/>
        <v>20161223</v>
      </c>
      <c r="B172" t="str">
        <f>"14:53:27"</f>
        <v>14:53:27</v>
      </c>
      <c r="C172" t="str">
        <f t="shared" si="42"/>
        <v>300017</v>
      </c>
      <c r="D172" t="str">
        <f t="shared" si="43"/>
        <v>网宿科技</v>
      </c>
      <c r="E172" t="str">
        <f t="shared" si="44"/>
        <v>卖券还款</v>
      </c>
      <c r="F172">
        <v>53.6</v>
      </c>
      <c r="G172">
        <v>50000</v>
      </c>
      <c r="H172" t="str">
        <f t="shared" si="45"/>
        <v>132897</v>
      </c>
      <c r="I172">
        <v>53.6</v>
      </c>
      <c r="J172">
        <v>2000</v>
      </c>
      <c r="K172">
        <v>107200</v>
      </c>
      <c r="L172" t="str">
        <f>"0101000011696420"</f>
        <v>0101000011696420</v>
      </c>
      <c r="M172" t="str">
        <f t="shared" si="46"/>
        <v>0604291857</v>
      </c>
      <c r="N172" t="str">
        <f t="shared" si="48"/>
        <v>普通成交</v>
      </c>
      <c r="O172" t="s">
        <v>1</v>
      </c>
    </row>
    <row r="173" spans="1:15" x14ac:dyDescent="0.15">
      <c r="A173" t="str">
        <f t="shared" si="47"/>
        <v>20161223</v>
      </c>
      <c r="B173" t="str">
        <f>"14:53:28"</f>
        <v>14:53:28</v>
      </c>
      <c r="C173" t="str">
        <f t="shared" si="42"/>
        <v>300017</v>
      </c>
      <c r="D173" t="str">
        <f t="shared" si="43"/>
        <v>网宿科技</v>
      </c>
      <c r="E173" t="str">
        <f t="shared" si="44"/>
        <v>卖券还款</v>
      </c>
      <c r="F173">
        <v>53.6</v>
      </c>
      <c r="G173">
        <v>50000</v>
      </c>
      <c r="H173" t="str">
        <f t="shared" si="45"/>
        <v>132897</v>
      </c>
      <c r="I173">
        <v>53.6</v>
      </c>
      <c r="J173">
        <v>100</v>
      </c>
      <c r="K173">
        <v>5360</v>
      </c>
      <c r="L173" t="str">
        <f>"0101000011697444"</f>
        <v>0101000011697444</v>
      </c>
      <c r="M173" t="str">
        <f t="shared" si="46"/>
        <v>0604291857</v>
      </c>
      <c r="N173" t="str">
        <f t="shared" si="48"/>
        <v>普通成交</v>
      </c>
      <c r="O173" t="s">
        <v>1</v>
      </c>
    </row>
    <row r="174" spans="1:15" x14ac:dyDescent="0.15">
      <c r="A174" t="str">
        <f t="shared" si="47"/>
        <v>20161223</v>
      </c>
      <c r="B174" t="str">
        <f>"14:53:30"</f>
        <v>14:53:30</v>
      </c>
      <c r="C174" t="str">
        <f t="shared" si="42"/>
        <v>300017</v>
      </c>
      <c r="D174" t="str">
        <f t="shared" si="43"/>
        <v>网宿科技</v>
      </c>
      <c r="E174" t="str">
        <f t="shared" si="44"/>
        <v>卖券还款</v>
      </c>
      <c r="F174">
        <v>53.6</v>
      </c>
      <c r="G174">
        <v>50000</v>
      </c>
      <c r="H174" t="str">
        <f t="shared" si="45"/>
        <v>132897</v>
      </c>
      <c r="I174">
        <v>53.6</v>
      </c>
      <c r="J174">
        <v>2500</v>
      </c>
      <c r="K174">
        <v>134000</v>
      </c>
      <c r="L174" t="str">
        <f>"0101000011700354"</f>
        <v>0101000011700354</v>
      </c>
      <c r="M174" t="str">
        <f t="shared" si="46"/>
        <v>0604291857</v>
      </c>
      <c r="N174" t="str">
        <f t="shared" si="48"/>
        <v>普通成交</v>
      </c>
      <c r="O174" t="s">
        <v>1</v>
      </c>
    </row>
    <row r="175" spans="1:15" x14ac:dyDescent="0.15">
      <c r="A175" t="str">
        <f t="shared" si="47"/>
        <v>20161223</v>
      </c>
      <c r="B175" t="str">
        <f>"14:53:33"</f>
        <v>14:53:33</v>
      </c>
      <c r="C175" t="str">
        <f t="shared" si="42"/>
        <v>300017</v>
      </c>
      <c r="D175" t="str">
        <f t="shared" si="43"/>
        <v>网宿科技</v>
      </c>
      <c r="E175" t="str">
        <f t="shared" si="44"/>
        <v>卖券还款</v>
      </c>
      <c r="F175">
        <v>53.6</v>
      </c>
      <c r="G175">
        <v>50000</v>
      </c>
      <c r="H175" t="str">
        <f t="shared" si="45"/>
        <v>132897</v>
      </c>
      <c r="I175">
        <v>53.6</v>
      </c>
      <c r="J175">
        <v>200</v>
      </c>
      <c r="K175">
        <v>10720</v>
      </c>
      <c r="L175" t="str">
        <f>"0101000011703803"</f>
        <v>0101000011703803</v>
      </c>
      <c r="M175" t="str">
        <f t="shared" si="46"/>
        <v>0604291857</v>
      </c>
      <c r="N175" t="str">
        <f t="shared" si="48"/>
        <v>普通成交</v>
      </c>
      <c r="O175" t="s">
        <v>1</v>
      </c>
    </row>
    <row r="176" spans="1:15" x14ac:dyDescent="0.15">
      <c r="A176" t="str">
        <f t="shared" si="47"/>
        <v>20161223</v>
      </c>
      <c r="B176" t="str">
        <f>"14:53:34"</f>
        <v>14:53:34</v>
      </c>
      <c r="C176" t="str">
        <f t="shared" si="42"/>
        <v>300017</v>
      </c>
      <c r="D176" t="str">
        <f t="shared" si="43"/>
        <v>网宿科技</v>
      </c>
      <c r="E176" t="str">
        <f t="shared" si="44"/>
        <v>卖券还款</v>
      </c>
      <c r="F176">
        <v>53.6</v>
      </c>
      <c r="G176">
        <v>50000</v>
      </c>
      <c r="H176" t="str">
        <f t="shared" si="45"/>
        <v>132897</v>
      </c>
      <c r="I176">
        <v>53.6</v>
      </c>
      <c r="J176">
        <v>1600</v>
      </c>
      <c r="K176">
        <v>85760</v>
      </c>
      <c r="L176" t="str">
        <f>"0101000011706057"</f>
        <v>0101000011706057</v>
      </c>
      <c r="M176" t="str">
        <f t="shared" si="46"/>
        <v>0604291857</v>
      </c>
      <c r="N176" t="str">
        <f t="shared" si="48"/>
        <v>普通成交</v>
      </c>
      <c r="O176" t="s">
        <v>1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国泰君安 信用 李伟新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Ethan Colin</cp:lastModifiedBy>
  <dcterms:created xsi:type="dcterms:W3CDTF">2016-12-23T07:31:16Z</dcterms:created>
  <dcterms:modified xsi:type="dcterms:W3CDTF">2016-12-23T07:31:16Z</dcterms:modified>
</cp:coreProperties>
</file>