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669"/>
  </bookViews>
  <sheets>
    <sheet name="合计" sheetId="8" r:id="rId1"/>
    <sheet name="中航光电" sheetId="1" r:id="rId2"/>
    <sheet name="东方国信" sheetId="6" r:id="rId3"/>
    <sheet name="积成电子" sheetId="3" r:id="rId4"/>
    <sheet name="洲际油气" sheetId="4" r:id="rId5"/>
    <sheet name="老板电器" sheetId="7" r:id="rId6"/>
    <sheet name="网宿科技" sheetId="9" r:id="rId7"/>
    <sheet name="草稿" sheetId="2" r:id="rId8"/>
    <sheet name="德润电子" sheetId="5" r:id="rId9"/>
  </sheets>
  <calcPr calcId="144525"/>
</workbook>
</file>

<file path=xl/calcChain.xml><?xml version="1.0" encoding="utf-8"?>
<calcChain xmlns="http://schemas.openxmlformats.org/spreadsheetml/2006/main">
  <c r="P88" i="8" l="1"/>
  <c r="Q88" i="8"/>
  <c r="R88" i="8"/>
  <c r="S88" i="8"/>
  <c r="T88" i="8"/>
  <c r="U88" i="8"/>
  <c r="V88" i="8"/>
  <c r="B88" i="8"/>
  <c r="C88" i="8"/>
  <c r="E88" i="8" s="1"/>
  <c r="D88" i="8"/>
  <c r="F88" i="8"/>
  <c r="G88" i="8"/>
  <c r="L88" i="8" s="1"/>
  <c r="H88" i="8"/>
  <c r="J88" i="8"/>
  <c r="K88" i="8"/>
  <c r="N88" i="8"/>
  <c r="O88" i="8"/>
  <c r="AB93" i="9"/>
  <c r="U93" i="9"/>
  <c r="V93" i="9" s="1"/>
  <c r="W93" i="9"/>
  <c r="R93" i="9"/>
  <c r="S93" i="9"/>
  <c r="G93" i="9"/>
  <c r="H93" i="9"/>
  <c r="O93" i="9"/>
  <c r="Y93" i="9" s="1"/>
  <c r="Z93" i="9" s="1"/>
  <c r="AA93" i="9" s="1"/>
  <c r="AC93" i="9" s="1"/>
  <c r="P93" i="9"/>
  <c r="Q93" i="9"/>
  <c r="T93" i="9"/>
  <c r="F93" i="9"/>
  <c r="L93" i="9"/>
  <c r="X93" i="9"/>
  <c r="AB93" i="7"/>
  <c r="AC93" i="7"/>
  <c r="Y93" i="7"/>
  <c r="Z93" i="7"/>
  <c r="R93" i="7"/>
  <c r="G93" i="7"/>
  <c r="O93" i="7"/>
  <c r="P93" i="7" s="1"/>
  <c r="Q93" i="7" s="1"/>
  <c r="AA93" i="7" s="1"/>
  <c r="T93" i="7"/>
  <c r="U93" i="7" s="1"/>
  <c r="V93" i="7" s="1"/>
  <c r="F93" i="7"/>
  <c r="H93" i="7"/>
  <c r="L93" i="7"/>
  <c r="S93" i="7"/>
  <c r="W93" i="7"/>
  <c r="X93" i="7"/>
  <c r="P93" i="4"/>
  <c r="Q93" i="4"/>
  <c r="R93" i="4" s="1"/>
  <c r="AB93" i="4" s="1"/>
  <c r="S93" i="4"/>
  <c r="T93" i="4"/>
  <c r="U93" i="4"/>
  <c r="V93" i="4" s="1"/>
  <c r="W93" i="4"/>
  <c r="X93" i="4"/>
  <c r="Z93" i="4" s="1"/>
  <c r="AA93" i="4" s="1"/>
  <c r="AC93" i="4" s="1"/>
  <c r="Y93" i="4"/>
  <c r="O93" i="4"/>
  <c r="L93" i="4"/>
  <c r="F93" i="4"/>
  <c r="G93" i="4"/>
  <c r="H93" i="4" s="1"/>
  <c r="X93" i="3"/>
  <c r="Z93" i="3" s="1"/>
  <c r="Y93" i="3"/>
  <c r="AB93" i="3"/>
  <c r="R93" i="3"/>
  <c r="G93" i="3"/>
  <c r="H93" i="3" s="1"/>
  <c r="O93" i="3"/>
  <c r="P93" i="3" s="1"/>
  <c r="Q93" i="3" s="1"/>
  <c r="T93" i="3"/>
  <c r="U93" i="3"/>
  <c r="V93" i="3" s="1"/>
  <c r="F93" i="3"/>
  <c r="L93" i="3"/>
  <c r="S93" i="3"/>
  <c r="W93" i="3" s="1"/>
  <c r="X93" i="1"/>
  <c r="Y93" i="1"/>
  <c r="Z93" i="1"/>
  <c r="AA93" i="1" s="1"/>
  <c r="AC93" i="1" s="1"/>
  <c r="AB93" i="1"/>
  <c r="R93" i="1"/>
  <c r="G93" i="1"/>
  <c r="H93" i="1"/>
  <c r="O93" i="1"/>
  <c r="P93" i="1"/>
  <c r="Q93" i="1"/>
  <c r="T93" i="1"/>
  <c r="U93" i="1"/>
  <c r="V93" i="1"/>
  <c r="F93" i="1"/>
  <c r="L93" i="1"/>
  <c r="S93" i="1"/>
  <c r="W93" i="1"/>
  <c r="I88" i="8" l="1"/>
  <c r="M88" i="8" s="1"/>
  <c r="AA93" i="3"/>
  <c r="AC93" i="3" s="1"/>
  <c r="R87" i="8"/>
  <c r="B87" i="8"/>
  <c r="X92" i="9"/>
  <c r="Z92" i="9" s="1"/>
  <c r="Y92" i="9"/>
  <c r="S92" i="9"/>
  <c r="U92" i="9" s="1"/>
  <c r="V92" i="9" s="1"/>
  <c r="O92" i="9"/>
  <c r="T92" i="9"/>
  <c r="F92" i="9"/>
  <c r="L92" i="9"/>
  <c r="P92" i="9" s="1"/>
  <c r="Q92" i="9" s="1"/>
  <c r="W92" i="9" l="1"/>
  <c r="AA92" i="9"/>
  <c r="Y92" i="7"/>
  <c r="G92" i="7"/>
  <c r="O92" i="7"/>
  <c r="T92" i="7"/>
  <c r="F92" i="7"/>
  <c r="H92" i="7"/>
  <c r="L92" i="7"/>
  <c r="S92" i="7"/>
  <c r="W92" i="7" s="1"/>
  <c r="X92" i="7"/>
  <c r="Z92" i="7" s="1"/>
  <c r="S92" i="4"/>
  <c r="W92" i="4" s="1"/>
  <c r="T92" i="4"/>
  <c r="X92" i="4"/>
  <c r="Y92" i="4"/>
  <c r="F92" i="4"/>
  <c r="O92" i="4"/>
  <c r="L92" i="4"/>
  <c r="P92" i="4" s="1"/>
  <c r="Q92" i="4" s="1"/>
  <c r="X92" i="3"/>
  <c r="Y92" i="3"/>
  <c r="Z92" i="3" s="1"/>
  <c r="F92" i="3"/>
  <c r="L92" i="3"/>
  <c r="S92" i="3"/>
  <c r="O92" i="3"/>
  <c r="T92" i="3"/>
  <c r="X92" i="1"/>
  <c r="Y92" i="1"/>
  <c r="O92" i="1"/>
  <c r="T92" i="1"/>
  <c r="F92" i="1"/>
  <c r="L92" i="1"/>
  <c r="S92" i="1"/>
  <c r="W92" i="1" s="1"/>
  <c r="U92" i="7" l="1"/>
  <c r="V92" i="7" s="1"/>
  <c r="K87" i="8"/>
  <c r="Z92" i="4"/>
  <c r="AA92" i="4" s="1"/>
  <c r="G87" i="8"/>
  <c r="I87" i="8" s="1"/>
  <c r="AC92" i="9"/>
  <c r="P92" i="7"/>
  <c r="Q92" i="7" s="1"/>
  <c r="AA92" i="7" s="1"/>
  <c r="U92" i="4"/>
  <c r="V92" i="4" s="1"/>
  <c r="AA92" i="3"/>
  <c r="U92" i="3"/>
  <c r="V92" i="3" s="1"/>
  <c r="P92" i="3"/>
  <c r="Q92" i="3" s="1"/>
  <c r="Z92" i="1"/>
  <c r="AA92" i="1" s="1"/>
  <c r="U92" i="1"/>
  <c r="V92" i="1" s="1"/>
  <c r="P92" i="1"/>
  <c r="Q92" i="1" s="1"/>
  <c r="W92" i="3"/>
  <c r="R86" i="8"/>
  <c r="B86" i="8"/>
  <c r="S91" i="9"/>
  <c r="W91" i="9" s="1"/>
  <c r="T91" i="9"/>
  <c r="O91" i="9"/>
  <c r="Y91" i="9" s="1"/>
  <c r="F91" i="9"/>
  <c r="L91" i="9"/>
  <c r="X91" i="9" s="1"/>
  <c r="Y91" i="7"/>
  <c r="O91" i="7"/>
  <c r="T91" i="7"/>
  <c r="F91" i="7"/>
  <c r="H91" i="7"/>
  <c r="L91" i="7"/>
  <c r="S91" i="7"/>
  <c r="W91" i="7" s="1"/>
  <c r="X91" i="7"/>
  <c r="G91" i="7"/>
  <c r="X91" i="4"/>
  <c r="Y91" i="4"/>
  <c r="T91" i="4"/>
  <c r="O91" i="4"/>
  <c r="F91" i="4"/>
  <c r="L91" i="4"/>
  <c r="S91" i="4"/>
  <c r="W91" i="4" s="1"/>
  <c r="X91" i="3"/>
  <c r="Y91" i="3"/>
  <c r="O91" i="3"/>
  <c r="T91" i="3"/>
  <c r="F91" i="3"/>
  <c r="L91" i="3"/>
  <c r="S91" i="3"/>
  <c r="W91" i="3" s="1"/>
  <c r="X91" i="1"/>
  <c r="Y91" i="1"/>
  <c r="O91" i="1"/>
  <c r="T91" i="1"/>
  <c r="F91" i="1"/>
  <c r="L91" i="1"/>
  <c r="S91" i="1"/>
  <c r="W91" i="1"/>
  <c r="F85" i="3"/>
  <c r="L85" i="3"/>
  <c r="O85" i="3"/>
  <c r="S85" i="3"/>
  <c r="T85" i="3"/>
  <c r="X85" i="3"/>
  <c r="Y85" i="3"/>
  <c r="F86" i="3"/>
  <c r="L86" i="3"/>
  <c r="O86" i="3"/>
  <c r="S86" i="3"/>
  <c r="T86" i="3"/>
  <c r="X86" i="3"/>
  <c r="Y86" i="3"/>
  <c r="F87" i="3"/>
  <c r="L87" i="3"/>
  <c r="O87" i="3"/>
  <c r="S87" i="3"/>
  <c r="T87" i="3"/>
  <c r="X87" i="3"/>
  <c r="Y87" i="3"/>
  <c r="F88" i="3"/>
  <c r="L88" i="3"/>
  <c r="O88" i="3"/>
  <c r="S88" i="3"/>
  <c r="W88" i="3" s="1"/>
  <c r="T88" i="3"/>
  <c r="X88" i="3"/>
  <c r="Y88" i="3"/>
  <c r="F89" i="3"/>
  <c r="L89" i="3"/>
  <c r="O89" i="3"/>
  <c r="S89" i="3"/>
  <c r="W89" i="3" s="1"/>
  <c r="T89" i="3"/>
  <c r="X89" i="3"/>
  <c r="Y89" i="3"/>
  <c r="Z89" i="3" s="1"/>
  <c r="F90" i="3"/>
  <c r="L90" i="3"/>
  <c r="O90" i="3"/>
  <c r="S90" i="3"/>
  <c r="W90" i="3" s="1"/>
  <c r="T90" i="3"/>
  <c r="X90" i="3"/>
  <c r="Y90" i="3"/>
  <c r="Z90" i="3" s="1"/>
  <c r="AA90" i="3" s="1"/>
  <c r="U89" i="3" l="1"/>
  <c r="V89" i="3" s="1"/>
  <c r="U88" i="3"/>
  <c r="V88" i="3" s="1"/>
  <c r="F87" i="8"/>
  <c r="H87" i="8" s="1"/>
  <c r="Z91" i="1"/>
  <c r="AA91" i="1" s="1"/>
  <c r="Z91" i="9"/>
  <c r="AA91" i="9" s="1"/>
  <c r="R92" i="7"/>
  <c r="AB92" i="7" s="1"/>
  <c r="U87" i="8" s="1"/>
  <c r="Z85" i="3"/>
  <c r="Z86" i="3"/>
  <c r="AA86" i="3" s="1"/>
  <c r="P90" i="3"/>
  <c r="Z88" i="3"/>
  <c r="P88" i="3"/>
  <c r="Q88" i="3" s="1"/>
  <c r="U85" i="3"/>
  <c r="V85" i="3" s="1"/>
  <c r="P91" i="4"/>
  <c r="Q91" i="4" s="1"/>
  <c r="Z91" i="7"/>
  <c r="P87" i="3"/>
  <c r="Q87" i="3" s="1"/>
  <c r="U91" i="3"/>
  <c r="V91" i="3" s="1"/>
  <c r="U86" i="3"/>
  <c r="V86" i="3" s="1"/>
  <c r="P91" i="3"/>
  <c r="Q91" i="3" s="1"/>
  <c r="U91" i="1"/>
  <c r="V91" i="1" s="1"/>
  <c r="P91" i="1"/>
  <c r="Q91" i="1" s="1"/>
  <c r="U91" i="9"/>
  <c r="V91" i="9" s="1"/>
  <c r="P91" i="9"/>
  <c r="Q91" i="9" s="1"/>
  <c r="K86" i="8"/>
  <c r="U91" i="7"/>
  <c r="V91" i="7" s="1"/>
  <c r="P91" i="7"/>
  <c r="Q91" i="7" s="1"/>
  <c r="R91" i="7" s="1"/>
  <c r="AB91" i="7" s="1"/>
  <c r="U86" i="8" s="1"/>
  <c r="Z91" i="4"/>
  <c r="AA91" i="4" s="1"/>
  <c r="G86" i="8"/>
  <c r="U91" i="4"/>
  <c r="V91" i="4" s="1"/>
  <c r="P89" i="3"/>
  <c r="Q89" i="3" s="1"/>
  <c r="U90" i="3"/>
  <c r="V90" i="3" s="1"/>
  <c r="W86" i="3"/>
  <c r="P86" i="3"/>
  <c r="Q86" i="3" s="1"/>
  <c r="W85" i="3"/>
  <c r="AA89" i="3"/>
  <c r="U87" i="3"/>
  <c r="V87" i="3" s="1"/>
  <c r="P85" i="3"/>
  <c r="Q85" i="3" s="1"/>
  <c r="Z91" i="3"/>
  <c r="AA91" i="3" s="1"/>
  <c r="Z87" i="3"/>
  <c r="AA87" i="3" s="1"/>
  <c r="AA85" i="3"/>
  <c r="AA91" i="7"/>
  <c r="Q90" i="3"/>
  <c r="AA88" i="3"/>
  <c r="W87" i="3"/>
  <c r="R85" i="8"/>
  <c r="B85" i="8"/>
  <c r="S90" i="9"/>
  <c r="O90" i="9"/>
  <c r="Y90" i="9" s="1"/>
  <c r="T90" i="9"/>
  <c r="F90" i="9"/>
  <c r="L90" i="9"/>
  <c r="X90" i="9" s="1"/>
  <c r="Y90" i="7"/>
  <c r="G90" i="7"/>
  <c r="O90" i="7"/>
  <c r="T90" i="7"/>
  <c r="F90" i="7"/>
  <c r="H90" i="7"/>
  <c r="L90" i="7"/>
  <c r="P90" i="7" s="1"/>
  <c r="S90" i="7"/>
  <c r="U90" i="7" s="1"/>
  <c r="V90" i="7" s="1"/>
  <c r="X90" i="7"/>
  <c r="Z90" i="7" s="1"/>
  <c r="X90" i="4"/>
  <c r="Y90" i="4"/>
  <c r="O90" i="4"/>
  <c r="T90" i="4"/>
  <c r="F90" i="4"/>
  <c r="L90" i="4"/>
  <c r="S90" i="4"/>
  <c r="W90" i="4" s="1"/>
  <c r="X90" i="1"/>
  <c r="Y90" i="1"/>
  <c r="O90" i="1"/>
  <c r="T90" i="1"/>
  <c r="F90" i="1"/>
  <c r="L90" i="1"/>
  <c r="S90" i="1"/>
  <c r="W90" i="1" s="1"/>
  <c r="I86" i="8" l="1"/>
  <c r="M87" i="8" s="1"/>
  <c r="L87" i="8"/>
  <c r="F86" i="8"/>
  <c r="H86" i="8" s="1"/>
  <c r="Z90" i="4"/>
  <c r="AA90" i="4" s="1"/>
  <c r="Z90" i="1"/>
  <c r="AA90" i="1" s="1"/>
  <c r="U90" i="9"/>
  <c r="V90" i="9" s="1"/>
  <c r="W90" i="7"/>
  <c r="P90" i="4"/>
  <c r="Q90" i="4" s="1"/>
  <c r="AC91" i="9"/>
  <c r="Q90" i="7"/>
  <c r="AA90" i="7" s="1"/>
  <c r="U90" i="4"/>
  <c r="V90" i="4" s="1"/>
  <c r="P90" i="1"/>
  <c r="Q90" i="1" s="1"/>
  <c r="W90" i="9"/>
  <c r="Z90" i="9"/>
  <c r="AA90" i="9" s="1"/>
  <c r="AC90" i="9" s="1"/>
  <c r="P90" i="9"/>
  <c r="Q90" i="9" s="1"/>
  <c r="K85" i="8"/>
  <c r="U90" i="1"/>
  <c r="V90" i="1" s="1"/>
  <c r="V13" i="2"/>
  <c r="W13" i="2"/>
  <c r="V7" i="2"/>
  <c r="W7" i="2"/>
  <c r="U13" i="2" l="1"/>
  <c r="G85" i="8"/>
  <c r="L86" i="8" s="1"/>
  <c r="R90" i="7"/>
  <c r="AB90" i="7" s="1"/>
  <c r="U85" i="8" s="1"/>
  <c r="U7" i="2"/>
  <c r="F85" i="8"/>
  <c r="H85" i="8" s="1"/>
  <c r="B84" i="8"/>
  <c r="S89" i="9"/>
  <c r="T89" i="9"/>
  <c r="F89" i="9"/>
  <c r="O89" i="9"/>
  <c r="Y89" i="9" s="1"/>
  <c r="L89" i="9"/>
  <c r="Y89" i="7"/>
  <c r="G89" i="7"/>
  <c r="O89" i="7"/>
  <c r="T89" i="7"/>
  <c r="F89" i="7"/>
  <c r="H89" i="7"/>
  <c r="L89" i="7"/>
  <c r="P89" i="7" s="1"/>
  <c r="S89" i="7"/>
  <c r="X89" i="7"/>
  <c r="X89" i="4"/>
  <c r="Y89" i="4"/>
  <c r="O89" i="4"/>
  <c r="T89" i="4"/>
  <c r="F89" i="4"/>
  <c r="L89" i="4"/>
  <c r="S89" i="4"/>
  <c r="W89" i="4" s="1"/>
  <c r="Y89" i="6"/>
  <c r="X89" i="6"/>
  <c r="T89" i="6"/>
  <c r="S89" i="6"/>
  <c r="W89" i="6" s="1"/>
  <c r="O89" i="6"/>
  <c r="L89" i="6"/>
  <c r="F89" i="6"/>
  <c r="X89" i="1"/>
  <c r="Y89" i="1"/>
  <c r="O89" i="1"/>
  <c r="T89" i="1"/>
  <c r="F89" i="1"/>
  <c r="L89" i="1"/>
  <c r="S89" i="1"/>
  <c r="W89" i="1" s="1"/>
  <c r="I85" i="8" l="1"/>
  <c r="M86" i="8" s="1"/>
  <c r="U89" i="7"/>
  <c r="V89" i="7" s="1"/>
  <c r="W89" i="7"/>
  <c r="G84" i="8" s="1"/>
  <c r="Z89" i="7"/>
  <c r="P89" i="1"/>
  <c r="Q89" i="1" s="1"/>
  <c r="U89" i="4"/>
  <c r="V89" i="4" s="1"/>
  <c r="P89" i="4"/>
  <c r="Q89" i="4" s="1"/>
  <c r="P89" i="9"/>
  <c r="Q89" i="7"/>
  <c r="AA89" i="7" s="1"/>
  <c r="U89" i="6"/>
  <c r="V89" i="6" s="1"/>
  <c r="P89" i="6"/>
  <c r="Q89" i="6" s="1"/>
  <c r="U89" i="1"/>
  <c r="V89" i="1" s="1"/>
  <c r="Z89" i="1"/>
  <c r="AA89" i="1" s="1"/>
  <c r="U89" i="9"/>
  <c r="V89" i="9" s="1"/>
  <c r="X89" i="9"/>
  <c r="Z89" i="9" s="1"/>
  <c r="AA89" i="9" s="1"/>
  <c r="AC89" i="9" s="1"/>
  <c r="Q89" i="9"/>
  <c r="W89" i="9"/>
  <c r="K84" i="8"/>
  <c r="Z89" i="4"/>
  <c r="AA89" i="4" s="1"/>
  <c r="Z89" i="6"/>
  <c r="AA89" i="6" s="1"/>
  <c r="B83" i="8"/>
  <c r="S88" i="9"/>
  <c r="W88" i="9" s="1"/>
  <c r="T88" i="9"/>
  <c r="F88" i="9"/>
  <c r="O88" i="9"/>
  <c r="Y88" i="9" s="1"/>
  <c r="L88" i="9"/>
  <c r="P88" i="9" l="1"/>
  <c r="Q88" i="9" s="1"/>
  <c r="I84" i="8"/>
  <c r="M85" i="8" s="1"/>
  <c r="L85" i="8"/>
  <c r="R89" i="7"/>
  <c r="AB89" i="7" s="1"/>
  <c r="U84" i="8" s="1"/>
  <c r="F84" i="8"/>
  <c r="H84" i="8" s="1"/>
  <c r="U88" i="9"/>
  <c r="V88" i="9" s="1"/>
  <c r="X88" i="9"/>
  <c r="Z88" i="9" s="1"/>
  <c r="Y88" i="7"/>
  <c r="T88" i="7"/>
  <c r="O88" i="7"/>
  <c r="G88" i="7"/>
  <c r="F88" i="7"/>
  <c r="H88" i="7"/>
  <c r="L88" i="7"/>
  <c r="S88" i="7"/>
  <c r="W88" i="7" s="1"/>
  <c r="X88" i="7"/>
  <c r="S71" i="2"/>
  <c r="S70" i="2"/>
  <c r="R69" i="2"/>
  <c r="R72" i="2" s="1"/>
  <c r="C75" i="2"/>
  <c r="B75" i="2" s="1"/>
  <c r="C74" i="2"/>
  <c r="D74" i="2"/>
  <c r="G81" i="2"/>
  <c r="X88" i="4"/>
  <c r="Y88" i="4"/>
  <c r="O88" i="4"/>
  <c r="T88" i="4"/>
  <c r="F88" i="4"/>
  <c r="L88" i="4"/>
  <c r="S88" i="4"/>
  <c r="W88" i="4" s="1"/>
  <c r="Y87" i="6"/>
  <c r="X87" i="6"/>
  <c r="T87" i="6"/>
  <c r="S87" i="6"/>
  <c r="O87" i="6"/>
  <c r="L87" i="6"/>
  <c r="F87" i="6"/>
  <c r="X88" i="1"/>
  <c r="Y88" i="1"/>
  <c r="O88" i="1"/>
  <c r="T88" i="1"/>
  <c r="F88" i="1"/>
  <c r="L88" i="1"/>
  <c r="S88" i="1"/>
  <c r="W88" i="1" s="1"/>
  <c r="M3" i="2"/>
  <c r="P88" i="1" l="1"/>
  <c r="Q88" i="1" s="1"/>
  <c r="Q69" i="2"/>
  <c r="Z88" i="7"/>
  <c r="K83" i="8"/>
  <c r="Z88" i="4"/>
  <c r="AA88" i="4" s="1"/>
  <c r="Z87" i="6"/>
  <c r="AA87" i="6" s="1"/>
  <c r="AA88" i="9"/>
  <c r="AC88" i="9" s="1"/>
  <c r="P88" i="4"/>
  <c r="Q88" i="4" s="1"/>
  <c r="G83" i="8"/>
  <c r="S72" i="2"/>
  <c r="P88" i="7"/>
  <c r="Q88" i="7" s="1"/>
  <c r="R88" i="7" s="1"/>
  <c r="AB88" i="7" s="1"/>
  <c r="U88" i="7"/>
  <c r="V88" i="7" s="1"/>
  <c r="U88" i="4"/>
  <c r="V88" i="4" s="1"/>
  <c r="U87" i="6"/>
  <c r="V87" i="6" s="1"/>
  <c r="U88" i="1"/>
  <c r="V88" i="1" s="1"/>
  <c r="Z88" i="1"/>
  <c r="AA88" i="1" s="1"/>
  <c r="B74" i="2"/>
  <c r="W87" i="6"/>
  <c r="P87" i="6"/>
  <c r="Q87" i="6" s="1"/>
  <c r="B82" i="8"/>
  <c r="T87" i="9"/>
  <c r="S87" i="9"/>
  <c r="F87" i="9"/>
  <c r="O87" i="9"/>
  <c r="Y87" i="9" s="1"/>
  <c r="O86" i="9"/>
  <c r="L87" i="9"/>
  <c r="X87" i="9" s="1"/>
  <c r="Y87" i="7"/>
  <c r="G87" i="7"/>
  <c r="O87" i="7"/>
  <c r="T87" i="7"/>
  <c r="F87" i="7"/>
  <c r="H87" i="7"/>
  <c r="L87" i="7"/>
  <c r="P87" i="7" s="1"/>
  <c r="S87" i="7"/>
  <c r="W87" i="7" s="1"/>
  <c r="X87" i="7"/>
  <c r="X87" i="4"/>
  <c r="Y87" i="4"/>
  <c r="O87" i="4"/>
  <c r="T87" i="4"/>
  <c r="F87" i="4"/>
  <c r="L87" i="4"/>
  <c r="S87" i="4"/>
  <c r="W87" i="4" s="1"/>
  <c r="Y88" i="6"/>
  <c r="X88" i="6"/>
  <c r="T88" i="6"/>
  <c r="S88" i="6"/>
  <c r="O88" i="6"/>
  <c r="L88" i="6"/>
  <c r="F88" i="6"/>
  <c r="X87" i="1"/>
  <c r="Y87" i="1"/>
  <c r="O87" i="1"/>
  <c r="T87" i="1"/>
  <c r="F87" i="1"/>
  <c r="L87" i="1"/>
  <c r="S87" i="1"/>
  <c r="Z87" i="4" l="1"/>
  <c r="AA87" i="4" s="1"/>
  <c r="U87" i="1"/>
  <c r="V87" i="1" s="1"/>
  <c r="I83" i="8"/>
  <c r="M84" i="8" s="1"/>
  <c r="L84" i="8"/>
  <c r="U87" i="9"/>
  <c r="V87" i="9" s="1"/>
  <c r="F83" i="8"/>
  <c r="H83" i="8" s="1"/>
  <c r="AA88" i="7"/>
  <c r="U83" i="8" s="1"/>
  <c r="P87" i="4"/>
  <c r="Q87" i="4" s="1"/>
  <c r="P88" i="6"/>
  <c r="Q88" i="6" s="1"/>
  <c r="W87" i="1"/>
  <c r="Q72" i="2"/>
  <c r="U69" i="2"/>
  <c r="V69" i="2" s="1"/>
  <c r="U71" i="2"/>
  <c r="V71" i="2" s="1"/>
  <c r="U70" i="2"/>
  <c r="V70" i="2" s="1"/>
  <c r="Q87" i="7"/>
  <c r="AA87" i="7" s="1"/>
  <c r="Z87" i="7"/>
  <c r="U88" i="6"/>
  <c r="V88" i="6" s="1"/>
  <c r="Z87" i="9"/>
  <c r="AA87" i="9" s="1"/>
  <c r="AC87" i="9" s="1"/>
  <c r="W87" i="9"/>
  <c r="P87" i="9"/>
  <c r="Q87" i="9" s="1"/>
  <c r="U87" i="7"/>
  <c r="V87" i="7" s="1"/>
  <c r="U87" i="4"/>
  <c r="V87" i="4" s="1"/>
  <c r="K82" i="8"/>
  <c r="Z88" i="6"/>
  <c r="AA88" i="6" s="1"/>
  <c r="P87" i="1"/>
  <c r="Q87" i="1" s="1"/>
  <c r="Z87" i="1"/>
  <c r="AA87" i="1" s="1"/>
  <c r="W88" i="6"/>
  <c r="B81" i="8"/>
  <c r="B80" i="8"/>
  <c r="B2" i="8"/>
  <c r="Y86" i="9"/>
  <c r="T86" i="9"/>
  <c r="L86" i="9"/>
  <c r="X86" i="9" s="1"/>
  <c r="F86" i="9"/>
  <c r="S86" i="9" l="1"/>
  <c r="W86" i="9" s="1"/>
  <c r="G82" i="8"/>
  <c r="I82" i="8" s="1"/>
  <c r="M83" i="8" s="1"/>
  <c r="R87" i="7"/>
  <c r="AB87" i="7" s="1"/>
  <c r="U82" i="8" s="1"/>
  <c r="V72" i="2"/>
  <c r="F82" i="8"/>
  <c r="H82" i="8" s="1"/>
  <c r="Z86" i="9"/>
  <c r="AA86" i="9" s="1"/>
  <c r="P86" i="9"/>
  <c r="Q86" i="9" s="1"/>
  <c r="R86" i="9" s="1"/>
  <c r="Y86" i="7"/>
  <c r="F86" i="7"/>
  <c r="G86" i="7"/>
  <c r="H86" i="7"/>
  <c r="O86" i="7"/>
  <c r="T86" i="7"/>
  <c r="L86" i="7"/>
  <c r="S86" i="7"/>
  <c r="X86" i="7"/>
  <c r="X86" i="4"/>
  <c r="Y86" i="4"/>
  <c r="O86" i="4"/>
  <c r="T86" i="4"/>
  <c r="F86" i="4"/>
  <c r="L86" i="4"/>
  <c r="S86" i="4"/>
  <c r="W86" i="4" s="1"/>
  <c r="Y86" i="6"/>
  <c r="X86" i="6"/>
  <c r="T86" i="6"/>
  <c r="S86" i="6"/>
  <c r="O86" i="6"/>
  <c r="L86" i="6"/>
  <c r="F86" i="6"/>
  <c r="X86" i="1"/>
  <c r="Y86" i="1"/>
  <c r="O86" i="1"/>
  <c r="T86" i="1"/>
  <c r="F86" i="1"/>
  <c r="L86" i="1"/>
  <c r="S86" i="1"/>
  <c r="W86" i="1" s="1"/>
  <c r="U86" i="9" l="1"/>
  <c r="V86" i="9" s="1"/>
  <c r="P86" i="1"/>
  <c r="Q86" i="1" s="1"/>
  <c r="L83" i="8"/>
  <c r="U86" i="7"/>
  <c r="V86" i="7" s="1"/>
  <c r="U86" i="6"/>
  <c r="V86" i="6" s="1"/>
  <c r="Z86" i="1"/>
  <c r="AA86" i="1" s="1"/>
  <c r="U86" i="4"/>
  <c r="V86" i="4" s="1"/>
  <c r="Z86" i="4"/>
  <c r="AA86" i="4" s="1"/>
  <c r="P86" i="6"/>
  <c r="Q86" i="6" s="1"/>
  <c r="AC86" i="9"/>
  <c r="AB86" i="9"/>
  <c r="Z86" i="7"/>
  <c r="P86" i="7"/>
  <c r="Q86" i="7" s="1"/>
  <c r="W86" i="7"/>
  <c r="P86" i="4"/>
  <c r="Q86" i="4" s="1"/>
  <c r="K81" i="8"/>
  <c r="Z86" i="6"/>
  <c r="AA86" i="6" s="1"/>
  <c r="U86" i="1"/>
  <c r="V86" i="1" s="1"/>
  <c r="H86" i="9"/>
  <c r="G87" i="9" s="1"/>
  <c r="W86" i="6"/>
  <c r="Y85" i="7"/>
  <c r="G85" i="7"/>
  <c r="O85" i="7"/>
  <c r="T85" i="7"/>
  <c r="F85" i="7"/>
  <c r="H85" i="7"/>
  <c r="L85" i="7"/>
  <c r="S85" i="7"/>
  <c r="U85" i="7" s="1"/>
  <c r="V85" i="7" s="1"/>
  <c r="X85" i="7"/>
  <c r="Z85" i="7" s="1"/>
  <c r="X85" i="4"/>
  <c r="Y85" i="4"/>
  <c r="O85" i="4"/>
  <c r="T85" i="4"/>
  <c r="F85" i="4"/>
  <c r="L85" i="4"/>
  <c r="S85" i="4"/>
  <c r="W85" i="4" s="1"/>
  <c r="Y85" i="6"/>
  <c r="X85" i="6"/>
  <c r="T85" i="6"/>
  <c r="S85" i="6"/>
  <c r="W85" i="6" s="1"/>
  <c r="O85" i="6"/>
  <c r="L85" i="6"/>
  <c r="F85" i="6"/>
  <c r="X85" i="1"/>
  <c r="Y85" i="1"/>
  <c r="O85" i="1"/>
  <c r="T85" i="1"/>
  <c r="F85" i="1"/>
  <c r="L85" i="1"/>
  <c r="S85" i="1"/>
  <c r="W85" i="1" s="1"/>
  <c r="P85" i="7" l="1"/>
  <c r="Q85" i="7" s="1"/>
  <c r="AA85" i="7" s="1"/>
  <c r="V81" i="8"/>
  <c r="Z85" i="4"/>
  <c r="AA85" i="4" s="1"/>
  <c r="H87" i="9"/>
  <c r="G88" i="9" s="1"/>
  <c r="R87" i="9"/>
  <c r="AB87" i="9"/>
  <c r="V82" i="8" s="1"/>
  <c r="G81" i="8"/>
  <c r="L82" i="8" s="1"/>
  <c r="F81" i="8"/>
  <c r="H81" i="8" s="1"/>
  <c r="AA86" i="7"/>
  <c r="R86" i="7"/>
  <c r="AB86" i="7" s="1"/>
  <c r="U81" i="8" s="1"/>
  <c r="P85" i="4"/>
  <c r="Q85" i="4" s="1"/>
  <c r="Z85" i="1"/>
  <c r="AA85" i="1" s="1"/>
  <c r="K80" i="8"/>
  <c r="U85" i="1"/>
  <c r="V85" i="1" s="1"/>
  <c r="P85" i="1"/>
  <c r="Q85" i="1" s="1"/>
  <c r="P85" i="6"/>
  <c r="Q85" i="6" s="1"/>
  <c r="W85" i="7"/>
  <c r="G80" i="8" s="1"/>
  <c r="R85" i="7"/>
  <c r="AB85" i="7" s="1"/>
  <c r="U80" i="8" s="1"/>
  <c r="Z85" i="6"/>
  <c r="AA85" i="6" s="1"/>
  <c r="U85" i="4"/>
  <c r="V85" i="4" s="1"/>
  <c r="U85" i="6"/>
  <c r="V85" i="6" s="1"/>
  <c r="Y84" i="7"/>
  <c r="G84" i="7"/>
  <c r="O84" i="7"/>
  <c r="T84" i="7"/>
  <c r="F84" i="7"/>
  <c r="H84" i="7"/>
  <c r="L84" i="7"/>
  <c r="S84" i="7"/>
  <c r="W84" i="7" s="1"/>
  <c r="X84" i="7"/>
  <c r="Z84" i="7" s="1"/>
  <c r="X84" i="4"/>
  <c r="Y84" i="4"/>
  <c r="O84" i="4"/>
  <c r="T84" i="4"/>
  <c r="F84" i="4"/>
  <c r="L84" i="4"/>
  <c r="S84" i="4"/>
  <c r="W84" i="4" s="1"/>
  <c r="B79" i="8"/>
  <c r="X84" i="3"/>
  <c r="Y84" i="3"/>
  <c r="O84" i="3"/>
  <c r="T84" i="3"/>
  <c r="F84" i="3"/>
  <c r="L84" i="3"/>
  <c r="S84" i="3"/>
  <c r="W84" i="3" s="1"/>
  <c r="Y84" i="6"/>
  <c r="X84" i="6"/>
  <c r="T84" i="6"/>
  <c r="S84" i="6"/>
  <c r="O84" i="6"/>
  <c r="L84" i="6"/>
  <c r="F84" i="6"/>
  <c r="X84" i="1"/>
  <c r="Y84" i="1"/>
  <c r="O84" i="1"/>
  <c r="T84" i="1"/>
  <c r="F84" i="1"/>
  <c r="L84" i="1"/>
  <c r="S84" i="1"/>
  <c r="W84" i="1" s="1"/>
  <c r="R88" i="9" l="1"/>
  <c r="H88" i="9"/>
  <c r="G89" i="9" s="1"/>
  <c r="AB88" i="9"/>
  <c r="I81" i="8"/>
  <c r="M82" i="8" s="1"/>
  <c r="P84" i="1"/>
  <c r="Q84" i="1" s="1"/>
  <c r="I80" i="8"/>
  <c r="L81" i="8"/>
  <c r="F80" i="8"/>
  <c r="H80" i="8" s="1"/>
  <c r="P84" i="3"/>
  <c r="Q84" i="3" s="1"/>
  <c r="P84" i="4"/>
  <c r="Q84" i="4" s="1"/>
  <c r="Z84" i="6"/>
  <c r="AA84" i="6" s="1"/>
  <c r="Z84" i="4"/>
  <c r="AA84" i="4" s="1"/>
  <c r="U84" i="6"/>
  <c r="V84" i="6" s="1"/>
  <c r="U84" i="7"/>
  <c r="V84" i="7" s="1"/>
  <c r="P84" i="7"/>
  <c r="Q84" i="7" s="1"/>
  <c r="U84" i="4"/>
  <c r="V84" i="4" s="1"/>
  <c r="U84" i="3"/>
  <c r="V84" i="3" s="1"/>
  <c r="Z84" i="3"/>
  <c r="AA84" i="3" s="1"/>
  <c r="K79" i="8"/>
  <c r="P84" i="6"/>
  <c r="Q84" i="6" s="1"/>
  <c r="U84" i="1"/>
  <c r="V84" i="1" s="1"/>
  <c r="Z84" i="1"/>
  <c r="AA84" i="1" s="1"/>
  <c r="W84" i="6"/>
  <c r="G79" i="8" s="1"/>
  <c r="I79" i="8" s="1"/>
  <c r="B78" i="8"/>
  <c r="Y83" i="7"/>
  <c r="F83" i="7"/>
  <c r="G83" i="7"/>
  <c r="H83" i="7"/>
  <c r="O83" i="7"/>
  <c r="T83" i="7"/>
  <c r="L83" i="7"/>
  <c r="S83" i="7"/>
  <c r="W83" i="7" s="1"/>
  <c r="X83" i="7"/>
  <c r="X83" i="4"/>
  <c r="Y83" i="4"/>
  <c r="O83" i="4"/>
  <c r="T83" i="4"/>
  <c r="F83" i="4"/>
  <c r="L83" i="4"/>
  <c r="S83" i="4"/>
  <c r="W83" i="4" s="1"/>
  <c r="X83" i="3"/>
  <c r="Y83" i="3"/>
  <c r="O83" i="3"/>
  <c r="T83" i="3"/>
  <c r="F83" i="3"/>
  <c r="L83" i="3"/>
  <c r="S83" i="3"/>
  <c r="W83" i="3" s="1"/>
  <c r="Y83" i="6"/>
  <c r="X83" i="6"/>
  <c r="T83" i="6"/>
  <c r="S83" i="6"/>
  <c r="O83" i="6"/>
  <c r="L83" i="6"/>
  <c r="F83" i="6"/>
  <c r="X83" i="1"/>
  <c r="Y83" i="1"/>
  <c r="O83" i="1"/>
  <c r="T83" i="1"/>
  <c r="F83" i="1"/>
  <c r="L83" i="1"/>
  <c r="S83" i="1"/>
  <c r="W83" i="1" s="1"/>
  <c r="AB89" i="9" l="1"/>
  <c r="V84" i="8" s="1"/>
  <c r="R89" i="9"/>
  <c r="H89" i="9"/>
  <c r="G90" i="9" s="1"/>
  <c r="V83" i="8"/>
  <c r="M81" i="8"/>
  <c r="M80" i="8"/>
  <c r="U83" i="1"/>
  <c r="V83" i="1" s="1"/>
  <c r="U83" i="7"/>
  <c r="V83" i="7" s="1"/>
  <c r="Z83" i="6"/>
  <c r="AA83" i="6" s="1"/>
  <c r="L80" i="8"/>
  <c r="AA84" i="7"/>
  <c r="R84" i="7"/>
  <c r="AB84" i="7" s="1"/>
  <c r="P83" i="7"/>
  <c r="Q83" i="7" s="1"/>
  <c r="AA83" i="7" s="1"/>
  <c r="Z83" i="7"/>
  <c r="P83" i="4"/>
  <c r="Q83" i="4" s="1"/>
  <c r="Z83" i="4"/>
  <c r="AA83" i="4" s="1"/>
  <c r="U83" i="3"/>
  <c r="V83" i="3" s="1"/>
  <c r="F79" i="8"/>
  <c r="H79" i="8" s="1"/>
  <c r="U83" i="6"/>
  <c r="V83" i="6" s="1"/>
  <c r="Z83" i="1"/>
  <c r="AA83" i="1" s="1"/>
  <c r="P83" i="1"/>
  <c r="Q83" i="1" s="1"/>
  <c r="U83" i="4"/>
  <c r="V83" i="4" s="1"/>
  <c r="P83" i="3"/>
  <c r="Q83" i="3" s="1"/>
  <c r="Z83" i="3"/>
  <c r="AA83" i="3" s="1"/>
  <c r="K78" i="8"/>
  <c r="P83" i="6"/>
  <c r="Q83" i="6" s="1"/>
  <c r="W83" i="6"/>
  <c r="G78" i="8" s="1"/>
  <c r="I78" i="8" s="1"/>
  <c r="M79" i="8" s="1"/>
  <c r="O73" i="2"/>
  <c r="O82" i="7"/>
  <c r="S82" i="7"/>
  <c r="T82" i="7"/>
  <c r="X82" i="7"/>
  <c r="Y82" i="7"/>
  <c r="L82" i="7"/>
  <c r="X82" i="4"/>
  <c r="Y82" i="4"/>
  <c r="O82" i="4"/>
  <c r="T82" i="4"/>
  <c r="F82" i="4"/>
  <c r="L82" i="4"/>
  <c r="S82" i="4"/>
  <c r="W82" i="4" s="1"/>
  <c r="X82" i="3"/>
  <c r="Y82" i="3"/>
  <c r="O82" i="3"/>
  <c r="T82" i="3"/>
  <c r="F82" i="3"/>
  <c r="L82" i="3"/>
  <c r="S82" i="3"/>
  <c r="W82" i="3" s="1"/>
  <c r="Y82" i="6"/>
  <c r="X82" i="6"/>
  <c r="T82" i="6"/>
  <c r="S82" i="6"/>
  <c r="W82" i="6" s="1"/>
  <c r="O82" i="6"/>
  <c r="L82" i="6"/>
  <c r="F82" i="6"/>
  <c r="X82" i="1"/>
  <c r="Y82" i="1"/>
  <c r="O82" i="1"/>
  <c r="T82" i="1"/>
  <c r="F82" i="1"/>
  <c r="L82" i="1"/>
  <c r="S82" i="1"/>
  <c r="W82" i="1" s="1"/>
  <c r="E82" i="7"/>
  <c r="G80" i="2"/>
  <c r="AB90" i="9" l="1"/>
  <c r="V85" i="8" s="1"/>
  <c r="H90" i="9"/>
  <c r="G91" i="9" s="1"/>
  <c r="R90" i="9"/>
  <c r="P82" i="4"/>
  <c r="Q82" i="4" s="1"/>
  <c r="U82" i="7"/>
  <c r="V82" i="7" s="1"/>
  <c r="U79" i="8"/>
  <c r="U82" i="4"/>
  <c r="V82" i="4" s="1"/>
  <c r="P82" i="6"/>
  <c r="Q82" i="6" s="1"/>
  <c r="R83" i="7"/>
  <c r="AB83" i="7" s="1"/>
  <c r="U78" i="8" s="1"/>
  <c r="F78" i="8"/>
  <c r="H78" i="8" s="1"/>
  <c r="P82" i="1"/>
  <c r="Q82" i="1" s="1"/>
  <c r="U82" i="1"/>
  <c r="V82" i="1" s="1"/>
  <c r="L79" i="8"/>
  <c r="P82" i="3"/>
  <c r="Q82" i="3" s="1"/>
  <c r="U82" i="6"/>
  <c r="V82" i="6" s="1"/>
  <c r="Z82" i="1"/>
  <c r="AA82" i="1" s="1"/>
  <c r="W82" i="7"/>
  <c r="G77" i="8" s="1"/>
  <c r="L78" i="8" s="1"/>
  <c r="Z82" i="7"/>
  <c r="P82" i="7"/>
  <c r="Q82" i="7" s="1"/>
  <c r="AA82" i="7" s="1"/>
  <c r="B77" i="8"/>
  <c r="Z82" i="4"/>
  <c r="AA82" i="4" s="1"/>
  <c r="U82" i="3"/>
  <c r="V82" i="3" s="1"/>
  <c r="Z82" i="3"/>
  <c r="AA82" i="3" s="1"/>
  <c r="Z82" i="6"/>
  <c r="AA82" i="6" s="1"/>
  <c r="B76" i="8"/>
  <c r="Y81" i="7"/>
  <c r="O81" i="7"/>
  <c r="T81" i="7"/>
  <c r="L81" i="7"/>
  <c r="S81" i="7"/>
  <c r="W81" i="7" s="1"/>
  <c r="X81" i="7"/>
  <c r="I81" i="7"/>
  <c r="X81" i="4"/>
  <c r="Y81" i="4"/>
  <c r="O81" i="4"/>
  <c r="T81" i="4"/>
  <c r="F81" i="4"/>
  <c r="L81" i="4"/>
  <c r="S81" i="4"/>
  <c r="W81" i="4" s="1"/>
  <c r="X81" i="3"/>
  <c r="Y81" i="3"/>
  <c r="O81" i="3"/>
  <c r="T81" i="3"/>
  <c r="F81" i="3"/>
  <c r="L81" i="3"/>
  <c r="S81" i="3"/>
  <c r="W81" i="3" s="1"/>
  <c r="Y81" i="6"/>
  <c r="X81" i="6"/>
  <c r="T81" i="6"/>
  <c r="S81" i="6"/>
  <c r="O81" i="6"/>
  <c r="L81" i="6"/>
  <c r="F81" i="6"/>
  <c r="X81" i="1"/>
  <c r="Y81" i="1"/>
  <c r="O81" i="1"/>
  <c r="T81" i="1"/>
  <c r="F81" i="1"/>
  <c r="L81" i="1"/>
  <c r="S81" i="1"/>
  <c r="W81" i="1" s="1"/>
  <c r="R91" i="9" l="1"/>
  <c r="H91" i="9"/>
  <c r="G92" i="9" s="1"/>
  <c r="AB91" i="9"/>
  <c r="V86" i="8" s="1"/>
  <c r="U81" i="4"/>
  <c r="V81" i="4" s="1"/>
  <c r="Z81" i="7"/>
  <c r="P81" i="3"/>
  <c r="Q81" i="3" s="1"/>
  <c r="F77" i="8"/>
  <c r="H77" i="8" s="1"/>
  <c r="Z81" i="6"/>
  <c r="AA81" i="6" s="1"/>
  <c r="Z81" i="1"/>
  <c r="AA81" i="1" s="1"/>
  <c r="I77" i="8"/>
  <c r="M78" i="8" s="1"/>
  <c r="F81" i="7"/>
  <c r="K76" i="8" s="1"/>
  <c r="I82" i="7"/>
  <c r="Z81" i="4"/>
  <c r="AA81" i="4" s="1"/>
  <c r="U81" i="7"/>
  <c r="V81" i="7" s="1"/>
  <c r="H81" i="7"/>
  <c r="G81" i="7"/>
  <c r="P81" i="7"/>
  <c r="Q81" i="7" s="1"/>
  <c r="AA81" i="7" s="1"/>
  <c r="P81" i="4"/>
  <c r="Q81" i="4" s="1"/>
  <c r="U81" i="3"/>
  <c r="V81" i="3" s="1"/>
  <c r="Z81" i="3"/>
  <c r="AA81" i="3" s="1"/>
  <c r="U81" i="6"/>
  <c r="V81" i="6" s="1"/>
  <c r="P81" i="1"/>
  <c r="Q81" i="1" s="1"/>
  <c r="U81" i="1"/>
  <c r="V81" i="1" s="1"/>
  <c r="W81" i="6"/>
  <c r="G76" i="8" s="1"/>
  <c r="P81" i="6"/>
  <c r="Q81" i="6" s="1"/>
  <c r="B75" i="8"/>
  <c r="Y80" i="7"/>
  <c r="O80" i="7"/>
  <c r="T80" i="7"/>
  <c r="L80" i="7"/>
  <c r="S80" i="7"/>
  <c r="W80" i="7" s="1"/>
  <c r="X80" i="7"/>
  <c r="I80" i="7"/>
  <c r="H80" i="7" s="1"/>
  <c r="X80" i="4"/>
  <c r="Y80" i="4"/>
  <c r="O80" i="4"/>
  <c r="T80" i="4"/>
  <c r="F80" i="4"/>
  <c r="L80" i="4"/>
  <c r="S80" i="4"/>
  <c r="W80" i="4" s="1"/>
  <c r="X80" i="3"/>
  <c r="Y80" i="3"/>
  <c r="O80" i="3"/>
  <c r="T80" i="3"/>
  <c r="F80" i="3"/>
  <c r="L80" i="3"/>
  <c r="S80" i="3"/>
  <c r="W80" i="3" s="1"/>
  <c r="O80" i="6"/>
  <c r="S80" i="6"/>
  <c r="W80" i="6" s="1"/>
  <c r="T80" i="6"/>
  <c r="X80" i="6"/>
  <c r="Y80" i="6"/>
  <c r="F80" i="6"/>
  <c r="L80" i="6"/>
  <c r="X80" i="1"/>
  <c r="Y80" i="1"/>
  <c r="O80" i="1"/>
  <c r="T80" i="1"/>
  <c r="F80" i="1"/>
  <c r="L80" i="1"/>
  <c r="S80" i="1"/>
  <c r="W80" i="1" s="1"/>
  <c r="H92" i="9" l="1"/>
  <c r="R92" i="9"/>
  <c r="AB92" i="9"/>
  <c r="V87" i="8" s="1"/>
  <c r="U80" i="7"/>
  <c r="V80" i="7" s="1"/>
  <c r="G82" i="7"/>
  <c r="R82" i="7" s="1"/>
  <c r="AB82" i="7" s="1"/>
  <c r="F82" i="7"/>
  <c r="K77" i="8" s="1"/>
  <c r="H82" i="7"/>
  <c r="I76" i="8"/>
  <c r="M77" i="8" s="1"/>
  <c r="L77" i="8"/>
  <c r="R81" i="7"/>
  <c r="AB81" i="7" s="1"/>
  <c r="U76" i="8" s="1"/>
  <c r="P80" i="3"/>
  <c r="Q80" i="3" s="1"/>
  <c r="F76" i="8"/>
  <c r="H76" i="8" s="1"/>
  <c r="Z80" i="7"/>
  <c r="G75" i="8"/>
  <c r="P80" i="1"/>
  <c r="Q80" i="1" s="1"/>
  <c r="Z80" i="3"/>
  <c r="AA80" i="3" s="1"/>
  <c r="P80" i="6"/>
  <c r="Q80" i="6" s="1"/>
  <c r="P80" i="4"/>
  <c r="Q80" i="4" s="1"/>
  <c r="Z80" i="4"/>
  <c r="AA80" i="4" s="1"/>
  <c r="Z80" i="6"/>
  <c r="AA80" i="6" s="1"/>
  <c r="U80" i="4"/>
  <c r="V80" i="4" s="1"/>
  <c r="F80" i="7"/>
  <c r="K75" i="8" s="1"/>
  <c r="P80" i="7"/>
  <c r="Q80" i="7" s="1"/>
  <c r="AA80" i="7" s="1"/>
  <c r="U80" i="1"/>
  <c r="V80" i="1" s="1"/>
  <c r="U80" i="3"/>
  <c r="V80" i="3" s="1"/>
  <c r="G80" i="7"/>
  <c r="Z80" i="1"/>
  <c r="AA80" i="1" s="1"/>
  <c r="U80" i="6"/>
  <c r="V80" i="6" s="1"/>
  <c r="B74" i="8"/>
  <c r="X79" i="7"/>
  <c r="Y79" i="7"/>
  <c r="S79" i="7"/>
  <c r="O79" i="7"/>
  <c r="T79" i="7"/>
  <c r="L79" i="7"/>
  <c r="I79" i="7"/>
  <c r="F79" i="7" s="1"/>
  <c r="X79" i="4"/>
  <c r="Y79" i="4"/>
  <c r="O79" i="4"/>
  <c r="T79" i="4"/>
  <c r="F79" i="4"/>
  <c r="L79" i="4"/>
  <c r="S79" i="4"/>
  <c r="W79" i="4" s="1"/>
  <c r="X79" i="3"/>
  <c r="Y79" i="3"/>
  <c r="O79" i="3"/>
  <c r="T79" i="3"/>
  <c r="F79" i="3"/>
  <c r="L79" i="3"/>
  <c r="S79" i="3"/>
  <c r="W79" i="3" s="1"/>
  <c r="X79" i="6"/>
  <c r="Y79" i="6"/>
  <c r="O79" i="6"/>
  <c r="T79" i="6"/>
  <c r="F79" i="6"/>
  <c r="L79" i="6"/>
  <c r="S79" i="6"/>
  <c r="W79" i="6" s="1"/>
  <c r="X79" i="1"/>
  <c r="Y79" i="1"/>
  <c r="O79" i="1"/>
  <c r="T79" i="1"/>
  <c r="F79" i="1"/>
  <c r="L79" i="1"/>
  <c r="S79" i="1"/>
  <c r="W79" i="1" s="1"/>
  <c r="U77" i="8" l="1"/>
  <c r="P79" i="4"/>
  <c r="Q79" i="4" s="1"/>
  <c r="I75" i="8"/>
  <c r="M76" i="8" s="1"/>
  <c r="L76" i="8"/>
  <c r="Z79" i="1"/>
  <c r="AA79" i="1" s="1"/>
  <c r="P79" i="6"/>
  <c r="Q79" i="6" s="1"/>
  <c r="Z79" i="6"/>
  <c r="AA79" i="6" s="1"/>
  <c r="H79" i="7"/>
  <c r="G79" i="7"/>
  <c r="P79" i="3"/>
  <c r="Q79" i="3" s="1"/>
  <c r="P79" i="1"/>
  <c r="Q79" i="1" s="1"/>
  <c r="U79" i="3"/>
  <c r="V79" i="3" s="1"/>
  <c r="Z79" i="4"/>
  <c r="AA79" i="4" s="1"/>
  <c r="U79" i="7"/>
  <c r="V79" i="7" s="1"/>
  <c r="R80" i="7"/>
  <c r="AB80" i="7" s="1"/>
  <c r="U75" i="8" s="1"/>
  <c r="Z79" i="7"/>
  <c r="F75" i="8"/>
  <c r="H75" i="8" s="1"/>
  <c r="W79" i="7"/>
  <c r="G74" i="8" s="1"/>
  <c r="P79" i="7"/>
  <c r="Q79" i="7" s="1"/>
  <c r="AA79" i="7" s="1"/>
  <c r="U79" i="4"/>
  <c r="V79" i="4" s="1"/>
  <c r="K74" i="8"/>
  <c r="Z79" i="3"/>
  <c r="AA79" i="3" s="1"/>
  <c r="U79" i="6"/>
  <c r="V79" i="6" s="1"/>
  <c r="U79" i="1"/>
  <c r="V79" i="1" s="1"/>
  <c r="X78" i="7"/>
  <c r="Y78" i="7"/>
  <c r="S78" i="7"/>
  <c r="I78" i="7"/>
  <c r="G78" i="7" s="1"/>
  <c r="O78" i="7"/>
  <c r="T78" i="7"/>
  <c r="L78" i="7"/>
  <c r="B73" i="8"/>
  <c r="Y78" i="4"/>
  <c r="X78" i="4"/>
  <c r="F78" i="4"/>
  <c r="O78" i="4"/>
  <c r="T78" i="4"/>
  <c r="L78" i="4"/>
  <c r="S78" i="4"/>
  <c r="W78" i="4" s="1"/>
  <c r="X78" i="3"/>
  <c r="Y78" i="3"/>
  <c r="O78" i="3"/>
  <c r="T78" i="3"/>
  <c r="F78" i="3"/>
  <c r="L78" i="3"/>
  <c r="S78" i="3"/>
  <c r="W78" i="3" s="1"/>
  <c r="X78" i="6"/>
  <c r="Y78" i="6"/>
  <c r="O78" i="6"/>
  <c r="T78" i="6"/>
  <c r="F78" i="6"/>
  <c r="L78" i="6"/>
  <c r="S78" i="6"/>
  <c r="W78" i="6" s="1"/>
  <c r="X78" i="1"/>
  <c r="Y78" i="1"/>
  <c r="O78" i="1"/>
  <c r="T78" i="1"/>
  <c r="F78" i="1"/>
  <c r="L78" i="1"/>
  <c r="S78" i="1"/>
  <c r="P78" i="3" l="1"/>
  <c r="Q78" i="3" s="1"/>
  <c r="F74" i="8"/>
  <c r="H74" i="8" s="1"/>
  <c r="F78" i="7"/>
  <c r="K73" i="8" s="1"/>
  <c r="R79" i="7"/>
  <c r="AB79" i="7" s="1"/>
  <c r="U74" i="8" s="1"/>
  <c r="U78" i="7"/>
  <c r="V78" i="7" s="1"/>
  <c r="U78" i="1"/>
  <c r="V78" i="1" s="1"/>
  <c r="P78" i="6"/>
  <c r="Q78" i="6" s="1"/>
  <c r="U78" i="4"/>
  <c r="V78" i="4" s="1"/>
  <c r="I74" i="8"/>
  <c r="M75" i="8" s="1"/>
  <c r="L75" i="8"/>
  <c r="Z78" i="7"/>
  <c r="P78" i="7"/>
  <c r="Q78" i="7" s="1"/>
  <c r="AA78" i="7" s="1"/>
  <c r="P78" i="4"/>
  <c r="Q78" i="4" s="1"/>
  <c r="Z78" i="6"/>
  <c r="AA78" i="6" s="1"/>
  <c r="P78" i="1"/>
  <c r="Q78" i="1" s="1"/>
  <c r="W78" i="7"/>
  <c r="H78" i="7"/>
  <c r="Z78" i="4"/>
  <c r="AA78" i="4" s="1"/>
  <c r="U78" i="3"/>
  <c r="V78" i="3" s="1"/>
  <c r="Z78" i="3"/>
  <c r="AA78" i="3" s="1"/>
  <c r="U78" i="6"/>
  <c r="V78" i="6" s="1"/>
  <c r="W78" i="1"/>
  <c r="Z78" i="1"/>
  <c r="AA78" i="1" s="1"/>
  <c r="B72" i="8"/>
  <c r="Y77" i="7"/>
  <c r="O77" i="7"/>
  <c r="T77" i="7"/>
  <c r="L77" i="7"/>
  <c r="S77" i="7"/>
  <c r="W77" i="7" s="1"/>
  <c r="X77" i="7"/>
  <c r="I77" i="7"/>
  <c r="H77" i="7" s="1"/>
  <c r="X77" i="4"/>
  <c r="Y77" i="4"/>
  <c r="O77" i="4"/>
  <c r="T77" i="4"/>
  <c r="F77" i="4"/>
  <c r="L77" i="4"/>
  <c r="S77" i="4"/>
  <c r="W77" i="4" s="1"/>
  <c r="X77" i="3"/>
  <c r="Y77" i="3"/>
  <c r="O77" i="3"/>
  <c r="T77" i="3"/>
  <c r="F77" i="3"/>
  <c r="L77" i="3"/>
  <c r="S77" i="3"/>
  <c r="W77" i="3" s="1"/>
  <c r="X77" i="6"/>
  <c r="Y77" i="6"/>
  <c r="O77" i="6"/>
  <c r="T77" i="6"/>
  <c r="F77" i="6"/>
  <c r="L77" i="6"/>
  <c r="S77" i="6"/>
  <c r="X77" i="1"/>
  <c r="Y77" i="1"/>
  <c r="O77" i="1"/>
  <c r="T77" i="1"/>
  <c r="F77" i="1"/>
  <c r="L77" i="1"/>
  <c r="S77" i="1"/>
  <c r="W77" i="1" s="1"/>
  <c r="G73" i="8" l="1"/>
  <c r="I73" i="8" s="1"/>
  <c r="M74" i="8" s="1"/>
  <c r="R78" i="7"/>
  <c r="AB78" i="7" s="1"/>
  <c r="U73" i="8" s="1"/>
  <c r="F73" i="8"/>
  <c r="H73" i="8" s="1"/>
  <c r="P77" i="4"/>
  <c r="Q77" i="4" s="1"/>
  <c r="P77" i="1"/>
  <c r="Q77" i="1" s="1"/>
  <c r="P77" i="6"/>
  <c r="Q77" i="6" s="1"/>
  <c r="U77" i="1"/>
  <c r="V77" i="1" s="1"/>
  <c r="Z77" i="1"/>
  <c r="AA77" i="1" s="1"/>
  <c r="P77" i="7"/>
  <c r="Q77" i="7" s="1"/>
  <c r="AA77" i="7" s="1"/>
  <c r="U77" i="6"/>
  <c r="V77" i="6" s="1"/>
  <c r="U77" i="3"/>
  <c r="V77" i="3" s="1"/>
  <c r="F77" i="7"/>
  <c r="K72" i="8" s="1"/>
  <c r="Z77" i="7"/>
  <c r="U77" i="4"/>
  <c r="V77" i="4" s="1"/>
  <c r="Z77" i="6"/>
  <c r="AA77" i="6" s="1"/>
  <c r="Z77" i="3"/>
  <c r="AA77" i="3" s="1"/>
  <c r="G77" i="7"/>
  <c r="W77" i="6"/>
  <c r="G72" i="8" s="1"/>
  <c r="P77" i="3"/>
  <c r="Q77" i="3" s="1"/>
  <c r="Z77" i="4"/>
  <c r="AA77" i="4" s="1"/>
  <c r="U77" i="7"/>
  <c r="V77" i="7" s="1"/>
  <c r="S76" i="7"/>
  <c r="W76" i="7" s="1"/>
  <c r="A79" i="7"/>
  <c r="L74" i="8" l="1"/>
  <c r="L73" i="8"/>
  <c r="F72" i="8"/>
  <c r="H72" i="8" s="1"/>
  <c r="R77" i="7"/>
  <c r="AB77" i="7" s="1"/>
  <c r="U72" i="8" s="1"/>
  <c r="I72" i="8"/>
  <c r="M73" i="8" s="1"/>
  <c r="A77" i="7"/>
  <c r="B71" i="8"/>
  <c r="X76" i="7"/>
  <c r="Y76" i="7"/>
  <c r="O76" i="7"/>
  <c r="T76" i="7"/>
  <c r="L76" i="7"/>
  <c r="I76" i="7"/>
  <c r="F76" i="7" s="1"/>
  <c r="X76" i="4"/>
  <c r="Y76" i="4"/>
  <c r="F76" i="4"/>
  <c r="O76" i="4"/>
  <c r="T76" i="4"/>
  <c r="L76" i="4"/>
  <c r="S76" i="4"/>
  <c r="W76" i="4" s="1"/>
  <c r="X76" i="3"/>
  <c r="Y76" i="3"/>
  <c r="O76" i="3"/>
  <c r="T76" i="3"/>
  <c r="F76" i="3"/>
  <c r="L76" i="3"/>
  <c r="S76" i="3"/>
  <c r="W76" i="3" s="1"/>
  <c r="S76" i="6"/>
  <c r="T76" i="6"/>
  <c r="X76" i="6"/>
  <c r="Y76" i="6"/>
  <c r="O76" i="6"/>
  <c r="F76" i="6"/>
  <c r="L76" i="6"/>
  <c r="X76" i="1"/>
  <c r="Y76" i="1"/>
  <c r="F76" i="1"/>
  <c r="O76" i="1"/>
  <c r="T76" i="1"/>
  <c r="L76" i="1"/>
  <c r="S76" i="1"/>
  <c r="W76" i="1" s="1"/>
  <c r="Z76" i="3" l="1"/>
  <c r="AA76" i="3" s="1"/>
  <c r="U76" i="7"/>
  <c r="V76" i="7" s="1"/>
  <c r="A80" i="7"/>
  <c r="P76" i="4"/>
  <c r="Q76" i="4" s="1"/>
  <c r="U76" i="6"/>
  <c r="V76" i="6" s="1"/>
  <c r="Z76" i="1"/>
  <c r="AA76" i="1" s="1"/>
  <c r="Z76" i="4"/>
  <c r="AA76" i="4" s="1"/>
  <c r="U76" i="3"/>
  <c r="V76" i="3" s="1"/>
  <c r="P76" i="3"/>
  <c r="Q76" i="3" s="1"/>
  <c r="P76" i="6"/>
  <c r="Q76" i="6" s="1"/>
  <c r="Z76" i="7"/>
  <c r="AA76" i="7" s="1"/>
  <c r="P76" i="7"/>
  <c r="Q76" i="7" s="1"/>
  <c r="G76" i="7"/>
  <c r="H76" i="7"/>
  <c r="U76" i="4"/>
  <c r="V76" i="4" s="1"/>
  <c r="Z76" i="6"/>
  <c r="AA76" i="6" s="1"/>
  <c r="K71" i="8"/>
  <c r="W76" i="6"/>
  <c r="U76" i="1"/>
  <c r="V76" i="1" s="1"/>
  <c r="P76" i="1"/>
  <c r="Q76" i="1" s="1"/>
  <c r="B70" i="8"/>
  <c r="X75" i="7"/>
  <c r="Y75" i="7"/>
  <c r="O75" i="7"/>
  <c r="T75" i="7"/>
  <c r="F75" i="7"/>
  <c r="H75" i="7"/>
  <c r="L75" i="7"/>
  <c r="P75" i="7" s="1"/>
  <c r="Q75" i="7" s="1"/>
  <c r="S75" i="7"/>
  <c r="W75" i="7" s="1"/>
  <c r="G75" i="7"/>
  <c r="X75" i="4"/>
  <c r="Y75" i="4"/>
  <c r="O75" i="4"/>
  <c r="T75" i="4"/>
  <c r="F75" i="4"/>
  <c r="L75" i="4"/>
  <c r="S75" i="4"/>
  <c r="W75" i="4" s="1"/>
  <c r="X75" i="3"/>
  <c r="Y75" i="3"/>
  <c r="O75" i="3"/>
  <c r="T75" i="3"/>
  <c r="F75" i="3"/>
  <c r="L75" i="3"/>
  <c r="S75" i="3"/>
  <c r="W75" i="3" s="1"/>
  <c r="S75" i="6"/>
  <c r="T75" i="6"/>
  <c r="X75" i="6"/>
  <c r="Y75" i="6"/>
  <c r="O75" i="6"/>
  <c r="F75" i="6"/>
  <c r="L75" i="6"/>
  <c r="X75" i="1"/>
  <c r="Y75" i="1"/>
  <c r="F75" i="1"/>
  <c r="O75" i="1"/>
  <c r="T75" i="1"/>
  <c r="L75" i="1"/>
  <c r="S75" i="1"/>
  <c r="W75" i="1" s="1"/>
  <c r="R76" i="7" l="1"/>
  <c r="AB76" i="7" s="1"/>
  <c r="U71" i="8" s="1"/>
  <c r="F71" i="8"/>
  <c r="H71" i="8" s="1"/>
  <c r="G71" i="8"/>
  <c r="Z75" i="6"/>
  <c r="AA75" i="6" s="1"/>
  <c r="P75" i="6"/>
  <c r="Q75" i="6" s="1"/>
  <c r="R75" i="7"/>
  <c r="AB75" i="7" s="1"/>
  <c r="P75" i="4"/>
  <c r="Q75" i="4" s="1"/>
  <c r="P75" i="3"/>
  <c r="Q75" i="3" s="1"/>
  <c r="U75" i="6"/>
  <c r="V75" i="6" s="1"/>
  <c r="Z75" i="7"/>
  <c r="AA75" i="7" s="1"/>
  <c r="Z75" i="1"/>
  <c r="AA75" i="1" s="1"/>
  <c r="P75" i="1"/>
  <c r="Q75" i="1" s="1"/>
  <c r="U75" i="1"/>
  <c r="V75" i="1" s="1"/>
  <c r="Z75" i="3"/>
  <c r="AA75" i="3" s="1"/>
  <c r="K70" i="8"/>
  <c r="U75" i="7"/>
  <c r="V75" i="7" s="1"/>
  <c r="U75" i="4"/>
  <c r="V75" i="4" s="1"/>
  <c r="Z75" i="4"/>
  <c r="AA75" i="4" s="1"/>
  <c r="U75" i="3"/>
  <c r="V75" i="3" s="1"/>
  <c r="W75" i="6"/>
  <c r="Z25" i="5"/>
  <c r="AA25" i="5" s="1"/>
  <c r="Z26" i="5"/>
  <c r="AA26" i="5" s="1"/>
  <c r="Z27" i="5"/>
  <c r="AA27" i="5" s="1"/>
  <c r="Z28" i="5"/>
  <c r="AA28" i="5" s="1"/>
  <c r="Z29" i="5"/>
  <c r="AA29" i="5" s="1"/>
  <c r="Z30" i="5"/>
  <c r="AA30" i="5" s="1"/>
  <c r="Z31" i="5"/>
  <c r="AA31" i="5" s="1"/>
  <c r="Z32" i="5"/>
  <c r="AA32" i="5" s="1"/>
  <c r="Z33" i="5"/>
  <c r="AA33" i="5" s="1"/>
  <c r="Z34" i="5"/>
  <c r="AA34" i="5" s="1"/>
  <c r="Z35" i="5"/>
  <c r="AA35" i="5" s="1"/>
  <c r="Z36" i="5"/>
  <c r="AA36" i="5" s="1"/>
  <c r="Z37" i="5"/>
  <c r="AA37" i="5" s="1"/>
  <c r="Z38" i="5"/>
  <c r="AA38" i="5" s="1"/>
  <c r="Z39" i="5"/>
  <c r="AA39" i="5" s="1"/>
  <c r="Z40" i="5"/>
  <c r="AA40" i="5" s="1"/>
  <c r="Z41" i="5"/>
  <c r="AA41" i="5" s="1"/>
  <c r="Z42" i="5"/>
  <c r="AA42" i="5" s="1"/>
  <c r="Z43" i="5"/>
  <c r="AA43" i="5" s="1"/>
  <c r="Z44" i="5"/>
  <c r="AA44" i="5" s="1"/>
  <c r="Z24" i="5"/>
  <c r="AA24" i="5" s="1"/>
  <c r="AC24" i="5" s="1"/>
  <c r="AC25" i="5" s="1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52" i="7"/>
  <c r="O66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49" i="4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48" i="3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20" i="6"/>
  <c r="Z74" i="4" l="1"/>
  <c r="AA74" i="4" s="1"/>
  <c r="Z70" i="4"/>
  <c r="AA70" i="4" s="1"/>
  <c r="Z66" i="4"/>
  <c r="AA66" i="4" s="1"/>
  <c r="Z62" i="4"/>
  <c r="AA62" i="4" s="1"/>
  <c r="Z58" i="4"/>
  <c r="AA58" i="4" s="1"/>
  <c r="Z54" i="4"/>
  <c r="AA54" i="4" s="1"/>
  <c r="Z50" i="4"/>
  <c r="AA50" i="4" s="1"/>
  <c r="Z71" i="4"/>
  <c r="AA71" i="4" s="1"/>
  <c r="Z67" i="4"/>
  <c r="AA67" i="4" s="1"/>
  <c r="Z63" i="4"/>
  <c r="AA63" i="4" s="1"/>
  <c r="Z59" i="4"/>
  <c r="AA59" i="4" s="1"/>
  <c r="Z55" i="4"/>
  <c r="AA55" i="4" s="1"/>
  <c r="Z51" i="4"/>
  <c r="AA51" i="4" s="1"/>
  <c r="I71" i="8"/>
  <c r="M72" i="8" s="1"/>
  <c r="L72" i="8"/>
  <c r="F70" i="8"/>
  <c r="H70" i="8" s="1"/>
  <c r="Z67" i="7"/>
  <c r="AA67" i="7" s="1"/>
  <c r="Z59" i="7"/>
  <c r="AA59" i="7" s="1"/>
  <c r="Z73" i="4"/>
  <c r="AA73" i="4" s="1"/>
  <c r="Z69" i="4"/>
  <c r="AA69" i="4" s="1"/>
  <c r="Z57" i="4"/>
  <c r="AA57" i="4" s="1"/>
  <c r="Z53" i="4"/>
  <c r="AA53" i="4" s="1"/>
  <c r="AC26" i="5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Z73" i="7"/>
  <c r="AA73" i="7" s="1"/>
  <c r="Z65" i="7"/>
  <c r="AA65" i="7" s="1"/>
  <c r="Z57" i="7"/>
  <c r="AA57" i="7" s="1"/>
  <c r="Z71" i="7"/>
  <c r="AA71" i="7" s="1"/>
  <c r="Z63" i="7"/>
  <c r="AA63" i="7" s="1"/>
  <c r="Z55" i="7"/>
  <c r="AA55" i="7" s="1"/>
  <c r="Z69" i="7"/>
  <c r="AA69" i="7" s="1"/>
  <c r="Z61" i="7"/>
  <c r="AA61" i="7" s="1"/>
  <c r="Z53" i="7"/>
  <c r="AA53" i="7" s="1"/>
  <c r="Z65" i="4"/>
  <c r="AA65" i="4" s="1"/>
  <c r="Z61" i="4"/>
  <c r="AA61" i="4" s="1"/>
  <c r="Z73" i="3"/>
  <c r="AA73" i="3" s="1"/>
  <c r="Z65" i="3"/>
  <c r="AA65" i="3" s="1"/>
  <c r="Z61" i="3"/>
  <c r="AA61" i="3" s="1"/>
  <c r="Z57" i="3"/>
  <c r="AA57" i="3" s="1"/>
  <c r="Z53" i="3"/>
  <c r="AA53" i="3" s="1"/>
  <c r="Z49" i="3"/>
  <c r="AA49" i="3" s="1"/>
  <c r="Z69" i="3"/>
  <c r="AA69" i="3" s="1"/>
  <c r="Z49" i="4"/>
  <c r="AA49" i="4" s="1"/>
  <c r="Z72" i="4"/>
  <c r="AA72" i="4" s="1"/>
  <c r="Z68" i="4"/>
  <c r="AA68" i="4" s="1"/>
  <c r="Z64" i="4"/>
  <c r="AA64" i="4" s="1"/>
  <c r="Z60" i="4"/>
  <c r="AA60" i="4" s="1"/>
  <c r="Z56" i="4"/>
  <c r="AA56" i="4" s="1"/>
  <c r="Z52" i="4"/>
  <c r="AA52" i="4" s="1"/>
  <c r="Z72" i="7"/>
  <c r="AA72" i="7" s="1"/>
  <c r="Z68" i="7"/>
  <c r="AA68" i="7" s="1"/>
  <c r="Z64" i="7"/>
  <c r="AA64" i="7" s="1"/>
  <c r="Z60" i="7"/>
  <c r="AA60" i="7" s="1"/>
  <c r="Z56" i="7"/>
  <c r="AA56" i="7" s="1"/>
  <c r="Z52" i="7"/>
  <c r="AA52" i="7" s="1"/>
  <c r="Z74" i="7"/>
  <c r="AA74" i="7" s="1"/>
  <c r="Z70" i="7"/>
  <c r="AA70" i="7" s="1"/>
  <c r="Z66" i="7"/>
  <c r="AA66" i="7" s="1"/>
  <c r="Z62" i="7"/>
  <c r="AA62" i="7" s="1"/>
  <c r="Z58" i="7"/>
  <c r="AA58" i="7" s="1"/>
  <c r="Z54" i="7"/>
  <c r="AA54" i="7" s="1"/>
  <c r="Z71" i="3"/>
  <c r="AA71" i="3" s="1"/>
  <c r="Z67" i="3"/>
  <c r="AA67" i="3" s="1"/>
  <c r="Z63" i="3"/>
  <c r="AA63" i="3" s="1"/>
  <c r="Z59" i="3"/>
  <c r="AA59" i="3" s="1"/>
  <c r="Z55" i="3"/>
  <c r="AA55" i="3" s="1"/>
  <c r="Z51" i="3"/>
  <c r="AA51" i="3" s="1"/>
  <c r="Z74" i="3"/>
  <c r="AA74" i="3" s="1"/>
  <c r="Z70" i="3"/>
  <c r="AA70" i="3" s="1"/>
  <c r="Z66" i="3"/>
  <c r="AA66" i="3" s="1"/>
  <c r="Z62" i="3"/>
  <c r="AA62" i="3" s="1"/>
  <c r="Z58" i="3"/>
  <c r="AA58" i="3" s="1"/>
  <c r="Z54" i="3"/>
  <c r="AA54" i="3" s="1"/>
  <c r="Z50" i="3"/>
  <c r="AA50" i="3" s="1"/>
  <c r="Z72" i="3"/>
  <c r="AA72" i="3" s="1"/>
  <c r="Z68" i="3"/>
  <c r="AA68" i="3" s="1"/>
  <c r="Z64" i="3"/>
  <c r="AA64" i="3" s="1"/>
  <c r="Z60" i="3"/>
  <c r="AA60" i="3" s="1"/>
  <c r="Z56" i="3"/>
  <c r="AA56" i="3" s="1"/>
  <c r="Z52" i="3"/>
  <c r="AA52" i="3" s="1"/>
  <c r="Z48" i="3"/>
  <c r="AA48" i="3" s="1"/>
  <c r="Z72" i="6"/>
  <c r="AA72" i="6" s="1"/>
  <c r="Z68" i="6"/>
  <c r="AA68" i="6" s="1"/>
  <c r="Z64" i="6"/>
  <c r="AA64" i="6" s="1"/>
  <c r="Z60" i="6"/>
  <c r="AA60" i="6" s="1"/>
  <c r="Z56" i="6"/>
  <c r="AA56" i="6" s="1"/>
  <c r="Z52" i="6"/>
  <c r="AA52" i="6" s="1"/>
  <c r="Z48" i="6"/>
  <c r="AA48" i="6" s="1"/>
  <c r="Z44" i="6"/>
  <c r="AA44" i="6" s="1"/>
  <c r="Z40" i="6"/>
  <c r="AA40" i="6" s="1"/>
  <c r="Z36" i="6"/>
  <c r="AA36" i="6" s="1"/>
  <c r="Z32" i="6"/>
  <c r="AA32" i="6" s="1"/>
  <c r="Z28" i="6"/>
  <c r="AA28" i="6" s="1"/>
  <c r="Z24" i="6"/>
  <c r="AA24" i="6" s="1"/>
  <c r="Z20" i="6"/>
  <c r="AA20" i="6" s="1"/>
  <c r="Z71" i="6"/>
  <c r="AA71" i="6" s="1"/>
  <c r="Z67" i="6"/>
  <c r="AA67" i="6" s="1"/>
  <c r="Z63" i="6"/>
  <c r="AA63" i="6" s="1"/>
  <c r="Z59" i="6"/>
  <c r="AA59" i="6" s="1"/>
  <c r="Z55" i="6"/>
  <c r="AA55" i="6" s="1"/>
  <c r="Z51" i="6"/>
  <c r="AA51" i="6" s="1"/>
  <c r="Z47" i="6"/>
  <c r="AA47" i="6" s="1"/>
  <c r="Z43" i="6"/>
  <c r="AA43" i="6" s="1"/>
  <c r="Z39" i="6"/>
  <c r="AA39" i="6" s="1"/>
  <c r="Z35" i="6"/>
  <c r="AA35" i="6" s="1"/>
  <c r="Z31" i="6"/>
  <c r="AA31" i="6" s="1"/>
  <c r="Z27" i="6"/>
  <c r="AA27" i="6" s="1"/>
  <c r="Z23" i="6"/>
  <c r="AA23" i="6" s="1"/>
  <c r="Z74" i="6"/>
  <c r="AA74" i="6" s="1"/>
  <c r="Z70" i="6"/>
  <c r="AA70" i="6" s="1"/>
  <c r="Z66" i="6"/>
  <c r="AA66" i="6" s="1"/>
  <c r="Z62" i="6"/>
  <c r="AA62" i="6" s="1"/>
  <c r="Z58" i="6"/>
  <c r="AA58" i="6" s="1"/>
  <c r="Z54" i="6"/>
  <c r="AA54" i="6" s="1"/>
  <c r="Z50" i="6"/>
  <c r="AA50" i="6" s="1"/>
  <c r="Z46" i="6"/>
  <c r="AA46" i="6" s="1"/>
  <c r="Z42" i="6"/>
  <c r="AA42" i="6" s="1"/>
  <c r="Z38" i="6"/>
  <c r="AA38" i="6" s="1"/>
  <c r="Z34" i="6"/>
  <c r="AA34" i="6" s="1"/>
  <c r="Z30" i="6"/>
  <c r="AA30" i="6" s="1"/>
  <c r="Z26" i="6"/>
  <c r="AA26" i="6" s="1"/>
  <c r="Z22" i="6"/>
  <c r="AA22" i="6" s="1"/>
  <c r="Z73" i="6"/>
  <c r="AA73" i="6" s="1"/>
  <c r="Z69" i="6"/>
  <c r="AA69" i="6" s="1"/>
  <c r="Z65" i="6"/>
  <c r="AA65" i="6" s="1"/>
  <c r="Z61" i="6"/>
  <c r="AA61" i="6" s="1"/>
  <c r="Z57" i="6"/>
  <c r="AA57" i="6" s="1"/>
  <c r="Z53" i="6"/>
  <c r="AA53" i="6" s="1"/>
  <c r="Z49" i="6"/>
  <c r="AA49" i="6" s="1"/>
  <c r="Z45" i="6"/>
  <c r="AA45" i="6" s="1"/>
  <c r="Z41" i="6"/>
  <c r="AA41" i="6" s="1"/>
  <c r="Z37" i="6"/>
  <c r="AA37" i="6" s="1"/>
  <c r="Z33" i="6"/>
  <c r="AA33" i="6" s="1"/>
  <c r="Z29" i="6"/>
  <c r="AA29" i="6" s="1"/>
  <c r="Z25" i="6"/>
  <c r="AA25" i="6" s="1"/>
  <c r="Z21" i="6"/>
  <c r="AA21" i="6" s="1"/>
  <c r="Z7" i="1"/>
  <c r="AA7" i="1" s="1"/>
  <c r="AC7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8" i="1"/>
  <c r="B69" i="8"/>
  <c r="O74" i="7"/>
  <c r="T74" i="7"/>
  <c r="F74" i="7"/>
  <c r="H74" i="7"/>
  <c r="L74" i="7"/>
  <c r="P74" i="7" s="1"/>
  <c r="Q74" i="7" s="1"/>
  <c r="S74" i="7"/>
  <c r="G74" i="7"/>
  <c r="O74" i="4"/>
  <c r="T74" i="4"/>
  <c r="F74" i="4"/>
  <c r="L74" i="4"/>
  <c r="S74" i="4"/>
  <c r="W74" i="4" s="1"/>
  <c r="O74" i="3"/>
  <c r="T74" i="3"/>
  <c r="L74" i="3"/>
  <c r="S74" i="3"/>
  <c r="W74" i="3" s="1"/>
  <c r="F74" i="3"/>
  <c r="O74" i="6"/>
  <c r="T74" i="6"/>
  <c r="F74" i="6"/>
  <c r="L74" i="6"/>
  <c r="S74" i="6"/>
  <c r="W74" i="6" s="1"/>
  <c r="O74" i="1"/>
  <c r="T74" i="1"/>
  <c r="F74" i="1"/>
  <c r="L74" i="1"/>
  <c r="S74" i="1"/>
  <c r="W74" i="1" s="1"/>
  <c r="U74" i="7" l="1"/>
  <c r="V74" i="7" s="1"/>
  <c r="U70" i="8" s="1"/>
  <c r="R74" i="7"/>
  <c r="AB74" i="7" s="1"/>
  <c r="Z72" i="1"/>
  <c r="AA72" i="1" s="1"/>
  <c r="Z68" i="1"/>
  <c r="AA68" i="1" s="1"/>
  <c r="Z64" i="1"/>
  <c r="AA64" i="1" s="1"/>
  <c r="Z60" i="1"/>
  <c r="AA60" i="1" s="1"/>
  <c r="Z56" i="1"/>
  <c r="AA56" i="1" s="1"/>
  <c r="Z52" i="1"/>
  <c r="AA52" i="1" s="1"/>
  <c r="Z48" i="1"/>
  <c r="AA48" i="1" s="1"/>
  <c r="Z44" i="1"/>
  <c r="AA44" i="1" s="1"/>
  <c r="Z40" i="1"/>
  <c r="AA40" i="1" s="1"/>
  <c r="Z36" i="1"/>
  <c r="AA36" i="1" s="1"/>
  <c r="Z32" i="1"/>
  <c r="AA32" i="1" s="1"/>
  <c r="Z28" i="1"/>
  <c r="AA28" i="1" s="1"/>
  <c r="Z24" i="1"/>
  <c r="AA24" i="1" s="1"/>
  <c r="Z20" i="1"/>
  <c r="AA20" i="1" s="1"/>
  <c r="Z16" i="1"/>
  <c r="AA16" i="1" s="1"/>
  <c r="Z12" i="1"/>
  <c r="AA12" i="1" s="1"/>
  <c r="P74" i="6"/>
  <c r="Q74" i="6" s="1"/>
  <c r="H74" i="6" s="1"/>
  <c r="Z74" i="1"/>
  <c r="AA74" i="1" s="1"/>
  <c r="Z66" i="1"/>
  <c r="AA66" i="1" s="1"/>
  <c r="Z62" i="1"/>
  <c r="AA62" i="1" s="1"/>
  <c r="Z54" i="1"/>
  <c r="AA54" i="1" s="1"/>
  <c r="Z46" i="1"/>
  <c r="AA46" i="1" s="1"/>
  <c r="Z34" i="1"/>
  <c r="AA34" i="1" s="1"/>
  <c r="Z30" i="1"/>
  <c r="AA30" i="1" s="1"/>
  <c r="Z22" i="1"/>
  <c r="AA22" i="1" s="1"/>
  <c r="Z14" i="1"/>
  <c r="AA14" i="1" s="1"/>
  <c r="Z69" i="1"/>
  <c r="AA69" i="1" s="1"/>
  <c r="Z65" i="1"/>
  <c r="AA65" i="1" s="1"/>
  <c r="Z61" i="1"/>
  <c r="AA61" i="1" s="1"/>
  <c r="Z57" i="1"/>
  <c r="AA57" i="1" s="1"/>
  <c r="Z53" i="1"/>
  <c r="AA53" i="1" s="1"/>
  <c r="Z49" i="1"/>
  <c r="AA49" i="1" s="1"/>
  <c r="Z45" i="1"/>
  <c r="AA45" i="1" s="1"/>
  <c r="Z41" i="1"/>
  <c r="AA41" i="1" s="1"/>
  <c r="Z37" i="1"/>
  <c r="AA37" i="1" s="1"/>
  <c r="Z33" i="1"/>
  <c r="AA33" i="1" s="1"/>
  <c r="Z29" i="1"/>
  <c r="AA29" i="1" s="1"/>
  <c r="Z25" i="1"/>
  <c r="AA25" i="1" s="1"/>
  <c r="Z21" i="1"/>
  <c r="AA21" i="1" s="1"/>
  <c r="Z17" i="1"/>
  <c r="AA17" i="1" s="1"/>
  <c r="Z13" i="1"/>
  <c r="AA13" i="1" s="1"/>
  <c r="Z9" i="1"/>
  <c r="AA9" i="1" s="1"/>
  <c r="Z70" i="1"/>
  <c r="AA70" i="1" s="1"/>
  <c r="Z58" i="1"/>
  <c r="AA58" i="1" s="1"/>
  <c r="Z50" i="1"/>
  <c r="AA50" i="1" s="1"/>
  <c r="Z42" i="1"/>
  <c r="AA42" i="1" s="1"/>
  <c r="Z38" i="1"/>
  <c r="AA38" i="1" s="1"/>
  <c r="Z26" i="1"/>
  <c r="AA26" i="1" s="1"/>
  <c r="Z18" i="1"/>
  <c r="AA18" i="1" s="1"/>
  <c r="Z10" i="1"/>
  <c r="AA10" i="1" s="1"/>
  <c r="Z73" i="1"/>
  <c r="AA73" i="1" s="1"/>
  <c r="W74" i="7"/>
  <c r="P74" i="4"/>
  <c r="Q74" i="4" s="1"/>
  <c r="P74" i="3"/>
  <c r="Q74" i="3" s="1"/>
  <c r="Z8" i="1"/>
  <c r="AA8" i="1" s="1"/>
  <c r="AC8" i="1" s="1"/>
  <c r="Z71" i="1"/>
  <c r="AA71" i="1" s="1"/>
  <c r="Z67" i="1"/>
  <c r="AA67" i="1" s="1"/>
  <c r="Z63" i="1"/>
  <c r="AA63" i="1" s="1"/>
  <c r="Z59" i="1"/>
  <c r="AA59" i="1" s="1"/>
  <c r="Z55" i="1"/>
  <c r="AA55" i="1" s="1"/>
  <c r="Z51" i="1"/>
  <c r="AA51" i="1" s="1"/>
  <c r="Z47" i="1"/>
  <c r="AA47" i="1" s="1"/>
  <c r="Z43" i="1"/>
  <c r="AA43" i="1" s="1"/>
  <c r="Z39" i="1"/>
  <c r="AA39" i="1" s="1"/>
  <c r="Z35" i="1"/>
  <c r="AA35" i="1" s="1"/>
  <c r="Z31" i="1"/>
  <c r="AA31" i="1" s="1"/>
  <c r="Z27" i="1"/>
  <c r="AA27" i="1" s="1"/>
  <c r="Z23" i="1"/>
  <c r="AA23" i="1" s="1"/>
  <c r="Z19" i="1"/>
  <c r="AA19" i="1" s="1"/>
  <c r="Z15" i="1"/>
  <c r="AA15" i="1" s="1"/>
  <c r="Z11" i="1"/>
  <c r="AA11" i="1" s="1"/>
  <c r="U74" i="4"/>
  <c r="V74" i="4" s="1"/>
  <c r="U74" i="3"/>
  <c r="V74" i="3" s="1"/>
  <c r="K69" i="8"/>
  <c r="U74" i="6"/>
  <c r="V74" i="6" s="1"/>
  <c r="U74" i="1"/>
  <c r="V74" i="1" s="1"/>
  <c r="P74" i="1"/>
  <c r="Q74" i="1" s="1"/>
  <c r="F61" i="2"/>
  <c r="F62" i="2" s="1"/>
  <c r="E62" i="2"/>
  <c r="AC9" i="1" l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R74" i="6"/>
  <c r="AB74" i="6" s="1"/>
  <c r="G75" i="6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D62" i="2"/>
  <c r="F69" i="8"/>
  <c r="B68" i="8"/>
  <c r="T73" i="6"/>
  <c r="S73" i="6"/>
  <c r="W73" i="6" s="1"/>
  <c r="O73" i="6"/>
  <c r="F73" i="6"/>
  <c r="L73" i="6"/>
  <c r="S35" i="2"/>
  <c r="S34" i="2"/>
  <c r="R38" i="2" s="1"/>
  <c r="R39" i="2" s="1"/>
  <c r="G31" i="2"/>
  <c r="O73" i="7"/>
  <c r="T73" i="7"/>
  <c r="F73" i="7"/>
  <c r="H73" i="7"/>
  <c r="L73" i="7"/>
  <c r="S73" i="7"/>
  <c r="W73" i="7" s="1"/>
  <c r="G73" i="7"/>
  <c r="O73" i="4"/>
  <c r="T73" i="4"/>
  <c r="F73" i="4"/>
  <c r="L73" i="4"/>
  <c r="S73" i="4"/>
  <c r="W73" i="4" s="1"/>
  <c r="F73" i="3"/>
  <c r="O73" i="3"/>
  <c r="T73" i="3"/>
  <c r="L73" i="3"/>
  <c r="S73" i="3"/>
  <c r="W73" i="3" s="1"/>
  <c r="F73" i="1"/>
  <c r="O73" i="1"/>
  <c r="T73" i="1"/>
  <c r="L73" i="1"/>
  <c r="S73" i="1"/>
  <c r="G86" i="6" l="1"/>
  <c r="G88" i="6" s="1"/>
  <c r="R88" i="6" s="1"/>
  <c r="AB88" i="6" s="1"/>
  <c r="G87" i="6"/>
  <c r="G89" i="6" s="1"/>
  <c r="H85" i="6"/>
  <c r="R85" i="6"/>
  <c r="AB85" i="6" s="1"/>
  <c r="H84" i="6"/>
  <c r="R84" i="6"/>
  <c r="AB84" i="6" s="1"/>
  <c r="R83" i="6"/>
  <c r="AB83" i="6" s="1"/>
  <c r="H83" i="6"/>
  <c r="H82" i="6"/>
  <c r="R82" i="6"/>
  <c r="AB82" i="6" s="1"/>
  <c r="R81" i="6"/>
  <c r="AB81" i="6" s="1"/>
  <c r="H81" i="6"/>
  <c r="R80" i="6"/>
  <c r="AB80" i="6" s="1"/>
  <c r="H80" i="6"/>
  <c r="H79" i="6"/>
  <c r="R79" i="6"/>
  <c r="AB79" i="6" s="1"/>
  <c r="R78" i="6"/>
  <c r="AB78" i="6" s="1"/>
  <c r="H78" i="6"/>
  <c r="H77" i="6"/>
  <c r="R77" i="6"/>
  <c r="AB77" i="6" s="1"/>
  <c r="H76" i="6"/>
  <c r="R76" i="6"/>
  <c r="AB76" i="6" s="1"/>
  <c r="H75" i="6"/>
  <c r="R75" i="6"/>
  <c r="AB75" i="6" s="1"/>
  <c r="H69" i="8"/>
  <c r="N70" i="8"/>
  <c r="O70" i="8" s="1"/>
  <c r="P73" i="3"/>
  <c r="Q73" i="3" s="1"/>
  <c r="S36" i="2"/>
  <c r="P73" i="7"/>
  <c r="Q73" i="7" s="1"/>
  <c r="R73" i="7" s="1"/>
  <c r="Q38" i="2"/>
  <c r="Q39" i="2" s="1"/>
  <c r="S39" i="2" s="1"/>
  <c r="K68" i="8"/>
  <c r="U73" i="7"/>
  <c r="V73" i="7" s="1"/>
  <c r="P73" i="4"/>
  <c r="Q73" i="4" s="1"/>
  <c r="U73" i="4"/>
  <c r="V73" i="4" s="1"/>
  <c r="U73" i="3"/>
  <c r="V73" i="3" s="1"/>
  <c r="U73" i="1"/>
  <c r="V73" i="1" s="1"/>
  <c r="P73" i="1"/>
  <c r="Q73" i="1" s="1"/>
  <c r="U73" i="6"/>
  <c r="V73" i="6" s="1"/>
  <c r="P73" i="6"/>
  <c r="Q73" i="6" s="1"/>
  <c r="B67" i="8"/>
  <c r="S72" i="7"/>
  <c r="T72" i="7"/>
  <c r="G72" i="7"/>
  <c r="H72" i="7"/>
  <c r="O72" i="7"/>
  <c r="F72" i="7"/>
  <c r="L72" i="7"/>
  <c r="O72" i="4"/>
  <c r="T72" i="4"/>
  <c r="F72" i="4"/>
  <c r="L72" i="4"/>
  <c r="S72" i="4"/>
  <c r="W72" i="4" s="1"/>
  <c r="O72" i="3"/>
  <c r="T72" i="3"/>
  <c r="F72" i="3"/>
  <c r="L72" i="3"/>
  <c r="S72" i="3"/>
  <c r="W72" i="3" s="1"/>
  <c r="O72" i="6"/>
  <c r="T72" i="6"/>
  <c r="F72" i="6"/>
  <c r="L72" i="6"/>
  <c r="S72" i="6"/>
  <c r="W72" i="6" s="1"/>
  <c r="O72" i="1"/>
  <c r="T72" i="1"/>
  <c r="F72" i="1"/>
  <c r="L72" i="1"/>
  <c r="S72" i="1"/>
  <c r="H86" i="6" l="1"/>
  <c r="H88" i="6"/>
  <c r="R86" i="6"/>
  <c r="AB86" i="6" s="1"/>
  <c r="H89" i="6"/>
  <c r="R89" i="6"/>
  <c r="AB89" i="6" s="1"/>
  <c r="R87" i="6"/>
  <c r="AB87" i="6" s="1"/>
  <c r="H87" i="6"/>
  <c r="U69" i="8"/>
  <c r="R69" i="8"/>
  <c r="F68" i="8"/>
  <c r="R73" i="6"/>
  <c r="H73" i="6"/>
  <c r="U72" i="1"/>
  <c r="V72" i="1" s="1"/>
  <c r="AB73" i="1" s="1"/>
  <c r="P72" i="3"/>
  <c r="Q72" i="3" s="1"/>
  <c r="K67" i="8"/>
  <c r="P72" i="6"/>
  <c r="Q72" i="6" s="1"/>
  <c r="P72" i="7"/>
  <c r="Q72" i="7" s="1"/>
  <c r="R72" i="7" s="1"/>
  <c r="U72" i="7"/>
  <c r="V72" i="7" s="1"/>
  <c r="P72" i="4"/>
  <c r="Q72" i="4" s="1"/>
  <c r="U72" i="6"/>
  <c r="V72" i="6" s="1"/>
  <c r="U72" i="3"/>
  <c r="V72" i="3" s="1"/>
  <c r="U72" i="4"/>
  <c r="V72" i="4" s="1"/>
  <c r="P72" i="1"/>
  <c r="Q72" i="1" s="1"/>
  <c r="W72" i="7"/>
  <c r="B66" i="8"/>
  <c r="S71" i="7"/>
  <c r="T71" i="7"/>
  <c r="G71" i="7"/>
  <c r="H71" i="7"/>
  <c r="O71" i="7"/>
  <c r="F71" i="7"/>
  <c r="L71" i="7"/>
  <c r="O71" i="4"/>
  <c r="T71" i="4"/>
  <c r="F71" i="4"/>
  <c r="L71" i="4"/>
  <c r="S71" i="4"/>
  <c r="W71" i="4" s="1"/>
  <c r="F71" i="3"/>
  <c r="O71" i="3"/>
  <c r="T71" i="3"/>
  <c r="L71" i="3"/>
  <c r="S71" i="3"/>
  <c r="O71" i="6"/>
  <c r="T71" i="6"/>
  <c r="F71" i="6"/>
  <c r="L71" i="6"/>
  <c r="S71" i="6"/>
  <c r="W71" i="6" s="1"/>
  <c r="O71" i="1"/>
  <c r="T71" i="1"/>
  <c r="F71" i="1"/>
  <c r="L71" i="1"/>
  <c r="S71" i="1"/>
  <c r="AB73" i="7" l="1"/>
  <c r="AB73" i="4"/>
  <c r="AB73" i="3"/>
  <c r="AB73" i="6"/>
  <c r="H68" i="8"/>
  <c r="N69" i="8"/>
  <c r="O69" i="8" s="1"/>
  <c r="P71" i="3"/>
  <c r="Q71" i="3" s="1"/>
  <c r="P71" i="1"/>
  <c r="Q71" i="1" s="1"/>
  <c r="F67" i="8"/>
  <c r="U71" i="1"/>
  <c r="V71" i="1" s="1"/>
  <c r="P71" i="4"/>
  <c r="Q71" i="4" s="1"/>
  <c r="P71" i="7"/>
  <c r="Q71" i="7" s="1"/>
  <c r="R71" i="7" s="1"/>
  <c r="U71" i="7"/>
  <c r="V71" i="7" s="1"/>
  <c r="U71" i="3"/>
  <c r="V71" i="3" s="1"/>
  <c r="P71" i="6"/>
  <c r="Q71" i="6" s="1"/>
  <c r="W71" i="7"/>
  <c r="U71" i="4"/>
  <c r="V71" i="4" s="1"/>
  <c r="W71" i="3"/>
  <c r="K66" i="8"/>
  <c r="U71" i="6"/>
  <c r="V71" i="6" s="1"/>
  <c r="AB72" i="6" s="1"/>
  <c r="B65" i="8"/>
  <c r="G70" i="7"/>
  <c r="O70" i="7"/>
  <c r="T70" i="7"/>
  <c r="F70" i="7"/>
  <c r="H70" i="7"/>
  <c r="L70" i="7"/>
  <c r="S70" i="7"/>
  <c r="W70" i="7" s="1"/>
  <c r="F70" i="4"/>
  <c r="L70" i="4"/>
  <c r="S70" i="4"/>
  <c r="O70" i="4"/>
  <c r="T70" i="4"/>
  <c r="O70" i="3"/>
  <c r="T70" i="3"/>
  <c r="F70" i="3"/>
  <c r="L70" i="3"/>
  <c r="S70" i="3"/>
  <c r="W70" i="3" s="1"/>
  <c r="F70" i="6"/>
  <c r="O70" i="6"/>
  <c r="T70" i="6"/>
  <c r="L70" i="6"/>
  <c r="S70" i="6"/>
  <c r="W70" i="6" s="1"/>
  <c r="F70" i="1"/>
  <c r="O70" i="1"/>
  <c r="T70" i="1"/>
  <c r="L70" i="1"/>
  <c r="S70" i="1"/>
  <c r="P70" i="7" l="1"/>
  <c r="Q70" i="7" s="1"/>
  <c r="R70" i="7" s="1"/>
  <c r="AB72" i="7"/>
  <c r="AB72" i="4"/>
  <c r="AB72" i="3"/>
  <c r="AB72" i="1"/>
  <c r="H67" i="8"/>
  <c r="N68" i="8"/>
  <c r="O68" i="8" s="1"/>
  <c r="F66" i="8"/>
  <c r="P70" i="4"/>
  <c r="Q70" i="4" s="1"/>
  <c r="P70" i="3"/>
  <c r="Q70" i="3" s="1"/>
  <c r="P70" i="1"/>
  <c r="Q70" i="1" s="1"/>
  <c r="U70" i="4"/>
  <c r="V70" i="4" s="1"/>
  <c r="U70" i="3"/>
  <c r="V70" i="3" s="1"/>
  <c r="P70" i="6"/>
  <c r="Q70" i="6" s="1"/>
  <c r="U70" i="1"/>
  <c r="V70" i="1" s="1"/>
  <c r="AB71" i="1" s="1"/>
  <c r="U70" i="7"/>
  <c r="V70" i="7" s="1"/>
  <c r="U70" i="6"/>
  <c r="V70" i="6" s="1"/>
  <c r="K65" i="8"/>
  <c r="W70" i="4"/>
  <c r="AB71" i="7" l="1"/>
  <c r="AB71" i="4"/>
  <c r="AB71" i="3"/>
  <c r="AB71" i="6"/>
  <c r="H66" i="8"/>
  <c r="N67" i="8"/>
  <c r="O67" i="8" s="1"/>
  <c r="F65" i="8"/>
  <c r="N66" i="8" s="1"/>
  <c r="O66" i="8" s="1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4" i="5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51" i="7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48" i="4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47" i="3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19" i="6"/>
  <c r="F8" i="1"/>
  <c r="K3" i="8" s="1"/>
  <c r="F9" i="1"/>
  <c r="K4" i="8" s="1"/>
  <c r="F10" i="1"/>
  <c r="K5" i="8" s="1"/>
  <c r="F11" i="1"/>
  <c r="K6" i="8" s="1"/>
  <c r="F12" i="1"/>
  <c r="K7" i="8" s="1"/>
  <c r="F13" i="1"/>
  <c r="K8" i="8" s="1"/>
  <c r="F14" i="1"/>
  <c r="K9" i="8" s="1"/>
  <c r="F15" i="1"/>
  <c r="K10" i="8" s="1"/>
  <c r="F16" i="1"/>
  <c r="K11" i="8" s="1"/>
  <c r="F17" i="1"/>
  <c r="K12" i="8" s="1"/>
  <c r="F18" i="1"/>
  <c r="K13" i="8" s="1"/>
  <c r="F19" i="1"/>
  <c r="K14" i="8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" i="1"/>
  <c r="K2" i="8" s="1"/>
  <c r="K15" i="8" l="1"/>
  <c r="K18" i="8"/>
  <c r="K41" i="8"/>
  <c r="K17" i="8"/>
  <c r="H65" i="8"/>
  <c r="K40" i="8"/>
  <c r="K16" i="8"/>
  <c r="K42" i="8"/>
  <c r="K19" i="8"/>
  <c r="K36" i="8"/>
  <c r="K32" i="8"/>
  <c r="K28" i="8"/>
  <c r="K24" i="8"/>
  <c r="K20" i="8"/>
  <c r="K39" i="8"/>
  <c r="K35" i="8"/>
  <c r="K31" i="8"/>
  <c r="K27" i="8"/>
  <c r="K23" i="8"/>
  <c r="K38" i="8"/>
  <c r="K34" i="8"/>
  <c r="K30" i="8"/>
  <c r="K26" i="8"/>
  <c r="K22" i="8"/>
  <c r="K37" i="8"/>
  <c r="K33" i="8"/>
  <c r="K29" i="8"/>
  <c r="K25" i="8"/>
  <c r="K21" i="8"/>
  <c r="K44" i="8"/>
  <c r="K43" i="8"/>
  <c r="K56" i="8"/>
  <c r="K52" i="8"/>
  <c r="K48" i="8"/>
  <c r="K60" i="8"/>
  <c r="K64" i="8"/>
  <c r="K55" i="8"/>
  <c r="K47" i="8"/>
  <c r="K51" i="8"/>
  <c r="K58" i="8"/>
  <c r="K54" i="8"/>
  <c r="K50" i="8"/>
  <c r="K46" i="8"/>
  <c r="K57" i="8"/>
  <c r="K53" i="8"/>
  <c r="K49" i="8"/>
  <c r="K45" i="8"/>
  <c r="K59" i="8"/>
  <c r="K62" i="8"/>
  <c r="K61" i="8"/>
  <c r="K63" i="8"/>
  <c r="L68" i="3"/>
  <c r="L69" i="3"/>
  <c r="L66" i="3"/>
  <c r="B63" i="8"/>
  <c r="B64" i="8"/>
  <c r="T69" i="7"/>
  <c r="T68" i="7"/>
  <c r="S69" i="7"/>
  <c r="S68" i="7"/>
  <c r="W68" i="7" s="1"/>
  <c r="H69" i="7"/>
  <c r="G69" i="7"/>
  <c r="O68" i="7"/>
  <c r="O69" i="7"/>
  <c r="L68" i="7"/>
  <c r="L69" i="7"/>
  <c r="J71" i="2"/>
  <c r="K71" i="2" s="1"/>
  <c r="S68" i="4"/>
  <c r="T68" i="4"/>
  <c r="S69" i="4"/>
  <c r="W69" i="4" s="1"/>
  <c r="T69" i="4"/>
  <c r="O68" i="4"/>
  <c r="O69" i="4"/>
  <c r="L68" i="4"/>
  <c r="L69" i="4"/>
  <c r="S68" i="3"/>
  <c r="T68" i="3"/>
  <c r="S69" i="3"/>
  <c r="W69" i="3" s="1"/>
  <c r="T69" i="3"/>
  <c r="O68" i="3"/>
  <c r="O69" i="3"/>
  <c r="T68" i="6"/>
  <c r="T69" i="6"/>
  <c r="S69" i="6"/>
  <c r="O68" i="6"/>
  <c r="O69" i="6"/>
  <c r="L68" i="6"/>
  <c r="L69" i="6"/>
  <c r="S68" i="6"/>
  <c r="W68" i="6" s="1"/>
  <c r="T69" i="1"/>
  <c r="S69" i="1"/>
  <c r="O68" i="1"/>
  <c r="O6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2" i="1"/>
  <c r="L68" i="1"/>
  <c r="P68" i="1" s="1"/>
  <c r="Q68" i="1" s="1"/>
  <c r="L69" i="1"/>
  <c r="P69" i="1" s="1"/>
  <c r="Q69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T68" i="1"/>
  <c r="S68" i="1"/>
  <c r="B73" i="2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7" i="4"/>
  <c r="O48" i="4"/>
  <c r="Y48" i="4" s="1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48" i="4"/>
  <c r="X48" i="4" s="1"/>
  <c r="Z48" i="4" s="1"/>
  <c r="AA48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47" i="3"/>
  <c r="Y47" i="3" s="1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7" i="3"/>
  <c r="L47" i="3"/>
  <c r="X47" i="3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Z47" i="3" l="1"/>
  <c r="AA47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P68" i="4"/>
  <c r="Q68" i="4" s="1"/>
  <c r="P69" i="3"/>
  <c r="Q69" i="3" s="1"/>
  <c r="P69" i="4"/>
  <c r="Q69" i="4" s="1"/>
  <c r="U69" i="6"/>
  <c r="V69" i="6" s="1"/>
  <c r="P69" i="7"/>
  <c r="Q69" i="7" s="1"/>
  <c r="R69" i="7" s="1"/>
  <c r="U68" i="4"/>
  <c r="V68" i="4" s="1"/>
  <c r="P68" i="3"/>
  <c r="Q68" i="3" s="1"/>
  <c r="U69" i="1"/>
  <c r="V69" i="1" s="1"/>
  <c r="J69" i="2"/>
  <c r="K69" i="2" s="1"/>
  <c r="U68" i="3"/>
  <c r="V68" i="3" s="1"/>
  <c r="P68" i="6"/>
  <c r="Q68" i="6" s="1"/>
  <c r="P69" i="6"/>
  <c r="Q69" i="6" s="1"/>
  <c r="U68" i="1"/>
  <c r="V68" i="1" s="1"/>
  <c r="J72" i="2"/>
  <c r="K72" i="2" s="1"/>
  <c r="J68" i="2"/>
  <c r="K68" i="2" s="1"/>
  <c r="J73" i="2"/>
  <c r="K73" i="2" s="1"/>
  <c r="J70" i="2"/>
  <c r="K70" i="2" s="1"/>
  <c r="P68" i="7"/>
  <c r="Q68" i="7" s="1"/>
  <c r="U69" i="7"/>
  <c r="V69" i="7" s="1"/>
  <c r="U69" i="4"/>
  <c r="V69" i="4" s="1"/>
  <c r="U68" i="6"/>
  <c r="V68" i="6" s="1"/>
  <c r="W69" i="6"/>
  <c r="U68" i="7"/>
  <c r="V68" i="7" s="1"/>
  <c r="W69" i="7"/>
  <c r="W68" i="4"/>
  <c r="W68" i="3"/>
  <c r="U69" i="3"/>
  <c r="V69" i="3" s="1"/>
  <c r="AB69" i="7" l="1"/>
  <c r="AB70" i="7"/>
  <c r="AB69" i="4"/>
  <c r="AB70" i="4"/>
  <c r="AB69" i="3"/>
  <c r="AB70" i="3"/>
  <c r="AB69" i="6"/>
  <c r="AB70" i="6"/>
  <c r="AB69" i="1"/>
  <c r="AB70" i="1"/>
  <c r="K74" i="2"/>
  <c r="M79" i="2" s="1"/>
  <c r="M80" i="2" s="1"/>
  <c r="F63" i="8"/>
  <c r="F64" i="8"/>
  <c r="J24" i="5"/>
  <c r="S25" i="5" s="1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O67" i="7"/>
  <c r="S67" i="7"/>
  <c r="W67" i="7" s="1"/>
  <c r="T67" i="7"/>
  <c r="O66" i="7"/>
  <c r="S66" i="7"/>
  <c r="W66" i="7" s="1"/>
  <c r="T66" i="7"/>
  <c r="L66" i="7"/>
  <c r="L67" i="7"/>
  <c r="T65" i="7"/>
  <c r="S65" i="7"/>
  <c r="W65" i="7" s="1"/>
  <c r="O65" i="7"/>
  <c r="L65" i="7"/>
  <c r="G65" i="7"/>
  <c r="S62" i="7"/>
  <c r="W62" i="7" s="1"/>
  <c r="T62" i="7"/>
  <c r="S63" i="7"/>
  <c r="W63" i="7" s="1"/>
  <c r="T63" i="7"/>
  <c r="S64" i="7"/>
  <c r="W64" i="7" s="1"/>
  <c r="T64" i="7"/>
  <c r="O62" i="7"/>
  <c r="O63" i="7"/>
  <c r="O64" i="7"/>
  <c r="L63" i="7"/>
  <c r="L64" i="7"/>
  <c r="L62" i="7"/>
  <c r="T61" i="7"/>
  <c r="S61" i="7"/>
  <c r="W61" i="7" s="1"/>
  <c r="O61" i="7"/>
  <c r="L61" i="7"/>
  <c r="G61" i="7"/>
  <c r="S58" i="7"/>
  <c r="T58" i="7"/>
  <c r="S59" i="7"/>
  <c r="W59" i="7" s="1"/>
  <c r="T59" i="7"/>
  <c r="S60" i="7"/>
  <c r="T60" i="7"/>
  <c r="T57" i="7"/>
  <c r="S57" i="7"/>
  <c r="O58" i="7"/>
  <c r="O59" i="7"/>
  <c r="O60" i="7"/>
  <c r="L58" i="7"/>
  <c r="L59" i="7"/>
  <c r="L60" i="7"/>
  <c r="O57" i="7"/>
  <c r="G57" i="7"/>
  <c r="L57" i="7"/>
  <c r="T56" i="7"/>
  <c r="S56" i="7"/>
  <c r="W56" i="7" s="1"/>
  <c r="G56" i="7"/>
  <c r="O56" i="7"/>
  <c r="L56" i="7"/>
  <c r="S52" i="7"/>
  <c r="W52" i="7" s="1"/>
  <c r="T52" i="7"/>
  <c r="S53" i="7"/>
  <c r="W53" i="7" s="1"/>
  <c r="T53" i="7"/>
  <c r="S54" i="7"/>
  <c r="T54" i="7"/>
  <c r="S55" i="7"/>
  <c r="T55" i="7"/>
  <c r="O52" i="7"/>
  <c r="O53" i="7"/>
  <c r="O54" i="7"/>
  <c r="O55" i="7"/>
  <c r="L52" i="7"/>
  <c r="L53" i="7"/>
  <c r="L54" i="7"/>
  <c r="L55" i="7"/>
  <c r="S51" i="7"/>
  <c r="W51" i="7" s="1"/>
  <c r="T51" i="7"/>
  <c r="O51" i="7"/>
  <c r="Y51" i="7" s="1"/>
  <c r="L51" i="7"/>
  <c r="X51" i="7" s="1"/>
  <c r="G51" i="7"/>
  <c r="T65" i="6"/>
  <c r="T66" i="6"/>
  <c r="T67" i="6"/>
  <c r="S65" i="6"/>
  <c r="S66" i="6"/>
  <c r="S67" i="6"/>
  <c r="W67" i="6" s="1"/>
  <c r="T64" i="6"/>
  <c r="S64" i="6"/>
  <c r="W64" i="6" s="1"/>
  <c r="P52" i="7" l="1"/>
  <c r="Q52" i="7" s="1"/>
  <c r="P54" i="7"/>
  <c r="Q54" i="7" s="1"/>
  <c r="Z51" i="7"/>
  <c r="AA51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H64" i="8"/>
  <c r="N64" i="8"/>
  <c r="O64" i="8" s="1"/>
  <c r="N65" i="8"/>
  <c r="O65" i="8" s="1"/>
  <c r="H63" i="8"/>
  <c r="U25" i="5"/>
  <c r="V25" i="5" s="1"/>
  <c r="L24" i="5"/>
  <c r="P24" i="5" s="1"/>
  <c r="Q24" i="5" s="1"/>
  <c r="P61" i="7"/>
  <c r="Q61" i="7" s="1"/>
  <c r="H61" i="7" s="1"/>
  <c r="P62" i="7"/>
  <c r="Q62" i="7" s="1"/>
  <c r="S44" i="5"/>
  <c r="U44" i="5" s="1"/>
  <c r="V44" i="5" s="1"/>
  <c r="S42" i="5"/>
  <c r="W42" i="5" s="1"/>
  <c r="S40" i="5"/>
  <c r="W40" i="5" s="1"/>
  <c r="S38" i="5"/>
  <c r="W38" i="5" s="1"/>
  <c r="S36" i="5"/>
  <c r="W36" i="5" s="1"/>
  <c r="S34" i="5"/>
  <c r="U34" i="5" s="1"/>
  <c r="V34" i="5" s="1"/>
  <c r="S32" i="5"/>
  <c r="U32" i="5" s="1"/>
  <c r="V32" i="5" s="1"/>
  <c r="S30" i="5"/>
  <c r="W30" i="5" s="1"/>
  <c r="S28" i="5"/>
  <c r="U28" i="5" s="1"/>
  <c r="V28" i="5" s="1"/>
  <c r="S26" i="5"/>
  <c r="W26" i="5" s="1"/>
  <c r="S24" i="5"/>
  <c r="W24" i="5" s="1"/>
  <c r="G24" i="5"/>
  <c r="S43" i="5"/>
  <c r="W43" i="5" s="1"/>
  <c r="S41" i="5"/>
  <c r="W41" i="5" s="1"/>
  <c r="S39" i="5"/>
  <c r="W39" i="5" s="1"/>
  <c r="S37" i="5"/>
  <c r="W37" i="5" s="1"/>
  <c r="S35" i="5"/>
  <c r="W35" i="5" s="1"/>
  <c r="S33" i="5"/>
  <c r="W33" i="5" s="1"/>
  <c r="S31" i="5"/>
  <c r="W31" i="5" s="1"/>
  <c r="S29" i="5"/>
  <c r="U29" i="5" s="1"/>
  <c r="V29" i="5" s="1"/>
  <c r="S27" i="5"/>
  <c r="W27" i="5" s="1"/>
  <c r="U67" i="7"/>
  <c r="V67" i="7" s="1"/>
  <c r="P58" i="7"/>
  <c r="Q58" i="7" s="1"/>
  <c r="U57" i="7"/>
  <c r="V57" i="7" s="1"/>
  <c r="U61" i="7"/>
  <c r="V61" i="7" s="1"/>
  <c r="P51" i="7"/>
  <c r="Q51" i="7" s="1"/>
  <c r="G52" i="7" s="1"/>
  <c r="P56" i="7"/>
  <c r="Q56" i="7" s="1"/>
  <c r="R56" i="7" s="1"/>
  <c r="P67" i="7"/>
  <c r="Q67" i="7" s="1"/>
  <c r="U65" i="7"/>
  <c r="V65" i="7" s="1"/>
  <c r="U66" i="7"/>
  <c r="V66" i="7" s="1"/>
  <c r="P36" i="5"/>
  <c r="Q36" i="5" s="1"/>
  <c r="U56" i="7"/>
  <c r="V56" i="7" s="1"/>
  <c r="U53" i="7"/>
  <c r="V53" i="7" s="1"/>
  <c r="P57" i="7"/>
  <c r="Q57" i="7" s="1"/>
  <c r="G58" i="7" s="1"/>
  <c r="U59" i="7"/>
  <c r="V59" i="7" s="1"/>
  <c r="U58" i="7"/>
  <c r="V58" i="7" s="1"/>
  <c r="P60" i="7"/>
  <c r="Q60" i="7" s="1"/>
  <c r="U55" i="7"/>
  <c r="V55" i="7" s="1"/>
  <c r="P59" i="7"/>
  <c r="Q59" i="7" s="1"/>
  <c r="P64" i="7"/>
  <c r="Q64" i="7" s="1"/>
  <c r="U60" i="7"/>
  <c r="V60" i="7" s="1"/>
  <c r="P42" i="5"/>
  <c r="Q42" i="5" s="1"/>
  <c r="P38" i="5"/>
  <c r="Q38" i="5" s="1"/>
  <c r="P34" i="5"/>
  <c r="Q34" i="5" s="1"/>
  <c r="P30" i="5"/>
  <c r="Q30" i="5" s="1"/>
  <c r="P26" i="5"/>
  <c r="Q26" i="5" s="1"/>
  <c r="P41" i="5"/>
  <c r="Q41" i="5" s="1"/>
  <c r="P37" i="5"/>
  <c r="Q37" i="5" s="1"/>
  <c r="P33" i="5"/>
  <c r="Q33" i="5" s="1"/>
  <c r="P29" i="5"/>
  <c r="Q29" i="5" s="1"/>
  <c r="P25" i="5"/>
  <c r="Q25" i="5" s="1"/>
  <c r="P44" i="5"/>
  <c r="Q44" i="5" s="1"/>
  <c r="P40" i="5"/>
  <c r="Q40" i="5" s="1"/>
  <c r="P32" i="5"/>
  <c r="Q32" i="5" s="1"/>
  <c r="P28" i="5"/>
  <c r="Q28" i="5" s="1"/>
  <c r="P43" i="5"/>
  <c r="Q43" i="5" s="1"/>
  <c r="P39" i="5"/>
  <c r="Q39" i="5" s="1"/>
  <c r="P35" i="5"/>
  <c r="Q35" i="5" s="1"/>
  <c r="P31" i="5"/>
  <c r="Q31" i="5" s="1"/>
  <c r="P27" i="5"/>
  <c r="Q27" i="5" s="1"/>
  <c r="U51" i="7"/>
  <c r="V51" i="7" s="1"/>
  <c r="AB51" i="7" s="1"/>
  <c r="P63" i="7"/>
  <c r="Q63" i="7" s="1"/>
  <c r="P55" i="7"/>
  <c r="Q55" i="7" s="1"/>
  <c r="U54" i="7"/>
  <c r="V54" i="7" s="1"/>
  <c r="P66" i="7"/>
  <c r="Q66" i="7" s="1"/>
  <c r="W55" i="7"/>
  <c r="U52" i="7"/>
  <c r="V52" i="7" s="1"/>
  <c r="W60" i="7"/>
  <c r="U62" i="7"/>
  <c r="V62" i="7" s="1"/>
  <c r="P65" i="7"/>
  <c r="Q65" i="7" s="1"/>
  <c r="P53" i="7"/>
  <c r="Q53" i="7" s="1"/>
  <c r="W54" i="7"/>
  <c r="U64" i="7"/>
  <c r="V64" i="7" s="1"/>
  <c r="U63" i="7"/>
  <c r="V63" i="7" s="1"/>
  <c r="U66" i="6"/>
  <c r="V66" i="6" s="1"/>
  <c r="W66" i="6"/>
  <c r="U65" i="6"/>
  <c r="V65" i="6" s="1"/>
  <c r="U67" i="6"/>
  <c r="V67" i="6" s="1"/>
  <c r="W65" i="6"/>
  <c r="U64" i="6"/>
  <c r="V64" i="6" s="1"/>
  <c r="W25" i="5"/>
  <c r="W58" i="7"/>
  <c r="W57" i="7"/>
  <c r="O64" i="6"/>
  <c r="O65" i="6"/>
  <c r="O66" i="6"/>
  <c r="O67" i="6"/>
  <c r="L64" i="6"/>
  <c r="L65" i="6"/>
  <c r="L66" i="6"/>
  <c r="L67" i="6"/>
  <c r="N29" i="2"/>
  <c r="M35" i="2" s="1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T25" i="6"/>
  <c r="S25" i="6"/>
  <c r="W25" i="6" s="1"/>
  <c r="O25" i="6"/>
  <c r="G27" i="2"/>
  <c r="L25" i="6"/>
  <c r="G25" i="6"/>
  <c r="N17" i="2"/>
  <c r="L18" i="2" s="1"/>
  <c r="L19" i="2" s="1"/>
  <c r="T20" i="6"/>
  <c r="T21" i="6"/>
  <c r="T22" i="6"/>
  <c r="T23" i="6"/>
  <c r="T24" i="6"/>
  <c r="T19" i="6"/>
  <c r="S20" i="6"/>
  <c r="S21" i="6"/>
  <c r="S22" i="6"/>
  <c r="S23" i="6"/>
  <c r="S24" i="6"/>
  <c r="S19" i="6"/>
  <c r="G19" i="6"/>
  <c r="O20" i="6"/>
  <c r="O21" i="6"/>
  <c r="O22" i="6"/>
  <c r="O23" i="6"/>
  <c r="O24" i="6"/>
  <c r="O19" i="6"/>
  <c r="Y19" i="6" s="1"/>
  <c r="L20" i="6"/>
  <c r="L21" i="6"/>
  <c r="L22" i="6"/>
  <c r="L23" i="6"/>
  <c r="L24" i="6"/>
  <c r="L19" i="6"/>
  <c r="X19" i="6" s="1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48" i="4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48" i="4"/>
  <c r="Q48" i="4" s="1"/>
  <c r="G48" i="4"/>
  <c r="G47" i="3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47" i="3"/>
  <c r="P47" i="3"/>
  <c r="Q47" i="3" s="1"/>
  <c r="S8" i="1"/>
  <c r="G7" i="1"/>
  <c r="D2" i="8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9" i="1"/>
  <c r="S10" i="1"/>
  <c r="U10" i="1" s="1"/>
  <c r="V10" i="1" s="1"/>
  <c r="S11" i="1"/>
  <c r="S12" i="1"/>
  <c r="S13" i="1"/>
  <c r="S14" i="1"/>
  <c r="U14" i="1" s="1"/>
  <c r="V14" i="1" s="1"/>
  <c r="S15" i="1"/>
  <c r="S16" i="1"/>
  <c r="S17" i="1"/>
  <c r="S18" i="1"/>
  <c r="U18" i="1" s="1"/>
  <c r="V18" i="1" s="1"/>
  <c r="S19" i="1"/>
  <c r="S20" i="1"/>
  <c r="S21" i="1"/>
  <c r="S22" i="1"/>
  <c r="U22" i="1" s="1"/>
  <c r="V22" i="1" s="1"/>
  <c r="S23" i="1"/>
  <c r="S24" i="1"/>
  <c r="S25" i="1"/>
  <c r="S26" i="1"/>
  <c r="U26" i="1" s="1"/>
  <c r="V26" i="1" s="1"/>
  <c r="S27" i="1"/>
  <c r="S28" i="1"/>
  <c r="S29" i="1"/>
  <c r="S30" i="1"/>
  <c r="U30" i="1" s="1"/>
  <c r="V30" i="1" s="1"/>
  <c r="S31" i="1"/>
  <c r="S32" i="1"/>
  <c r="S33" i="1"/>
  <c r="S34" i="1"/>
  <c r="U34" i="1" s="1"/>
  <c r="V34" i="1" s="1"/>
  <c r="S35" i="1"/>
  <c r="S36" i="1"/>
  <c r="S37" i="1"/>
  <c r="S38" i="1"/>
  <c r="U38" i="1" s="1"/>
  <c r="V38" i="1" s="1"/>
  <c r="S39" i="1"/>
  <c r="S40" i="1"/>
  <c r="S41" i="1"/>
  <c r="S42" i="1"/>
  <c r="U42" i="1" s="1"/>
  <c r="V42" i="1" s="1"/>
  <c r="S43" i="1"/>
  <c r="S44" i="1"/>
  <c r="S45" i="1"/>
  <c r="S46" i="1"/>
  <c r="U46" i="1" s="1"/>
  <c r="V46" i="1" s="1"/>
  <c r="S47" i="1"/>
  <c r="S48" i="1"/>
  <c r="S49" i="1"/>
  <c r="S50" i="1"/>
  <c r="U50" i="1" s="1"/>
  <c r="V50" i="1" s="1"/>
  <c r="S51" i="1"/>
  <c r="S52" i="1"/>
  <c r="S53" i="1"/>
  <c r="S54" i="1"/>
  <c r="U54" i="1" s="1"/>
  <c r="V54" i="1" s="1"/>
  <c r="S55" i="1"/>
  <c r="S56" i="1"/>
  <c r="S57" i="1"/>
  <c r="S58" i="1"/>
  <c r="U58" i="1" s="1"/>
  <c r="V58" i="1" s="1"/>
  <c r="S59" i="1"/>
  <c r="S60" i="1"/>
  <c r="S61" i="1"/>
  <c r="S62" i="1"/>
  <c r="U62" i="1" s="1"/>
  <c r="V62" i="1" s="1"/>
  <c r="S63" i="1"/>
  <c r="S64" i="1"/>
  <c r="S65" i="1"/>
  <c r="S66" i="1"/>
  <c r="U66" i="1" s="1"/>
  <c r="V66" i="1" s="1"/>
  <c r="S67" i="1"/>
  <c r="S7" i="1"/>
  <c r="P3" i="1"/>
  <c r="P4" i="1"/>
  <c r="P5" i="1"/>
  <c r="P6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G11" i="2"/>
  <c r="H11" i="2"/>
  <c r="J6" i="2" s="1"/>
  <c r="K6" i="2" s="1"/>
  <c r="P7" i="1"/>
  <c r="Q7" i="1" s="1"/>
  <c r="P2" i="1"/>
  <c r="AB54" i="7" l="1"/>
  <c r="AB61" i="7"/>
  <c r="U43" i="5"/>
  <c r="V43" i="5" s="1"/>
  <c r="AB44" i="5" s="1"/>
  <c r="U36" i="5"/>
  <c r="V36" i="5" s="1"/>
  <c r="AB64" i="7"/>
  <c r="AB62" i="7"/>
  <c r="AB59" i="7"/>
  <c r="AB57" i="7"/>
  <c r="AB55" i="7"/>
  <c r="W34" i="5"/>
  <c r="AB29" i="5"/>
  <c r="AB65" i="7"/>
  <c r="AB63" i="7"/>
  <c r="AB58" i="7"/>
  <c r="AB56" i="7"/>
  <c r="AB66" i="7"/>
  <c r="AB67" i="7"/>
  <c r="AB68" i="7"/>
  <c r="AB52" i="7"/>
  <c r="AB60" i="7"/>
  <c r="AB53" i="7"/>
  <c r="AB66" i="6"/>
  <c r="AB67" i="6"/>
  <c r="AB68" i="6"/>
  <c r="Z19" i="6"/>
  <c r="AA19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C67" i="6" s="1"/>
  <c r="AC68" i="6" s="1"/>
  <c r="AC69" i="6" s="1"/>
  <c r="AC70" i="6" s="1"/>
  <c r="AC71" i="6" s="1"/>
  <c r="AC72" i="6" s="1"/>
  <c r="AC73" i="6" s="1"/>
  <c r="AC74" i="6" s="1"/>
  <c r="AC75" i="6" s="1"/>
  <c r="AB65" i="6"/>
  <c r="W44" i="5"/>
  <c r="U35" i="5"/>
  <c r="V35" i="5" s="1"/>
  <c r="AB35" i="5" s="1"/>
  <c r="F9" i="8"/>
  <c r="H9" i="8" s="1"/>
  <c r="F13" i="8"/>
  <c r="H13" i="8" s="1"/>
  <c r="F5" i="8"/>
  <c r="H5" i="8" s="1"/>
  <c r="G62" i="7"/>
  <c r="H62" i="7" s="1"/>
  <c r="U30" i="5"/>
  <c r="V30" i="5" s="1"/>
  <c r="AB30" i="5" s="1"/>
  <c r="U40" i="5"/>
  <c r="V40" i="5" s="1"/>
  <c r="R61" i="7"/>
  <c r="U39" i="5"/>
  <c r="V39" i="5" s="1"/>
  <c r="U27" i="5"/>
  <c r="V27" i="5" s="1"/>
  <c r="W28" i="5"/>
  <c r="W32" i="5"/>
  <c r="U31" i="5"/>
  <c r="V31" i="5" s="1"/>
  <c r="U24" i="5"/>
  <c r="V24" i="5" s="1"/>
  <c r="AB24" i="5" s="1"/>
  <c r="U41" i="5"/>
  <c r="V41" i="5" s="1"/>
  <c r="U42" i="5"/>
  <c r="V42" i="5" s="1"/>
  <c r="U26" i="5"/>
  <c r="V26" i="5" s="1"/>
  <c r="AB26" i="5" s="1"/>
  <c r="U33" i="5"/>
  <c r="V33" i="5" s="1"/>
  <c r="AB33" i="5" s="1"/>
  <c r="H51" i="7"/>
  <c r="H57" i="7"/>
  <c r="H52" i="7"/>
  <c r="R57" i="7"/>
  <c r="W29" i="5"/>
  <c r="U37" i="5"/>
  <c r="V37" i="5" s="1"/>
  <c r="U38" i="5"/>
  <c r="V38" i="5" s="1"/>
  <c r="R51" i="7"/>
  <c r="H47" i="3"/>
  <c r="U8" i="1"/>
  <c r="V8" i="1" s="1"/>
  <c r="U7" i="1"/>
  <c r="V7" i="1" s="1"/>
  <c r="U64" i="1"/>
  <c r="V64" i="1" s="1"/>
  <c r="U60" i="1"/>
  <c r="V60" i="1" s="1"/>
  <c r="U56" i="1"/>
  <c r="V56" i="1" s="1"/>
  <c r="U52" i="1"/>
  <c r="V52" i="1" s="1"/>
  <c r="U48" i="1"/>
  <c r="V48" i="1" s="1"/>
  <c r="U44" i="1"/>
  <c r="V44" i="1" s="1"/>
  <c r="U40" i="1"/>
  <c r="V40" i="1" s="1"/>
  <c r="U36" i="1"/>
  <c r="V36" i="1" s="1"/>
  <c r="U32" i="1"/>
  <c r="V32" i="1" s="1"/>
  <c r="U28" i="1"/>
  <c r="V28" i="1" s="1"/>
  <c r="U24" i="1"/>
  <c r="V24" i="1" s="1"/>
  <c r="U20" i="1"/>
  <c r="V20" i="1" s="1"/>
  <c r="U16" i="1"/>
  <c r="V16" i="1" s="1"/>
  <c r="U12" i="1"/>
  <c r="V12" i="1" s="1"/>
  <c r="L33" i="2"/>
  <c r="L34" i="2" s="1"/>
  <c r="J7" i="2"/>
  <c r="K7" i="2" s="1"/>
  <c r="U65" i="1"/>
  <c r="V65" i="1" s="1"/>
  <c r="AB66" i="1" s="1"/>
  <c r="U61" i="1"/>
  <c r="V61" i="1" s="1"/>
  <c r="U57" i="1"/>
  <c r="V57" i="1" s="1"/>
  <c r="AB58" i="1" s="1"/>
  <c r="U53" i="1"/>
  <c r="V53" i="1" s="1"/>
  <c r="U49" i="1"/>
  <c r="V49" i="1" s="1"/>
  <c r="U45" i="1"/>
  <c r="V45" i="1" s="1"/>
  <c r="AB46" i="1" s="1"/>
  <c r="U41" i="1"/>
  <c r="V41" i="1" s="1"/>
  <c r="AB42" i="1" s="1"/>
  <c r="U37" i="1"/>
  <c r="V37" i="1" s="1"/>
  <c r="AB38" i="1" s="1"/>
  <c r="U33" i="1"/>
  <c r="V33" i="1" s="1"/>
  <c r="AB34" i="1" s="1"/>
  <c r="U29" i="1"/>
  <c r="V29" i="1" s="1"/>
  <c r="U25" i="1"/>
  <c r="V25" i="1" s="1"/>
  <c r="AB26" i="1" s="1"/>
  <c r="U21" i="1"/>
  <c r="V21" i="1" s="1"/>
  <c r="AB22" i="1" s="1"/>
  <c r="U17" i="1"/>
  <c r="V17" i="1" s="1"/>
  <c r="AB18" i="1" s="1"/>
  <c r="U13" i="1"/>
  <c r="V13" i="1" s="1"/>
  <c r="U9" i="1"/>
  <c r="V9" i="1" s="1"/>
  <c r="G25" i="5"/>
  <c r="R25" i="5" s="1"/>
  <c r="R24" i="5"/>
  <c r="J3" i="2"/>
  <c r="K3" i="2" s="1"/>
  <c r="H56" i="7"/>
  <c r="W7" i="1"/>
  <c r="G2" i="8" s="1"/>
  <c r="I2" i="8" s="1"/>
  <c r="H24" i="5"/>
  <c r="M18" i="2"/>
  <c r="M19" i="2" s="1"/>
  <c r="N19" i="2" s="1"/>
  <c r="M20" i="2"/>
  <c r="G66" i="7"/>
  <c r="R65" i="7"/>
  <c r="H65" i="7"/>
  <c r="H58" i="7"/>
  <c r="G59" i="7"/>
  <c r="R58" i="7"/>
  <c r="G53" i="7"/>
  <c r="R52" i="7"/>
  <c r="H48" i="4"/>
  <c r="U61" i="3"/>
  <c r="V61" i="3" s="1"/>
  <c r="W61" i="3"/>
  <c r="U49" i="3"/>
  <c r="V49" i="3" s="1"/>
  <c r="W49" i="3"/>
  <c r="U47" i="3"/>
  <c r="V47" i="3" s="1"/>
  <c r="AB47" i="3" s="1"/>
  <c r="W47" i="3"/>
  <c r="U60" i="3"/>
  <c r="V60" i="3" s="1"/>
  <c r="W60" i="3"/>
  <c r="U52" i="3"/>
  <c r="V52" i="3" s="1"/>
  <c r="W52" i="3"/>
  <c r="U63" i="3"/>
  <c r="V63" i="3" s="1"/>
  <c r="W63" i="3"/>
  <c r="U59" i="3"/>
  <c r="V59" i="3" s="1"/>
  <c r="W59" i="3"/>
  <c r="U55" i="3"/>
  <c r="V55" i="3" s="1"/>
  <c r="W55" i="3"/>
  <c r="U66" i="3"/>
  <c r="V66" i="3" s="1"/>
  <c r="W66" i="3"/>
  <c r="U62" i="3"/>
  <c r="V62" i="3" s="1"/>
  <c r="W62" i="3"/>
  <c r="U58" i="3"/>
  <c r="V58" i="3" s="1"/>
  <c r="W58" i="3"/>
  <c r="U54" i="3"/>
  <c r="V54" i="3" s="1"/>
  <c r="W54" i="3"/>
  <c r="U50" i="3"/>
  <c r="V50" i="3" s="1"/>
  <c r="W50" i="3"/>
  <c r="U53" i="3"/>
  <c r="V53" i="3" s="1"/>
  <c r="W53" i="3"/>
  <c r="U65" i="3"/>
  <c r="V65" i="3" s="1"/>
  <c r="W65" i="3"/>
  <c r="U57" i="3"/>
  <c r="V57" i="3" s="1"/>
  <c r="W57" i="3"/>
  <c r="U64" i="3"/>
  <c r="V64" i="3" s="1"/>
  <c r="W64" i="3"/>
  <c r="U56" i="3"/>
  <c r="V56" i="3" s="1"/>
  <c r="W56" i="3"/>
  <c r="U48" i="3"/>
  <c r="V48" i="3" s="1"/>
  <c r="AB48" i="3" s="1"/>
  <c r="W48" i="3"/>
  <c r="U67" i="3"/>
  <c r="V67" i="3" s="1"/>
  <c r="W67" i="3"/>
  <c r="U51" i="3"/>
  <c r="V51" i="3" s="1"/>
  <c r="AB51" i="3" s="1"/>
  <c r="W51" i="3"/>
  <c r="G8" i="1"/>
  <c r="G9" i="1" s="1"/>
  <c r="H7" i="1"/>
  <c r="J2" i="8" s="1"/>
  <c r="U66" i="4"/>
  <c r="V66" i="4" s="1"/>
  <c r="W66" i="4"/>
  <c r="U61" i="4"/>
  <c r="V61" i="4" s="1"/>
  <c r="W61" i="4"/>
  <c r="U49" i="4"/>
  <c r="V49" i="4" s="1"/>
  <c r="W49" i="4"/>
  <c r="U67" i="4"/>
  <c r="V67" i="4" s="1"/>
  <c r="W67" i="4"/>
  <c r="U63" i="4"/>
  <c r="V63" i="4" s="1"/>
  <c r="W63" i="4"/>
  <c r="U59" i="4"/>
  <c r="V59" i="4" s="1"/>
  <c r="W59" i="4"/>
  <c r="U55" i="4"/>
  <c r="V55" i="4" s="1"/>
  <c r="W55" i="4"/>
  <c r="U51" i="4"/>
  <c r="V51" i="4" s="1"/>
  <c r="W51" i="4"/>
  <c r="U62" i="4"/>
  <c r="V62" i="4" s="1"/>
  <c r="W62" i="4"/>
  <c r="U54" i="4"/>
  <c r="V54" i="4" s="1"/>
  <c r="W54" i="4"/>
  <c r="U58" i="4"/>
  <c r="V58" i="4" s="1"/>
  <c r="W58" i="4"/>
  <c r="U65" i="4"/>
  <c r="V65" i="4" s="1"/>
  <c r="W65" i="4"/>
  <c r="U53" i="4"/>
  <c r="V53" i="4" s="1"/>
  <c r="W53" i="4"/>
  <c r="U50" i="4"/>
  <c r="V50" i="4" s="1"/>
  <c r="W50" i="4"/>
  <c r="U57" i="4"/>
  <c r="V57" i="4" s="1"/>
  <c r="W57" i="4"/>
  <c r="U48" i="4"/>
  <c r="V48" i="4" s="1"/>
  <c r="AB48" i="4" s="1"/>
  <c r="W48" i="4"/>
  <c r="U64" i="4"/>
  <c r="V64" i="4" s="1"/>
  <c r="AB64" i="4" s="1"/>
  <c r="W64" i="4"/>
  <c r="U60" i="4"/>
  <c r="V60" i="4" s="1"/>
  <c r="AB60" i="4" s="1"/>
  <c r="W60" i="4"/>
  <c r="U56" i="4"/>
  <c r="V56" i="4" s="1"/>
  <c r="AB56" i="4" s="1"/>
  <c r="W56" i="4"/>
  <c r="U52" i="4"/>
  <c r="V52" i="4" s="1"/>
  <c r="W52" i="4"/>
  <c r="P22" i="6"/>
  <c r="Q22" i="6" s="1"/>
  <c r="P23" i="6"/>
  <c r="Q23" i="6" s="1"/>
  <c r="P61" i="6"/>
  <c r="Q61" i="6" s="1"/>
  <c r="P57" i="6"/>
  <c r="Q57" i="6" s="1"/>
  <c r="P53" i="6"/>
  <c r="Q53" i="6" s="1"/>
  <c r="P49" i="6"/>
  <c r="Q49" i="6" s="1"/>
  <c r="P45" i="6"/>
  <c r="Q45" i="6" s="1"/>
  <c r="P41" i="6"/>
  <c r="Q41" i="6" s="1"/>
  <c r="P37" i="6"/>
  <c r="Q37" i="6" s="1"/>
  <c r="P33" i="6"/>
  <c r="Q33" i="6" s="1"/>
  <c r="P29" i="6"/>
  <c r="Q29" i="6" s="1"/>
  <c r="U23" i="6"/>
  <c r="V23" i="6" s="1"/>
  <c r="W23" i="6"/>
  <c r="U22" i="6"/>
  <c r="V22" i="6" s="1"/>
  <c r="W22" i="6"/>
  <c r="P63" i="6"/>
  <c r="Q63" i="6" s="1"/>
  <c r="P59" i="6"/>
  <c r="Q59" i="6" s="1"/>
  <c r="P51" i="6"/>
  <c r="Q51" i="6" s="1"/>
  <c r="P47" i="6"/>
  <c r="Q47" i="6" s="1"/>
  <c r="P39" i="6"/>
  <c r="Q39" i="6" s="1"/>
  <c r="P35" i="6"/>
  <c r="Q35" i="6" s="1"/>
  <c r="P27" i="6"/>
  <c r="Q27" i="6" s="1"/>
  <c r="U59" i="6"/>
  <c r="V59" i="6" s="1"/>
  <c r="W59" i="6"/>
  <c r="U51" i="6"/>
  <c r="V51" i="6" s="1"/>
  <c r="W51" i="6"/>
  <c r="U43" i="6"/>
  <c r="V43" i="6" s="1"/>
  <c r="W43" i="6"/>
  <c r="P24" i="6"/>
  <c r="Q24" i="6" s="1"/>
  <c r="P20" i="6"/>
  <c r="Q20" i="6" s="1"/>
  <c r="U19" i="6"/>
  <c r="V19" i="6" s="1"/>
  <c r="AB19" i="6" s="1"/>
  <c r="W19" i="6"/>
  <c r="U21" i="6"/>
  <c r="V21" i="6" s="1"/>
  <c r="W21" i="6"/>
  <c r="P25" i="6"/>
  <c r="Q25" i="6" s="1"/>
  <c r="R25" i="6" s="1"/>
  <c r="P62" i="6"/>
  <c r="Q62" i="6" s="1"/>
  <c r="P58" i="6"/>
  <c r="Q58" i="6" s="1"/>
  <c r="P54" i="6"/>
  <c r="Q54" i="6" s="1"/>
  <c r="P50" i="6"/>
  <c r="Q50" i="6" s="1"/>
  <c r="P46" i="6"/>
  <c r="Q46" i="6" s="1"/>
  <c r="P42" i="6"/>
  <c r="Q42" i="6" s="1"/>
  <c r="P38" i="6"/>
  <c r="Q38" i="6" s="1"/>
  <c r="P34" i="6"/>
  <c r="Q34" i="6" s="1"/>
  <c r="P30" i="6"/>
  <c r="Q30" i="6" s="1"/>
  <c r="P26" i="6"/>
  <c r="Q26" i="6" s="1"/>
  <c r="U62" i="6"/>
  <c r="V62" i="6" s="1"/>
  <c r="W62" i="6"/>
  <c r="U58" i="6"/>
  <c r="V58" i="6" s="1"/>
  <c r="W58" i="6"/>
  <c r="U54" i="6"/>
  <c r="V54" i="6" s="1"/>
  <c r="W54" i="6"/>
  <c r="U50" i="6"/>
  <c r="V50" i="6" s="1"/>
  <c r="W50" i="6"/>
  <c r="U46" i="6"/>
  <c r="V46" i="6" s="1"/>
  <c r="W46" i="6"/>
  <c r="U42" i="6"/>
  <c r="V42" i="6" s="1"/>
  <c r="W42" i="6"/>
  <c r="U38" i="6"/>
  <c r="V38" i="6" s="1"/>
  <c r="W38" i="6"/>
  <c r="U34" i="6"/>
  <c r="V34" i="6" s="1"/>
  <c r="W34" i="6"/>
  <c r="U30" i="6"/>
  <c r="V30" i="6" s="1"/>
  <c r="W30" i="6"/>
  <c r="U26" i="6"/>
  <c r="V26" i="6" s="1"/>
  <c r="W26" i="6"/>
  <c r="U24" i="6"/>
  <c r="V24" i="6" s="1"/>
  <c r="W24" i="6"/>
  <c r="U20" i="6"/>
  <c r="V20" i="6" s="1"/>
  <c r="W20" i="6"/>
  <c r="U61" i="6"/>
  <c r="V61" i="6" s="1"/>
  <c r="W61" i="6"/>
  <c r="U57" i="6"/>
  <c r="V57" i="6" s="1"/>
  <c r="W57" i="6"/>
  <c r="U53" i="6"/>
  <c r="V53" i="6" s="1"/>
  <c r="W53" i="6"/>
  <c r="U49" i="6"/>
  <c r="V49" i="6" s="1"/>
  <c r="W49" i="6"/>
  <c r="U45" i="6"/>
  <c r="V45" i="6" s="1"/>
  <c r="W45" i="6"/>
  <c r="U41" i="6"/>
  <c r="V41" i="6" s="1"/>
  <c r="W41" i="6"/>
  <c r="U37" i="6"/>
  <c r="V37" i="6" s="1"/>
  <c r="W37" i="6"/>
  <c r="U33" i="6"/>
  <c r="V33" i="6" s="1"/>
  <c r="W33" i="6"/>
  <c r="U29" i="6"/>
  <c r="V29" i="6" s="1"/>
  <c r="W29" i="6"/>
  <c r="U60" i="6"/>
  <c r="V60" i="6" s="1"/>
  <c r="W60" i="6"/>
  <c r="U56" i="6"/>
  <c r="V56" i="6" s="1"/>
  <c r="W56" i="6"/>
  <c r="U52" i="6"/>
  <c r="V52" i="6" s="1"/>
  <c r="W52" i="6"/>
  <c r="U48" i="6"/>
  <c r="V48" i="6" s="1"/>
  <c r="W48" i="6"/>
  <c r="U44" i="6"/>
  <c r="V44" i="6" s="1"/>
  <c r="W44" i="6"/>
  <c r="U40" i="6"/>
  <c r="V40" i="6" s="1"/>
  <c r="W40" i="6"/>
  <c r="U36" i="6"/>
  <c r="V36" i="6" s="1"/>
  <c r="W36" i="6"/>
  <c r="U32" i="6"/>
  <c r="V32" i="6" s="1"/>
  <c r="W32" i="6"/>
  <c r="U28" i="6"/>
  <c r="V28" i="6" s="1"/>
  <c r="W28" i="6"/>
  <c r="P55" i="6"/>
  <c r="Q55" i="6" s="1"/>
  <c r="P43" i="6"/>
  <c r="Q43" i="6" s="1"/>
  <c r="P31" i="6"/>
  <c r="Q31" i="6" s="1"/>
  <c r="U63" i="6"/>
  <c r="V63" i="6" s="1"/>
  <c r="W63" i="6"/>
  <c r="U55" i="6"/>
  <c r="V55" i="6" s="1"/>
  <c r="W55" i="6"/>
  <c r="U47" i="6"/>
  <c r="V47" i="6" s="1"/>
  <c r="W47" i="6"/>
  <c r="U39" i="6"/>
  <c r="V39" i="6" s="1"/>
  <c r="W39" i="6"/>
  <c r="U35" i="6"/>
  <c r="V35" i="6" s="1"/>
  <c r="W35" i="6"/>
  <c r="U31" i="6"/>
  <c r="V31" i="6" s="1"/>
  <c r="W31" i="6"/>
  <c r="U27" i="6"/>
  <c r="V27" i="6" s="1"/>
  <c r="W27" i="6"/>
  <c r="G49" i="4"/>
  <c r="H49" i="4" s="1"/>
  <c r="R48" i="4"/>
  <c r="R47" i="3"/>
  <c r="G48" i="3"/>
  <c r="P19" i="6"/>
  <c r="Q19" i="6" s="1"/>
  <c r="H19" i="6" s="1"/>
  <c r="P21" i="6"/>
  <c r="Q21" i="6" s="1"/>
  <c r="U25" i="6"/>
  <c r="V25" i="6" s="1"/>
  <c r="P67" i="6"/>
  <c r="Q67" i="6" s="1"/>
  <c r="P60" i="6"/>
  <c r="Q60" i="6" s="1"/>
  <c r="P56" i="6"/>
  <c r="Q56" i="6" s="1"/>
  <c r="P52" i="6"/>
  <c r="Q52" i="6" s="1"/>
  <c r="P48" i="6"/>
  <c r="Q48" i="6" s="1"/>
  <c r="P44" i="6"/>
  <c r="Q44" i="6" s="1"/>
  <c r="P40" i="6"/>
  <c r="Q40" i="6" s="1"/>
  <c r="P36" i="6"/>
  <c r="Q36" i="6" s="1"/>
  <c r="P32" i="6"/>
  <c r="Q32" i="6" s="1"/>
  <c r="P28" i="6"/>
  <c r="Q28" i="6" s="1"/>
  <c r="P66" i="6"/>
  <c r="Q66" i="6" s="1"/>
  <c r="P65" i="6"/>
  <c r="Q65" i="6" s="1"/>
  <c r="P64" i="6"/>
  <c r="Q64" i="6" s="1"/>
  <c r="H64" i="6" s="1"/>
  <c r="J9" i="2"/>
  <c r="K9" i="2" s="1"/>
  <c r="J5" i="2"/>
  <c r="K5" i="2" s="1"/>
  <c r="J8" i="2"/>
  <c r="K8" i="2" s="1"/>
  <c r="J4" i="2"/>
  <c r="K4" i="2" s="1"/>
  <c r="J10" i="2"/>
  <c r="K10" i="2" s="1"/>
  <c r="M33" i="2"/>
  <c r="M34" i="2" s="1"/>
  <c r="R7" i="1"/>
  <c r="C2" i="8" s="1"/>
  <c r="E2" i="8" s="1"/>
  <c r="U67" i="1"/>
  <c r="V67" i="1" s="1"/>
  <c r="U63" i="1"/>
  <c r="V63" i="1" s="1"/>
  <c r="U59" i="1"/>
  <c r="V59" i="1" s="1"/>
  <c r="U55" i="1"/>
  <c r="V55" i="1" s="1"/>
  <c r="U51" i="1"/>
  <c r="V51" i="1" s="1"/>
  <c r="U47" i="1"/>
  <c r="V47" i="1" s="1"/>
  <c r="U43" i="1"/>
  <c r="V43" i="1" s="1"/>
  <c r="U39" i="1"/>
  <c r="V39" i="1" s="1"/>
  <c r="U35" i="1"/>
  <c r="V35" i="1" s="1"/>
  <c r="U31" i="1"/>
  <c r="V31" i="1" s="1"/>
  <c r="U27" i="1"/>
  <c r="V27" i="1" s="1"/>
  <c r="U23" i="1"/>
  <c r="V23" i="1" s="1"/>
  <c r="U19" i="1"/>
  <c r="V19" i="1" s="1"/>
  <c r="U15" i="1"/>
  <c r="V15" i="1" s="1"/>
  <c r="U11" i="1"/>
  <c r="V11" i="1" s="1"/>
  <c r="AB41" i="5" l="1"/>
  <c r="AB52" i="4"/>
  <c r="AB56" i="3"/>
  <c r="G63" i="7"/>
  <c r="H63" i="7" s="1"/>
  <c r="AB50" i="3"/>
  <c r="AB50" i="4"/>
  <c r="AB62" i="3"/>
  <c r="AB64" i="3"/>
  <c r="AB24" i="6"/>
  <c r="AB27" i="6"/>
  <c r="AB35" i="6"/>
  <c r="AB27" i="5"/>
  <c r="R62" i="7"/>
  <c r="AB62" i="4"/>
  <c r="AB53" i="3"/>
  <c r="R70" i="8"/>
  <c r="AC76" i="6"/>
  <c r="AB37" i="5"/>
  <c r="AB55" i="4"/>
  <c r="AB42" i="5"/>
  <c r="AB65" i="3"/>
  <c r="AB58" i="3"/>
  <c r="AB61" i="3"/>
  <c r="AB28" i="5"/>
  <c r="AB40" i="5"/>
  <c r="AB38" i="5"/>
  <c r="AB31" i="5"/>
  <c r="AB39" i="5"/>
  <c r="AB34" i="5"/>
  <c r="AB36" i="5"/>
  <c r="AB32" i="5"/>
  <c r="AB25" i="5"/>
  <c r="AB43" i="5"/>
  <c r="AB57" i="4"/>
  <c r="AB53" i="4"/>
  <c r="AB58" i="4"/>
  <c r="AB63" i="4"/>
  <c r="AB49" i="4"/>
  <c r="AB66" i="4"/>
  <c r="AB65" i="4"/>
  <c r="AB54" i="4"/>
  <c r="AB51" i="4"/>
  <c r="AB59" i="4"/>
  <c r="AB67" i="4"/>
  <c r="AB68" i="4"/>
  <c r="AB61" i="4"/>
  <c r="AB66" i="3"/>
  <c r="AB59" i="3"/>
  <c r="AB52" i="3"/>
  <c r="AB67" i="3"/>
  <c r="AB68" i="3"/>
  <c r="AB57" i="3"/>
  <c r="AB54" i="3"/>
  <c r="AB55" i="3"/>
  <c r="AB63" i="3"/>
  <c r="AB60" i="3"/>
  <c r="AB49" i="3"/>
  <c r="AB25" i="6"/>
  <c r="AB47" i="6"/>
  <c r="AB63" i="6"/>
  <c r="AB51" i="6"/>
  <c r="AB23" i="6"/>
  <c r="AB31" i="6"/>
  <c r="AB39" i="6"/>
  <c r="AB55" i="6"/>
  <c r="AB43" i="6"/>
  <c r="AB59" i="6"/>
  <c r="F27" i="8"/>
  <c r="H27" i="8" s="1"/>
  <c r="AB32" i="6"/>
  <c r="F35" i="8"/>
  <c r="H35" i="8" s="1"/>
  <c r="AB40" i="6"/>
  <c r="AB48" i="6"/>
  <c r="AB56" i="6"/>
  <c r="F24" i="8"/>
  <c r="H24" i="8" s="1"/>
  <c r="AB29" i="6"/>
  <c r="AB37" i="6"/>
  <c r="F40" i="8"/>
  <c r="AB45" i="6"/>
  <c r="AB53" i="6"/>
  <c r="AB61" i="6"/>
  <c r="F25" i="8"/>
  <c r="AB30" i="6"/>
  <c r="AB38" i="6"/>
  <c r="F41" i="8"/>
  <c r="H41" i="8" s="1"/>
  <c r="AB46" i="6"/>
  <c r="AB54" i="6"/>
  <c r="AB62" i="6"/>
  <c r="F17" i="8"/>
  <c r="H17" i="8" s="1"/>
  <c r="AB22" i="6"/>
  <c r="F16" i="8"/>
  <c r="H16" i="8" s="1"/>
  <c r="AB21" i="6"/>
  <c r="F23" i="8"/>
  <c r="H23" i="8" s="1"/>
  <c r="AB28" i="6"/>
  <c r="F31" i="8"/>
  <c r="H31" i="8" s="1"/>
  <c r="AB36" i="6"/>
  <c r="F39" i="8"/>
  <c r="H39" i="8" s="1"/>
  <c r="AB44" i="6"/>
  <c r="AB52" i="6"/>
  <c r="AB60" i="6"/>
  <c r="AB33" i="6"/>
  <c r="AB41" i="6"/>
  <c r="AB49" i="6"/>
  <c r="AB57" i="6"/>
  <c r="F15" i="8"/>
  <c r="H15" i="8" s="1"/>
  <c r="AB20" i="6"/>
  <c r="AB26" i="6"/>
  <c r="F29" i="8"/>
  <c r="H29" i="8" s="1"/>
  <c r="AB34" i="6"/>
  <c r="F37" i="8"/>
  <c r="H37" i="8" s="1"/>
  <c r="AB42" i="6"/>
  <c r="AB50" i="6"/>
  <c r="AB58" i="6"/>
  <c r="AB64" i="6"/>
  <c r="F28" i="8"/>
  <c r="AB43" i="1"/>
  <c r="F4" i="8"/>
  <c r="AB9" i="1"/>
  <c r="AB56" i="1"/>
  <c r="F10" i="8"/>
  <c r="H10" i="8" s="1"/>
  <c r="AB15" i="1"/>
  <c r="AB31" i="1"/>
  <c r="AB47" i="1"/>
  <c r="AB63" i="1"/>
  <c r="F8" i="8"/>
  <c r="N9" i="8" s="1"/>
  <c r="O9" i="8" s="1"/>
  <c r="AB13" i="1"/>
  <c r="AB29" i="1"/>
  <c r="AB45" i="1"/>
  <c r="AB61" i="1"/>
  <c r="F7" i="8"/>
  <c r="AB12" i="1"/>
  <c r="AB28" i="1"/>
  <c r="AB44" i="1"/>
  <c r="AB60" i="1"/>
  <c r="AB10" i="1"/>
  <c r="AB14" i="1"/>
  <c r="AB27" i="1"/>
  <c r="AB41" i="1"/>
  <c r="AB19" i="1"/>
  <c r="AB35" i="1"/>
  <c r="AB51" i="1"/>
  <c r="AB67" i="1"/>
  <c r="AB68" i="1"/>
  <c r="F12" i="8"/>
  <c r="N13" i="8" s="1"/>
  <c r="O13" i="8" s="1"/>
  <c r="AB17" i="1"/>
  <c r="AB33" i="1"/>
  <c r="AB49" i="1"/>
  <c r="AB65" i="1"/>
  <c r="F11" i="8"/>
  <c r="H11" i="8" s="1"/>
  <c r="AB16" i="1"/>
  <c r="AB32" i="1"/>
  <c r="AB48" i="1"/>
  <c r="AB64" i="1"/>
  <c r="AB30" i="1"/>
  <c r="AB50" i="1"/>
  <c r="AB59" i="1"/>
  <c r="AB24" i="1"/>
  <c r="AB23" i="1"/>
  <c r="AB39" i="1"/>
  <c r="AB55" i="1"/>
  <c r="AB21" i="1"/>
  <c r="AB37" i="1"/>
  <c r="AB53" i="1"/>
  <c r="AB20" i="1"/>
  <c r="AB36" i="1"/>
  <c r="AB52" i="1"/>
  <c r="F2" i="8"/>
  <c r="AB7" i="1"/>
  <c r="AB54" i="1"/>
  <c r="AB62" i="1"/>
  <c r="F6" i="8"/>
  <c r="N6" i="8" s="1"/>
  <c r="O6" i="8" s="1"/>
  <c r="AB11" i="1"/>
  <c r="AB25" i="1"/>
  <c r="AB57" i="1"/>
  <c r="AB40" i="1"/>
  <c r="F3" i="8"/>
  <c r="H3" i="8" s="1"/>
  <c r="AB8" i="1"/>
  <c r="H25" i="8"/>
  <c r="F59" i="8"/>
  <c r="F62" i="8"/>
  <c r="F32" i="8"/>
  <c r="R8" i="1"/>
  <c r="C3" i="8" s="1"/>
  <c r="F21" i="8"/>
  <c r="F19" i="8"/>
  <c r="F20" i="8"/>
  <c r="F58" i="8"/>
  <c r="F26" i="8"/>
  <c r="F34" i="8"/>
  <c r="F14" i="8"/>
  <c r="F38" i="8"/>
  <c r="F22" i="8"/>
  <c r="F30" i="8"/>
  <c r="F18" i="8"/>
  <c r="F36" i="8"/>
  <c r="F33" i="8"/>
  <c r="F44" i="8"/>
  <c r="F52" i="8"/>
  <c r="F51" i="8"/>
  <c r="F48" i="8"/>
  <c r="F57" i="8"/>
  <c r="H25" i="5"/>
  <c r="G26" i="5"/>
  <c r="N34" i="2"/>
  <c r="F53" i="8"/>
  <c r="F50" i="8"/>
  <c r="F60" i="8"/>
  <c r="K11" i="2"/>
  <c r="H59" i="7"/>
  <c r="G60" i="7"/>
  <c r="R59" i="7"/>
  <c r="H66" i="7"/>
  <c r="G67" i="7"/>
  <c r="G54" i="7"/>
  <c r="H53" i="7"/>
  <c r="R53" i="7"/>
  <c r="R66" i="7"/>
  <c r="G64" i="7"/>
  <c r="F54" i="8"/>
  <c r="F46" i="8"/>
  <c r="F47" i="8"/>
  <c r="F55" i="8"/>
  <c r="F45" i="8"/>
  <c r="F61" i="8"/>
  <c r="F43" i="8"/>
  <c r="F56" i="8"/>
  <c r="F49" i="8"/>
  <c r="F42" i="8"/>
  <c r="H25" i="6"/>
  <c r="H9" i="1"/>
  <c r="J4" i="8" s="1"/>
  <c r="D4" i="8"/>
  <c r="W9" i="1"/>
  <c r="G4" i="8" s="1"/>
  <c r="D3" i="8"/>
  <c r="H8" i="1"/>
  <c r="J3" i="8" s="1"/>
  <c r="W8" i="1"/>
  <c r="G3" i="8" s="1"/>
  <c r="H48" i="3"/>
  <c r="G26" i="6"/>
  <c r="H26" i="6" s="1"/>
  <c r="G65" i="6"/>
  <c r="H65" i="6" s="1"/>
  <c r="R64" i="6"/>
  <c r="R49" i="4"/>
  <c r="G50" i="4"/>
  <c r="H50" i="4" s="1"/>
  <c r="R48" i="3"/>
  <c r="G49" i="3"/>
  <c r="R19" i="6"/>
  <c r="G20" i="6"/>
  <c r="H20" i="6" s="1"/>
  <c r="R9" i="1"/>
  <c r="C4" i="8" s="1"/>
  <c r="G10" i="1"/>
  <c r="E3" i="8" l="1"/>
  <c r="R63" i="7"/>
  <c r="R71" i="8"/>
  <c r="AC77" i="6"/>
  <c r="N29" i="8"/>
  <c r="O29" i="8" s="1"/>
  <c r="N4" i="8"/>
  <c r="O4" i="8" s="1"/>
  <c r="N16" i="8"/>
  <c r="O16" i="8" s="1"/>
  <c r="N23" i="8"/>
  <c r="O23" i="8" s="1"/>
  <c r="N27" i="8"/>
  <c r="O27" i="8" s="1"/>
  <c r="N17" i="8"/>
  <c r="O17" i="8" s="1"/>
  <c r="H4" i="8"/>
  <c r="N24" i="8"/>
  <c r="O24" i="8" s="1"/>
  <c r="N5" i="8"/>
  <c r="O5" i="8" s="1"/>
  <c r="H6" i="8"/>
  <c r="N28" i="8"/>
  <c r="O28" i="8" s="1"/>
  <c r="N7" i="8"/>
  <c r="O7" i="8" s="1"/>
  <c r="N25" i="8"/>
  <c r="O25" i="8" s="1"/>
  <c r="N40" i="8"/>
  <c r="O40" i="8" s="1"/>
  <c r="H7" i="8"/>
  <c r="H40" i="8"/>
  <c r="N37" i="8"/>
  <c r="O37" i="8" s="1"/>
  <c r="N41" i="8"/>
  <c r="O41" i="8" s="1"/>
  <c r="N3" i="8"/>
  <c r="O3" i="8" s="1"/>
  <c r="H28" i="8"/>
  <c r="N8" i="8"/>
  <c r="O8" i="8" s="1"/>
  <c r="N2" i="8"/>
  <c r="O2" i="8" s="1"/>
  <c r="H2" i="8"/>
  <c r="H8" i="8"/>
  <c r="H12" i="8"/>
  <c r="N11" i="8"/>
  <c r="O11" i="8" s="1"/>
  <c r="N10" i="8"/>
  <c r="O10" i="8" s="1"/>
  <c r="N12" i="8"/>
  <c r="O12" i="8" s="1"/>
  <c r="H55" i="8"/>
  <c r="N55" i="8"/>
  <c r="O55" i="8" s="1"/>
  <c r="H43" i="8"/>
  <c r="N43" i="8"/>
  <c r="O43" i="8" s="1"/>
  <c r="H60" i="8"/>
  <c r="N60" i="8"/>
  <c r="O60" i="8" s="1"/>
  <c r="H51" i="8"/>
  <c r="N51" i="8"/>
  <c r="O51" i="8" s="1"/>
  <c r="H38" i="8"/>
  <c r="N38" i="8"/>
  <c r="O38" i="8" s="1"/>
  <c r="H42" i="8"/>
  <c r="N42" i="8"/>
  <c r="O42" i="8" s="1"/>
  <c r="H61" i="8"/>
  <c r="N61" i="8"/>
  <c r="O61" i="8" s="1"/>
  <c r="H46" i="8"/>
  <c r="N46" i="8"/>
  <c r="O46" i="8" s="1"/>
  <c r="H50" i="8"/>
  <c r="N50" i="8"/>
  <c r="O50" i="8" s="1"/>
  <c r="H52" i="8"/>
  <c r="N52" i="8"/>
  <c r="O52" i="8" s="1"/>
  <c r="H18" i="8"/>
  <c r="N18" i="8"/>
  <c r="O18" i="8" s="1"/>
  <c r="H14" i="8"/>
  <c r="N14" i="8"/>
  <c r="O14" i="8" s="1"/>
  <c r="H20" i="8"/>
  <c r="N20" i="8"/>
  <c r="O20" i="8" s="1"/>
  <c r="H32" i="8"/>
  <c r="N32" i="8"/>
  <c r="O32" i="8" s="1"/>
  <c r="N15" i="8"/>
  <c r="O15" i="8" s="1"/>
  <c r="H45" i="8"/>
  <c r="N45" i="8"/>
  <c r="O45" i="8" s="1"/>
  <c r="H53" i="8"/>
  <c r="N53" i="8"/>
  <c r="O53" i="8" s="1"/>
  <c r="H57" i="8"/>
  <c r="N57" i="8"/>
  <c r="O57" i="8" s="1"/>
  <c r="H44" i="8"/>
  <c r="N44" i="8"/>
  <c r="O44" i="8" s="1"/>
  <c r="H30" i="8"/>
  <c r="N30" i="8"/>
  <c r="O30" i="8" s="1"/>
  <c r="H34" i="8"/>
  <c r="N34" i="8"/>
  <c r="O34" i="8" s="1"/>
  <c r="H19" i="8"/>
  <c r="N19" i="8"/>
  <c r="O19" i="8" s="1"/>
  <c r="H62" i="8"/>
  <c r="N62" i="8"/>
  <c r="O62" i="8" s="1"/>
  <c r="N63" i="8"/>
  <c r="O63" i="8" s="1"/>
  <c r="H49" i="8"/>
  <c r="N49" i="8"/>
  <c r="O49" i="8" s="1"/>
  <c r="H56" i="8"/>
  <c r="N56" i="8"/>
  <c r="O56" i="8" s="1"/>
  <c r="H48" i="8"/>
  <c r="N48" i="8"/>
  <c r="O48" i="8" s="1"/>
  <c r="H33" i="8"/>
  <c r="N33" i="8"/>
  <c r="O33" i="8" s="1"/>
  <c r="H22" i="8"/>
  <c r="N22" i="8"/>
  <c r="O22" i="8" s="1"/>
  <c r="H26" i="8"/>
  <c r="N26" i="8"/>
  <c r="O26" i="8" s="1"/>
  <c r="H21" i="8"/>
  <c r="N21" i="8"/>
  <c r="O21" i="8" s="1"/>
  <c r="H59" i="8"/>
  <c r="N59" i="8"/>
  <c r="O59" i="8" s="1"/>
  <c r="N39" i="8"/>
  <c r="O39" i="8" s="1"/>
  <c r="N35" i="8"/>
  <c r="O35" i="8" s="1"/>
  <c r="N31" i="8"/>
  <c r="O31" i="8" s="1"/>
  <c r="H54" i="8"/>
  <c r="N54" i="8"/>
  <c r="O54" i="8" s="1"/>
  <c r="H47" i="8"/>
  <c r="N47" i="8"/>
  <c r="O47" i="8" s="1"/>
  <c r="H36" i="8"/>
  <c r="N36" i="8"/>
  <c r="O36" i="8" s="1"/>
  <c r="H58" i="8"/>
  <c r="N58" i="8"/>
  <c r="O58" i="8" s="1"/>
  <c r="I4" i="8"/>
  <c r="L4" i="8"/>
  <c r="I3" i="8"/>
  <c r="M3" i="8" s="1"/>
  <c r="L3" i="8"/>
  <c r="H26" i="5"/>
  <c r="G27" i="5"/>
  <c r="R26" i="5"/>
  <c r="G27" i="6"/>
  <c r="H27" i="6" s="1"/>
  <c r="G68" i="7"/>
  <c r="H67" i="7"/>
  <c r="R67" i="7"/>
  <c r="H64" i="7"/>
  <c r="R64" i="7"/>
  <c r="G55" i="7"/>
  <c r="H54" i="7"/>
  <c r="R54" i="7"/>
  <c r="H60" i="7"/>
  <c r="R60" i="7"/>
  <c r="R26" i="6"/>
  <c r="E4" i="8"/>
  <c r="D5" i="8"/>
  <c r="H10" i="1"/>
  <c r="J5" i="8" s="1"/>
  <c r="W10" i="1"/>
  <c r="G5" i="8" s="1"/>
  <c r="H49" i="3"/>
  <c r="G66" i="6"/>
  <c r="H66" i="6" s="1"/>
  <c r="R65" i="6"/>
  <c r="G51" i="4"/>
  <c r="H51" i="4" s="1"/>
  <c r="R50" i="4"/>
  <c r="R49" i="3"/>
  <c r="G50" i="3"/>
  <c r="G21" i="6"/>
  <c r="H21" i="6" s="1"/>
  <c r="R20" i="6"/>
  <c r="R10" i="1"/>
  <c r="C5" i="8" s="1"/>
  <c r="G11" i="1"/>
  <c r="R72" i="8" l="1"/>
  <c r="AC78" i="6"/>
  <c r="M4" i="8"/>
  <c r="I5" i="8"/>
  <c r="M5" i="8" s="1"/>
  <c r="L5" i="8"/>
  <c r="G28" i="6"/>
  <c r="H28" i="6" s="1"/>
  <c r="H27" i="5"/>
  <c r="R27" i="5"/>
  <c r="G28" i="5"/>
  <c r="E5" i="8"/>
  <c r="R27" i="6"/>
  <c r="R68" i="7"/>
  <c r="H68" i="7"/>
  <c r="H55" i="7"/>
  <c r="R55" i="7"/>
  <c r="D6" i="8"/>
  <c r="H11" i="1"/>
  <c r="J6" i="8" s="1"/>
  <c r="W11" i="1"/>
  <c r="G6" i="8" s="1"/>
  <c r="H50" i="3"/>
  <c r="R66" i="6"/>
  <c r="G67" i="6"/>
  <c r="G52" i="4"/>
  <c r="H52" i="4" s="1"/>
  <c r="R51" i="4"/>
  <c r="G51" i="3"/>
  <c r="R50" i="3"/>
  <c r="R21" i="6"/>
  <c r="G22" i="6"/>
  <c r="H22" i="6" s="1"/>
  <c r="G12" i="1"/>
  <c r="R11" i="1"/>
  <c r="C6" i="8" s="1"/>
  <c r="R73" i="8" l="1"/>
  <c r="AC79" i="6"/>
  <c r="G29" i="6"/>
  <c r="H29" i="6" s="1"/>
  <c r="R28" i="6"/>
  <c r="I6" i="8"/>
  <c r="M6" i="8" s="1"/>
  <c r="L6" i="8"/>
  <c r="H28" i="5"/>
  <c r="G29" i="5"/>
  <c r="R28" i="5"/>
  <c r="R67" i="6"/>
  <c r="H67" i="6"/>
  <c r="G68" i="6"/>
  <c r="E6" i="8"/>
  <c r="D7" i="8"/>
  <c r="H12" i="1"/>
  <c r="J7" i="8" s="1"/>
  <c r="W12" i="1"/>
  <c r="G7" i="8" s="1"/>
  <c r="H51" i="3"/>
  <c r="G53" i="4"/>
  <c r="H53" i="4" s="1"/>
  <c r="R52" i="4"/>
  <c r="G52" i="3"/>
  <c r="R51" i="3"/>
  <c r="G23" i="6"/>
  <c r="H23" i="6" s="1"/>
  <c r="R22" i="6"/>
  <c r="G13" i="1"/>
  <c r="R12" i="1"/>
  <c r="C7" i="8" s="1"/>
  <c r="R74" i="8" l="1"/>
  <c r="AC80" i="6"/>
  <c r="R29" i="6"/>
  <c r="G30" i="6"/>
  <c r="H30" i="6" s="1"/>
  <c r="I7" i="8"/>
  <c r="M7" i="8" s="1"/>
  <c r="L7" i="8"/>
  <c r="H29" i="5"/>
  <c r="R29" i="5"/>
  <c r="G30" i="5"/>
  <c r="G69" i="6"/>
  <c r="G70" i="6" s="1"/>
  <c r="G71" i="6" s="1"/>
  <c r="G72" i="6" s="1"/>
  <c r="H68" i="6"/>
  <c r="R68" i="6"/>
  <c r="H13" i="1"/>
  <c r="J8" i="8" s="1"/>
  <c r="D8" i="8"/>
  <c r="W13" i="1"/>
  <c r="G8" i="8" s="1"/>
  <c r="E7" i="8"/>
  <c r="H52" i="3"/>
  <c r="G54" i="4"/>
  <c r="H54" i="4" s="1"/>
  <c r="R53" i="4"/>
  <c r="G53" i="3"/>
  <c r="R52" i="3"/>
  <c r="G24" i="6"/>
  <c r="R23" i="6"/>
  <c r="G14" i="1"/>
  <c r="R13" i="1"/>
  <c r="C8" i="8" s="1"/>
  <c r="R75" i="8" l="1"/>
  <c r="AC81" i="6"/>
  <c r="G31" i="6"/>
  <c r="H31" i="6" s="1"/>
  <c r="R30" i="6"/>
  <c r="H72" i="6"/>
  <c r="R72" i="6"/>
  <c r="H71" i="6"/>
  <c r="R71" i="6"/>
  <c r="I8" i="8"/>
  <c r="M8" i="8" s="1"/>
  <c r="L8" i="8"/>
  <c r="H70" i="6"/>
  <c r="R70" i="6"/>
  <c r="H30" i="5"/>
  <c r="R30" i="5"/>
  <c r="G31" i="5"/>
  <c r="R24" i="6"/>
  <c r="H24" i="6"/>
  <c r="R69" i="6"/>
  <c r="H69" i="6"/>
  <c r="E8" i="8"/>
  <c r="D9" i="8"/>
  <c r="H14" i="1"/>
  <c r="J9" i="8" s="1"/>
  <c r="W14" i="1"/>
  <c r="G9" i="8" s="1"/>
  <c r="H53" i="3"/>
  <c r="G55" i="4"/>
  <c r="H55" i="4" s="1"/>
  <c r="R54" i="4"/>
  <c r="G54" i="3"/>
  <c r="R53" i="3"/>
  <c r="G15" i="1"/>
  <c r="R14" i="1"/>
  <c r="C9" i="8" s="1"/>
  <c r="R76" i="8" l="1"/>
  <c r="AC82" i="6"/>
  <c r="R31" i="6"/>
  <c r="G32" i="6"/>
  <c r="H32" i="6" s="1"/>
  <c r="I9" i="8"/>
  <c r="M9" i="8" s="1"/>
  <c r="L9" i="8"/>
  <c r="H31" i="5"/>
  <c r="R31" i="5"/>
  <c r="G32" i="5"/>
  <c r="E9" i="8"/>
  <c r="D10" i="8"/>
  <c r="H15" i="1"/>
  <c r="J10" i="8" s="1"/>
  <c r="W15" i="1"/>
  <c r="G10" i="8" s="1"/>
  <c r="H54" i="3"/>
  <c r="G56" i="4"/>
  <c r="H56" i="4" s="1"/>
  <c r="R55" i="4"/>
  <c r="G55" i="3"/>
  <c r="R54" i="3"/>
  <c r="G16" i="1"/>
  <c r="R15" i="1"/>
  <c r="C10" i="8" s="1"/>
  <c r="R77" i="8" l="1"/>
  <c r="AC83" i="6"/>
  <c r="R32" i="6"/>
  <c r="G33" i="6"/>
  <c r="H33" i="6" s="1"/>
  <c r="I10" i="8"/>
  <c r="M10" i="8" s="1"/>
  <c r="L10" i="8"/>
  <c r="H32" i="5"/>
  <c r="G33" i="5"/>
  <c r="R32" i="5"/>
  <c r="E10" i="8"/>
  <c r="D11" i="8"/>
  <c r="H16" i="1"/>
  <c r="J11" i="8" s="1"/>
  <c r="W16" i="1"/>
  <c r="G11" i="8" s="1"/>
  <c r="H55" i="3"/>
  <c r="G57" i="4"/>
  <c r="H57" i="4" s="1"/>
  <c r="R56" i="4"/>
  <c r="G56" i="3"/>
  <c r="R55" i="3"/>
  <c r="G17" i="1"/>
  <c r="R16" i="1"/>
  <c r="C11" i="8" s="1"/>
  <c r="AC84" i="6" l="1"/>
  <c r="R78" i="8"/>
  <c r="R33" i="6"/>
  <c r="G34" i="6"/>
  <c r="H34" i="6" s="1"/>
  <c r="I11" i="8"/>
  <c r="M11" i="8" s="1"/>
  <c r="L11" i="8"/>
  <c r="H33" i="5"/>
  <c r="G34" i="5"/>
  <c r="R33" i="5"/>
  <c r="E11" i="8"/>
  <c r="H17" i="1"/>
  <c r="J12" i="8" s="1"/>
  <c r="D12" i="8"/>
  <c r="W17" i="1"/>
  <c r="G12" i="8" s="1"/>
  <c r="H56" i="3"/>
  <c r="G58" i="4"/>
  <c r="H58" i="4" s="1"/>
  <c r="R57" i="4"/>
  <c r="G57" i="3"/>
  <c r="R56" i="3"/>
  <c r="G18" i="1"/>
  <c r="R17" i="1"/>
  <c r="C12" i="8" s="1"/>
  <c r="R79" i="8" l="1"/>
  <c r="AC85" i="6"/>
  <c r="R34" i="6"/>
  <c r="G35" i="6"/>
  <c r="H35" i="6" s="1"/>
  <c r="I12" i="8"/>
  <c r="M12" i="8" s="1"/>
  <c r="L12" i="8"/>
  <c r="H34" i="5"/>
  <c r="G35" i="5"/>
  <c r="R34" i="5"/>
  <c r="E12" i="8"/>
  <c r="D13" i="8"/>
  <c r="H18" i="1"/>
  <c r="J13" i="8" s="1"/>
  <c r="W18" i="1"/>
  <c r="G13" i="8" s="1"/>
  <c r="H57" i="3"/>
  <c r="G59" i="4"/>
  <c r="H59" i="4" s="1"/>
  <c r="R58" i="4"/>
  <c r="G58" i="3"/>
  <c r="R57" i="3"/>
  <c r="G19" i="1"/>
  <c r="R18" i="1"/>
  <c r="C13" i="8" s="1"/>
  <c r="R80" i="8" l="1"/>
  <c r="AC86" i="6"/>
  <c r="AC87" i="6" s="1"/>
  <c r="AC89" i="6" s="1"/>
  <c r="R35" i="6"/>
  <c r="G36" i="6"/>
  <c r="H36" i="6" s="1"/>
  <c r="I13" i="8"/>
  <c r="M13" i="8" s="1"/>
  <c r="L13" i="8"/>
  <c r="H35" i="5"/>
  <c r="R35" i="5"/>
  <c r="G36" i="5"/>
  <c r="E13" i="8"/>
  <c r="D14" i="8"/>
  <c r="H19" i="1"/>
  <c r="J14" i="8" s="1"/>
  <c r="W19" i="1"/>
  <c r="G14" i="8" s="1"/>
  <c r="H58" i="3"/>
  <c r="G60" i="4"/>
  <c r="H60" i="4" s="1"/>
  <c r="R59" i="4"/>
  <c r="G59" i="3"/>
  <c r="R58" i="3"/>
  <c r="G20" i="1"/>
  <c r="R19" i="1"/>
  <c r="C14" i="8" s="1"/>
  <c r="R84" i="8" l="1"/>
  <c r="R83" i="8"/>
  <c r="R81" i="8"/>
  <c r="AC88" i="6"/>
  <c r="R82" i="8" s="1"/>
  <c r="R36" i="6"/>
  <c r="G37" i="6"/>
  <c r="H37" i="6" s="1"/>
  <c r="I14" i="8"/>
  <c r="M14" i="8" s="1"/>
  <c r="L14" i="8"/>
  <c r="H36" i="5"/>
  <c r="G37" i="5"/>
  <c r="R36" i="5"/>
  <c r="E14" i="8"/>
  <c r="D15" i="8"/>
  <c r="H20" i="1"/>
  <c r="J15" i="8" s="1"/>
  <c r="W20" i="1"/>
  <c r="G15" i="8" s="1"/>
  <c r="H59" i="3"/>
  <c r="G61" i="4"/>
  <c r="H61" i="4" s="1"/>
  <c r="R60" i="4"/>
  <c r="G60" i="3"/>
  <c r="R59" i="3"/>
  <c r="G21" i="1"/>
  <c r="R20" i="1"/>
  <c r="C15" i="8" s="1"/>
  <c r="R37" i="6" l="1"/>
  <c r="G38" i="6"/>
  <c r="H38" i="6" s="1"/>
  <c r="I15" i="8"/>
  <c r="M15" i="8" s="1"/>
  <c r="L15" i="8"/>
  <c r="H37" i="5"/>
  <c r="G38" i="5"/>
  <c r="R37" i="5"/>
  <c r="E15" i="8"/>
  <c r="H21" i="1"/>
  <c r="J16" i="8" s="1"/>
  <c r="D16" i="8"/>
  <c r="W21" i="1"/>
  <c r="G16" i="8" s="1"/>
  <c r="H60" i="3"/>
  <c r="G62" i="4"/>
  <c r="H62" i="4" s="1"/>
  <c r="R61" i="4"/>
  <c r="G61" i="3"/>
  <c r="R60" i="3"/>
  <c r="G22" i="1"/>
  <c r="R21" i="1"/>
  <c r="C16" i="8" s="1"/>
  <c r="R38" i="6" l="1"/>
  <c r="G39" i="6"/>
  <c r="H39" i="6" s="1"/>
  <c r="I16" i="8"/>
  <c r="M16" i="8" s="1"/>
  <c r="L16" i="8"/>
  <c r="H38" i="5"/>
  <c r="G39" i="5"/>
  <c r="R38" i="5"/>
  <c r="E16" i="8"/>
  <c r="D17" i="8"/>
  <c r="H22" i="1"/>
  <c r="J17" i="8" s="1"/>
  <c r="W22" i="1"/>
  <c r="G17" i="8" s="1"/>
  <c r="H61" i="3"/>
  <c r="G63" i="4"/>
  <c r="H63" i="4" s="1"/>
  <c r="R62" i="4"/>
  <c r="G62" i="3"/>
  <c r="R61" i="3"/>
  <c r="G23" i="1"/>
  <c r="R22" i="1"/>
  <c r="C17" i="8" s="1"/>
  <c r="R39" i="6" l="1"/>
  <c r="G40" i="6"/>
  <c r="H40" i="6" s="1"/>
  <c r="I17" i="8"/>
  <c r="M17" i="8" s="1"/>
  <c r="L17" i="8"/>
  <c r="H39" i="5"/>
  <c r="G40" i="5"/>
  <c r="R39" i="5"/>
  <c r="E17" i="8"/>
  <c r="D18" i="8"/>
  <c r="H23" i="1"/>
  <c r="J18" i="8" s="1"/>
  <c r="W23" i="1"/>
  <c r="G18" i="8" s="1"/>
  <c r="H62" i="3"/>
  <c r="G64" i="4"/>
  <c r="H64" i="4" s="1"/>
  <c r="R63" i="4"/>
  <c r="G63" i="3"/>
  <c r="R62" i="3"/>
  <c r="G24" i="1"/>
  <c r="R23" i="1"/>
  <c r="C18" i="8" s="1"/>
  <c r="R40" i="6" l="1"/>
  <c r="G41" i="6"/>
  <c r="H41" i="6" s="1"/>
  <c r="I18" i="8"/>
  <c r="M18" i="8" s="1"/>
  <c r="L18" i="8"/>
  <c r="H40" i="5"/>
  <c r="G41" i="5"/>
  <c r="R40" i="5"/>
  <c r="E18" i="8"/>
  <c r="D19" i="8"/>
  <c r="H24" i="1"/>
  <c r="J19" i="8" s="1"/>
  <c r="W24" i="1"/>
  <c r="G19" i="8" s="1"/>
  <c r="H63" i="3"/>
  <c r="G65" i="4"/>
  <c r="H65" i="4" s="1"/>
  <c r="R64" i="4"/>
  <c r="G64" i="3"/>
  <c r="R63" i="3"/>
  <c r="G25" i="1"/>
  <c r="R24" i="1"/>
  <c r="C19" i="8" s="1"/>
  <c r="R41" i="6" l="1"/>
  <c r="G42" i="6"/>
  <c r="H42" i="6" s="1"/>
  <c r="I19" i="8"/>
  <c r="M19" i="8" s="1"/>
  <c r="L19" i="8"/>
  <c r="H41" i="5"/>
  <c r="G42" i="5"/>
  <c r="R41" i="5"/>
  <c r="E19" i="8"/>
  <c r="H25" i="1"/>
  <c r="J20" i="8" s="1"/>
  <c r="D20" i="8"/>
  <c r="W25" i="1"/>
  <c r="G20" i="8" s="1"/>
  <c r="H64" i="3"/>
  <c r="G66" i="4"/>
  <c r="H66" i="4" s="1"/>
  <c r="R65" i="4"/>
  <c r="G65" i="3"/>
  <c r="R64" i="3"/>
  <c r="G26" i="1"/>
  <c r="R25" i="1"/>
  <c r="C20" i="8" s="1"/>
  <c r="R42" i="6" l="1"/>
  <c r="G43" i="6"/>
  <c r="H43" i="6" s="1"/>
  <c r="I20" i="8"/>
  <c r="M20" i="8" s="1"/>
  <c r="L20" i="8"/>
  <c r="H42" i="5"/>
  <c r="G43" i="5"/>
  <c r="R42" i="5"/>
  <c r="E20" i="8"/>
  <c r="D21" i="8"/>
  <c r="H26" i="1"/>
  <c r="J21" i="8" s="1"/>
  <c r="W26" i="1"/>
  <c r="G21" i="8" s="1"/>
  <c r="H65" i="3"/>
  <c r="G67" i="4"/>
  <c r="G68" i="4" s="1"/>
  <c r="R66" i="4"/>
  <c r="G66" i="3"/>
  <c r="R65" i="3"/>
  <c r="G27" i="1"/>
  <c r="R26" i="1"/>
  <c r="C21" i="8" s="1"/>
  <c r="R43" i="6" l="1"/>
  <c r="G44" i="6"/>
  <c r="H44" i="6" s="1"/>
  <c r="I21" i="8"/>
  <c r="M21" i="8" s="1"/>
  <c r="L21" i="8"/>
  <c r="H43" i="5"/>
  <c r="G44" i="5"/>
  <c r="R43" i="5"/>
  <c r="G69" i="4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R68" i="4"/>
  <c r="H68" i="4"/>
  <c r="E21" i="8"/>
  <c r="D22" i="8"/>
  <c r="H27" i="1"/>
  <c r="J22" i="8" s="1"/>
  <c r="W27" i="1"/>
  <c r="G22" i="8" s="1"/>
  <c r="R67" i="4"/>
  <c r="H67" i="4"/>
  <c r="H66" i="3"/>
  <c r="G67" i="3"/>
  <c r="G68" i="3" s="1"/>
  <c r="R66" i="3"/>
  <c r="G28" i="1"/>
  <c r="R27" i="1"/>
  <c r="C22" i="8" s="1"/>
  <c r="H86" i="4" l="1"/>
  <c r="R86" i="4"/>
  <c r="AB86" i="4" s="1"/>
  <c r="G87" i="4"/>
  <c r="G88" i="4" s="1"/>
  <c r="G89" i="4" s="1"/>
  <c r="G90" i="4" s="1"/>
  <c r="G91" i="4" s="1"/>
  <c r="G92" i="4" s="1"/>
  <c r="G45" i="6"/>
  <c r="H45" i="6" s="1"/>
  <c r="H85" i="4"/>
  <c r="R85" i="4"/>
  <c r="AB85" i="4" s="1"/>
  <c r="H84" i="4"/>
  <c r="R84" i="4"/>
  <c r="AB84" i="4" s="1"/>
  <c r="T79" i="8" s="1"/>
  <c r="H83" i="4"/>
  <c r="R83" i="4"/>
  <c r="AB83" i="4" s="1"/>
  <c r="H82" i="4"/>
  <c r="R82" i="4"/>
  <c r="AB82" i="4" s="1"/>
  <c r="T77" i="8" s="1"/>
  <c r="R81" i="4"/>
  <c r="AB81" i="4" s="1"/>
  <c r="H81" i="4"/>
  <c r="R80" i="4"/>
  <c r="AB80" i="4" s="1"/>
  <c r="H80" i="4"/>
  <c r="R44" i="6"/>
  <c r="H79" i="4"/>
  <c r="R79" i="4"/>
  <c r="AB79" i="4" s="1"/>
  <c r="H78" i="4"/>
  <c r="R78" i="4"/>
  <c r="AB78" i="4" s="1"/>
  <c r="R77" i="4"/>
  <c r="AB77" i="4" s="1"/>
  <c r="H77" i="4"/>
  <c r="H76" i="4"/>
  <c r="R76" i="4"/>
  <c r="AB76" i="4" s="1"/>
  <c r="H75" i="4"/>
  <c r="R75" i="4"/>
  <c r="AB75" i="4" s="1"/>
  <c r="R74" i="4"/>
  <c r="AB74" i="4" s="1"/>
  <c r="H74" i="4"/>
  <c r="R73" i="4"/>
  <c r="H73" i="4"/>
  <c r="H72" i="4"/>
  <c r="R72" i="4"/>
  <c r="H71" i="4"/>
  <c r="R71" i="4"/>
  <c r="I22" i="8"/>
  <c r="M22" i="8" s="1"/>
  <c r="L22" i="8"/>
  <c r="H70" i="4"/>
  <c r="R70" i="4"/>
  <c r="H44" i="5"/>
  <c r="R44" i="5"/>
  <c r="R69" i="4"/>
  <c r="H69" i="4"/>
  <c r="R68" i="3"/>
  <c r="G69" i="3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H68" i="3"/>
  <c r="E22" i="8"/>
  <c r="D23" i="8"/>
  <c r="H28" i="1"/>
  <c r="J23" i="8" s="1"/>
  <c r="W28" i="1"/>
  <c r="G23" i="8" s="1"/>
  <c r="R67" i="3"/>
  <c r="H67" i="3"/>
  <c r="G29" i="1"/>
  <c r="R28" i="1"/>
  <c r="C23" i="8" s="1"/>
  <c r="R92" i="4" l="1"/>
  <c r="AB92" i="4" s="1"/>
  <c r="H92" i="4"/>
  <c r="R91" i="4"/>
  <c r="AB91" i="4" s="1"/>
  <c r="H91" i="4"/>
  <c r="G86" i="3"/>
  <c r="H85" i="3"/>
  <c r="R85" i="3"/>
  <c r="AB85" i="3" s="1"/>
  <c r="R90" i="4"/>
  <c r="AB90" i="4" s="1"/>
  <c r="H90" i="4"/>
  <c r="T78" i="8"/>
  <c r="R89" i="4"/>
  <c r="AB89" i="4" s="1"/>
  <c r="H89" i="4"/>
  <c r="H88" i="4"/>
  <c r="R88" i="4"/>
  <c r="AB88" i="4" s="1"/>
  <c r="T81" i="8"/>
  <c r="R45" i="6"/>
  <c r="G46" i="6"/>
  <c r="H46" i="6" s="1"/>
  <c r="H87" i="4"/>
  <c r="R87" i="4"/>
  <c r="AB87" i="4" s="1"/>
  <c r="T80" i="8"/>
  <c r="H84" i="3"/>
  <c r="R84" i="3"/>
  <c r="AB84" i="3" s="1"/>
  <c r="T74" i="8"/>
  <c r="T76" i="8"/>
  <c r="R83" i="3"/>
  <c r="AB83" i="3" s="1"/>
  <c r="H83" i="3"/>
  <c r="H82" i="3"/>
  <c r="R82" i="3"/>
  <c r="AB82" i="3" s="1"/>
  <c r="H81" i="3"/>
  <c r="R81" i="3"/>
  <c r="AB81" i="3" s="1"/>
  <c r="T69" i="8"/>
  <c r="T71" i="8"/>
  <c r="T73" i="8"/>
  <c r="R80" i="3"/>
  <c r="AB80" i="3" s="1"/>
  <c r="H80" i="3"/>
  <c r="T75" i="8"/>
  <c r="R79" i="3"/>
  <c r="AB79" i="3" s="1"/>
  <c r="H79" i="3"/>
  <c r="R78" i="3"/>
  <c r="AB78" i="3" s="1"/>
  <c r="H78" i="3"/>
  <c r="T70" i="8"/>
  <c r="T72" i="8"/>
  <c r="H77" i="3"/>
  <c r="R77" i="3"/>
  <c r="AB77" i="3" s="1"/>
  <c r="H76" i="3"/>
  <c r="R76" i="3"/>
  <c r="AB76" i="3" s="1"/>
  <c r="R75" i="3"/>
  <c r="AB75" i="3" s="1"/>
  <c r="H75" i="3"/>
  <c r="H74" i="3"/>
  <c r="R74" i="3"/>
  <c r="AB74" i="3" s="1"/>
  <c r="H73" i="3"/>
  <c r="R73" i="3"/>
  <c r="H72" i="3"/>
  <c r="R72" i="3"/>
  <c r="H71" i="3"/>
  <c r="R71" i="3"/>
  <c r="I23" i="8"/>
  <c r="M23" i="8" s="1"/>
  <c r="L23" i="8"/>
  <c r="H70" i="3"/>
  <c r="R70" i="3"/>
  <c r="E23" i="8"/>
  <c r="H69" i="3"/>
  <c r="R69" i="3"/>
  <c r="H29" i="1"/>
  <c r="J24" i="8" s="1"/>
  <c r="D24" i="8"/>
  <c r="W29" i="1"/>
  <c r="G24" i="8" s="1"/>
  <c r="G30" i="1"/>
  <c r="R29" i="1"/>
  <c r="C24" i="8" s="1"/>
  <c r="T85" i="8" l="1"/>
  <c r="T87" i="8"/>
  <c r="G47" i="6"/>
  <c r="H47" i="6" s="1"/>
  <c r="T86" i="8"/>
  <c r="R86" i="3"/>
  <c r="AB86" i="3" s="1"/>
  <c r="H86" i="3"/>
  <c r="G87" i="3"/>
  <c r="T84" i="8"/>
  <c r="R46" i="6"/>
  <c r="S81" i="8"/>
  <c r="T83" i="8"/>
  <c r="S80" i="8"/>
  <c r="T82" i="8"/>
  <c r="S72" i="8"/>
  <c r="S77" i="8"/>
  <c r="S75" i="8"/>
  <c r="S79" i="8"/>
  <c r="S78" i="8"/>
  <c r="S76" i="8"/>
  <c r="S74" i="8"/>
  <c r="S73" i="8"/>
  <c r="S71" i="8"/>
  <c r="S70" i="8"/>
  <c r="S69" i="8"/>
  <c r="I24" i="8"/>
  <c r="M24" i="8" s="1"/>
  <c r="L24" i="8"/>
  <c r="E24" i="8"/>
  <c r="D25" i="8"/>
  <c r="H30" i="1"/>
  <c r="J25" i="8" s="1"/>
  <c r="W30" i="1"/>
  <c r="G25" i="8" s="1"/>
  <c r="G48" i="6"/>
  <c r="H48" i="6" s="1"/>
  <c r="G31" i="1"/>
  <c r="R30" i="1"/>
  <c r="C25" i="8" s="1"/>
  <c r="R47" i="6" l="1"/>
  <c r="R87" i="3"/>
  <c r="AB87" i="3" s="1"/>
  <c r="S82" i="8" s="1"/>
  <c r="G88" i="3"/>
  <c r="H87" i="3"/>
  <c r="I25" i="8"/>
  <c r="M25" i="8" s="1"/>
  <c r="L25" i="8"/>
  <c r="E25" i="8"/>
  <c r="D26" i="8"/>
  <c r="H31" i="1"/>
  <c r="J26" i="8" s="1"/>
  <c r="W31" i="1"/>
  <c r="G26" i="8" s="1"/>
  <c r="G49" i="6"/>
  <c r="H49" i="6" s="1"/>
  <c r="R48" i="6"/>
  <c r="G32" i="1"/>
  <c r="R31" i="1"/>
  <c r="C26" i="8" s="1"/>
  <c r="R88" i="3" l="1"/>
  <c r="AB88" i="3" s="1"/>
  <c r="S83" i="8" s="1"/>
  <c r="G89" i="3"/>
  <c r="H88" i="3"/>
  <c r="I26" i="8"/>
  <c r="M26" i="8" s="1"/>
  <c r="L26" i="8"/>
  <c r="E26" i="8"/>
  <c r="D27" i="8"/>
  <c r="H32" i="1"/>
  <c r="J27" i="8" s="1"/>
  <c r="W32" i="1"/>
  <c r="G27" i="8" s="1"/>
  <c r="G50" i="6"/>
  <c r="H50" i="6" s="1"/>
  <c r="R49" i="6"/>
  <c r="G33" i="1"/>
  <c r="R32" i="1"/>
  <c r="C27" i="8" s="1"/>
  <c r="H89" i="3" l="1"/>
  <c r="G90" i="3"/>
  <c r="R89" i="3"/>
  <c r="AB89" i="3" s="1"/>
  <c r="S84" i="8" s="1"/>
  <c r="I27" i="8"/>
  <c r="M27" i="8" s="1"/>
  <c r="L27" i="8"/>
  <c r="E27" i="8"/>
  <c r="H33" i="1"/>
  <c r="J28" i="8" s="1"/>
  <c r="D28" i="8"/>
  <c r="W33" i="1"/>
  <c r="G28" i="8" s="1"/>
  <c r="G51" i="6"/>
  <c r="H51" i="6" s="1"/>
  <c r="R50" i="6"/>
  <c r="G34" i="1"/>
  <c r="R33" i="1"/>
  <c r="C28" i="8" s="1"/>
  <c r="G91" i="3" l="1"/>
  <c r="G92" i="3" s="1"/>
  <c r="H90" i="3"/>
  <c r="R90" i="3"/>
  <c r="AB90" i="3" s="1"/>
  <c r="S85" i="8" s="1"/>
  <c r="I28" i="8"/>
  <c r="M28" i="8" s="1"/>
  <c r="L28" i="8"/>
  <c r="E28" i="8"/>
  <c r="D29" i="8"/>
  <c r="H34" i="1"/>
  <c r="J29" i="8" s="1"/>
  <c r="W34" i="1"/>
  <c r="G29" i="8" s="1"/>
  <c r="G52" i="6"/>
  <c r="H52" i="6" s="1"/>
  <c r="R51" i="6"/>
  <c r="G35" i="1"/>
  <c r="R34" i="1"/>
  <c r="C29" i="8" s="1"/>
  <c r="R92" i="3" l="1"/>
  <c r="AB92" i="3" s="1"/>
  <c r="S87" i="8" s="1"/>
  <c r="H92" i="3"/>
  <c r="H91" i="3"/>
  <c r="R91" i="3"/>
  <c r="AB91" i="3" s="1"/>
  <c r="S86" i="8" s="1"/>
  <c r="D86" i="8"/>
  <c r="I29" i="8"/>
  <c r="M29" i="8" s="1"/>
  <c r="L29" i="8"/>
  <c r="E29" i="8"/>
  <c r="D30" i="8"/>
  <c r="H35" i="1"/>
  <c r="J30" i="8" s="1"/>
  <c r="W35" i="1"/>
  <c r="G30" i="8" s="1"/>
  <c r="G53" i="6"/>
  <c r="H53" i="6" s="1"/>
  <c r="R52" i="6"/>
  <c r="G36" i="1"/>
  <c r="R35" i="1"/>
  <c r="C30" i="8" s="1"/>
  <c r="I30" i="8" l="1"/>
  <c r="M30" i="8" s="1"/>
  <c r="L30" i="8"/>
  <c r="E30" i="8"/>
  <c r="D31" i="8"/>
  <c r="H36" i="1"/>
  <c r="J31" i="8" s="1"/>
  <c r="W36" i="1"/>
  <c r="G31" i="8" s="1"/>
  <c r="G54" i="6"/>
  <c r="H54" i="6" s="1"/>
  <c r="R53" i="6"/>
  <c r="G37" i="1"/>
  <c r="R36" i="1"/>
  <c r="C31" i="8" s="1"/>
  <c r="I31" i="8" l="1"/>
  <c r="M31" i="8" s="1"/>
  <c r="L31" i="8"/>
  <c r="E31" i="8"/>
  <c r="H37" i="1"/>
  <c r="J32" i="8" s="1"/>
  <c r="D32" i="8"/>
  <c r="W37" i="1"/>
  <c r="G32" i="8" s="1"/>
  <c r="G55" i="6"/>
  <c r="H55" i="6" s="1"/>
  <c r="R54" i="6"/>
  <c r="G38" i="1"/>
  <c r="R37" i="1"/>
  <c r="C32" i="8" s="1"/>
  <c r="I32" i="8" l="1"/>
  <c r="M32" i="8" s="1"/>
  <c r="L32" i="8"/>
  <c r="E32" i="8"/>
  <c r="D33" i="8"/>
  <c r="H38" i="1"/>
  <c r="J33" i="8" s="1"/>
  <c r="W38" i="1"/>
  <c r="G33" i="8" s="1"/>
  <c r="G56" i="6"/>
  <c r="H56" i="6" s="1"/>
  <c r="R55" i="6"/>
  <c r="G39" i="1"/>
  <c r="R38" i="1"/>
  <c r="C33" i="8" s="1"/>
  <c r="I33" i="8" l="1"/>
  <c r="M33" i="8" s="1"/>
  <c r="L33" i="8"/>
  <c r="E33" i="8"/>
  <c r="D34" i="8"/>
  <c r="H39" i="1"/>
  <c r="J34" i="8" s="1"/>
  <c r="W39" i="1"/>
  <c r="G34" i="8" s="1"/>
  <c r="G57" i="6"/>
  <c r="H57" i="6" s="1"/>
  <c r="R56" i="6"/>
  <c r="G40" i="1"/>
  <c r="R39" i="1"/>
  <c r="C34" i="8" s="1"/>
  <c r="I34" i="8" l="1"/>
  <c r="M34" i="8" s="1"/>
  <c r="L34" i="8"/>
  <c r="E34" i="8"/>
  <c r="D35" i="8"/>
  <c r="H40" i="1"/>
  <c r="J35" i="8" s="1"/>
  <c r="W40" i="1"/>
  <c r="G35" i="8" s="1"/>
  <c r="G58" i="6"/>
  <c r="H58" i="6" s="1"/>
  <c r="R57" i="6"/>
  <c r="G41" i="1"/>
  <c r="R40" i="1"/>
  <c r="C35" i="8" s="1"/>
  <c r="I35" i="8" l="1"/>
  <c r="M35" i="8" s="1"/>
  <c r="L35" i="8"/>
  <c r="E35" i="8"/>
  <c r="H41" i="1"/>
  <c r="J36" i="8" s="1"/>
  <c r="D36" i="8"/>
  <c r="W41" i="1"/>
  <c r="G36" i="8" s="1"/>
  <c r="G59" i="6"/>
  <c r="H59" i="6" s="1"/>
  <c r="R58" i="6"/>
  <c r="G42" i="1"/>
  <c r="R41" i="1"/>
  <c r="C36" i="8" s="1"/>
  <c r="I36" i="8" l="1"/>
  <c r="M36" i="8" s="1"/>
  <c r="L36" i="8"/>
  <c r="E36" i="8"/>
  <c r="D37" i="8"/>
  <c r="H42" i="1"/>
  <c r="J37" i="8" s="1"/>
  <c r="W42" i="1"/>
  <c r="G37" i="8" s="1"/>
  <c r="G60" i="6"/>
  <c r="H60" i="6" s="1"/>
  <c r="R59" i="6"/>
  <c r="G43" i="1"/>
  <c r="R42" i="1"/>
  <c r="C37" i="8" s="1"/>
  <c r="I37" i="8" l="1"/>
  <c r="M37" i="8" s="1"/>
  <c r="L37" i="8"/>
  <c r="E37" i="8"/>
  <c r="D38" i="8"/>
  <c r="H43" i="1"/>
  <c r="J38" i="8" s="1"/>
  <c r="W43" i="1"/>
  <c r="G38" i="8" s="1"/>
  <c r="G61" i="6"/>
  <c r="H61" i="6" s="1"/>
  <c r="R60" i="6"/>
  <c r="G44" i="1"/>
  <c r="R43" i="1"/>
  <c r="C38" i="8" s="1"/>
  <c r="I38" i="8" l="1"/>
  <c r="M38" i="8" s="1"/>
  <c r="L38" i="8"/>
  <c r="E38" i="8"/>
  <c r="D39" i="8"/>
  <c r="H44" i="1"/>
  <c r="J39" i="8" s="1"/>
  <c r="W44" i="1"/>
  <c r="G39" i="8" s="1"/>
  <c r="G62" i="6"/>
  <c r="H62" i="6" s="1"/>
  <c r="R61" i="6"/>
  <c r="G45" i="1"/>
  <c r="R44" i="1"/>
  <c r="C39" i="8" s="1"/>
  <c r="I39" i="8" l="1"/>
  <c r="M39" i="8" s="1"/>
  <c r="L39" i="8"/>
  <c r="E39" i="8"/>
  <c r="H45" i="1"/>
  <c r="J40" i="8" s="1"/>
  <c r="D40" i="8"/>
  <c r="W45" i="1"/>
  <c r="G40" i="8" s="1"/>
  <c r="G63" i="6"/>
  <c r="R62" i="6"/>
  <c r="G46" i="1"/>
  <c r="R45" i="1"/>
  <c r="C40" i="8" s="1"/>
  <c r="I40" i="8" l="1"/>
  <c r="M40" i="8" s="1"/>
  <c r="L40" i="8"/>
  <c r="E40" i="8"/>
  <c r="R63" i="6"/>
  <c r="H63" i="6"/>
  <c r="D41" i="8"/>
  <c r="H46" i="1"/>
  <c r="J41" i="8" s="1"/>
  <c r="W46" i="1"/>
  <c r="G41" i="8" s="1"/>
  <c r="G47" i="1"/>
  <c r="R46" i="1"/>
  <c r="C41" i="8" s="1"/>
  <c r="I41" i="8" l="1"/>
  <c r="M41" i="8" s="1"/>
  <c r="L41" i="8"/>
  <c r="E41" i="8"/>
  <c r="D42" i="8"/>
  <c r="H47" i="1"/>
  <c r="J42" i="8" s="1"/>
  <c r="W47" i="1"/>
  <c r="G42" i="8" s="1"/>
  <c r="G48" i="1"/>
  <c r="R47" i="1"/>
  <c r="C42" i="8" s="1"/>
  <c r="E42" i="8" l="1"/>
  <c r="I42" i="8"/>
  <c r="M42" i="8" s="1"/>
  <c r="L42" i="8"/>
  <c r="H48" i="1"/>
  <c r="J43" i="8" s="1"/>
  <c r="W48" i="1"/>
  <c r="G43" i="8" s="1"/>
  <c r="D43" i="8"/>
  <c r="G49" i="1"/>
  <c r="R48" i="1"/>
  <c r="C43" i="8" s="1"/>
  <c r="I43" i="8" l="1"/>
  <c r="M43" i="8" s="1"/>
  <c r="L43" i="8"/>
  <c r="H49" i="1"/>
  <c r="J44" i="8" s="1"/>
  <c r="W49" i="1"/>
  <c r="G44" i="8" s="1"/>
  <c r="D44" i="8"/>
  <c r="E43" i="8"/>
  <c r="G50" i="1"/>
  <c r="R49" i="1"/>
  <c r="C44" i="8" s="1"/>
  <c r="I44" i="8" l="1"/>
  <c r="M44" i="8" s="1"/>
  <c r="L44" i="8"/>
  <c r="E44" i="8"/>
  <c r="H50" i="1"/>
  <c r="J45" i="8" s="1"/>
  <c r="W50" i="1"/>
  <c r="G45" i="8" s="1"/>
  <c r="D45" i="8"/>
  <c r="G51" i="1"/>
  <c r="R50" i="1"/>
  <c r="C45" i="8" s="1"/>
  <c r="I45" i="8" l="1"/>
  <c r="M45" i="8" s="1"/>
  <c r="L45" i="8"/>
  <c r="H51" i="1"/>
  <c r="J46" i="8" s="1"/>
  <c r="W51" i="1"/>
  <c r="G46" i="8" s="1"/>
  <c r="D46" i="8"/>
  <c r="E45" i="8"/>
  <c r="G52" i="1"/>
  <c r="R51" i="1"/>
  <c r="C46" i="8" s="1"/>
  <c r="I46" i="8" l="1"/>
  <c r="M46" i="8" s="1"/>
  <c r="L46" i="8"/>
  <c r="E46" i="8"/>
  <c r="H52" i="1"/>
  <c r="J47" i="8" s="1"/>
  <c r="W52" i="1"/>
  <c r="G47" i="8" s="1"/>
  <c r="D47" i="8"/>
  <c r="G53" i="1"/>
  <c r="R52" i="1"/>
  <c r="C47" i="8" s="1"/>
  <c r="I47" i="8" l="1"/>
  <c r="M47" i="8" s="1"/>
  <c r="L47" i="8"/>
  <c r="H53" i="1"/>
  <c r="J48" i="8" s="1"/>
  <c r="W53" i="1"/>
  <c r="G48" i="8" s="1"/>
  <c r="D48" i="8"/>
  <c r="E47" i="8"/>
  <c r="G54" i="1"/>
  <c r="R53" i="1"/>
  <c r="C48" i="8" s="1"/>
  <c r="I48" i="8" l="1"/>
  <c r="M48" i="8" s="1"/>
  <c r="L48" i="8"/>
  <c r="E48" i="8"/>
  <c r="H54" i="1"/>
  <c r="J49" i="8" s="1"/>
  <c r="W54" i="1"/>
  <c r="G49" i="8" s="1"/>
  <c r="D49" i="8"/>
  <c r="G55" i="1"/>
  <c r="R54" i="1"/>
  <c r="C49" i="8" s="1"/>
  <c r="I49" i="8" l="1"/>
  <c r="M49" i="8" s="1"/>
  <c r="L49" i="8"/>
  <c r="E49" i="8"/>
  <c r="H55" i="1"/>
  <c r="J50" i="8" s="1"/>
  <c r="W55" i="1"/>
  <c r="G50" i="8" s="1"/>
  <c r="D50" i="8"/>
  <c r="G56" i="1"/>
  <c r="R55" i="1"/>
  <c r="C50" i="8" s="1"/>
  <c r="I50" i="8" l="1"/>
  <c r="M50" i="8" s="1"/>
  <c r="L50" i="8"/>
  <c r="E50" i="8"/>
  <c r="H56" i="1"/>
  <c r="J51" i="8" s="1"/>
  <c r="W56" i="1"/>
  <c r="G51" i="8" s="1"/>
  <c r="D51" i="8"/>
  <c r="G57" i="1"/>
  <c r="R56" i="1"/>
  <c r="C51" i="8" s="1"/>
  <c r="I51" i="8" l="1"/>
  <c r="M51" i="8" s="1"/>
  <c r="L51" i="8"/>
  <c r="E51" i="8"/>
  <c r="H57" i="1"/>
  <c r="J52" i="8" s="1"/>
  <c r="W57" i="1"/>
  <c r="G52" i="8" s="1"/>
  <c r="D52" i="8"/>
  <c r="G58" i="1"/>
  <c r="R57" i="1"/>
  <c r="C52" i="8" s="1"/>
  <c r="I52" i="8" l="1"/>
  <c r="M52" i="8" s="1"/>
  <c r="L52" i="8"/>
  <c r="E52" i="8"/>
  <c r="H58" i="1"/>
  <c r="J53" i="8" s="1"/>
  <c r="W58" i="1"/>
  <c r="G53" i="8" s="1"/>
  <c r="D53" i="8"/>
  <c r="G59" i="1"/>
  <c r="R58" i="1"/>
  <c r="C53" i="8" s="1"/>
  <c r="I53" i="8" l="1"/>
  <c r="M53" i="8" s="1"/>
  <c r="L53" i="8"/>
  <c r="E53" i="8"/>
  <c r="H59" i="1"/>
  <c r="J54" i="8" s="1"/>
  <c r="W59" i="1"/>
  <c r="G54" i="8" s="1"/>
  <c r="D54" i="8"/>
  <c r="G60" i="1"/>
  <c r="R59" i="1"/>
  <c r="C54" i="8" s="1"/>
  <c r="I54" i="8" l="1"/>
  <c r="M54" i="8" s="1"/>
  <c r="L54" i="8"/>
  <c r="E54" i="8"/>
  <c r="H60" i="1"/>
  <c r="J55" i="8" s="1"/>
  <c r="W60" i="1"/>
  <c r="G55" i="8" s="1"/>
  <c r="D55" i="8"/>
  <c r="G61" i="1"/>
  <c r="R60" i="1"/>
  <c r="C55" i="8" s="1"/>
  <c r="I55" i="8" l="1"/>
  <c r="M55" i="8" s="1"/>
  <c r="L55" i="8"/>
  <c r="E55" i="8"/>
  <c r="H61" i="1"/>
  <c r="J56" i="8" s="1"/>
  <c r="W61" i="1"/>
  <c r="G56" i="8" s="1"/>
  <c r="D56" i="8"/>
  <c r="G62" i="1"/>
  <c r="R61" i="1"/>
  <c r="C56" i="8" s="1"/>
  <c r="I56" i="8" l="1"/>
  <c r="M56" i="8" s="1"/>
  <c r="L56" i="8"/>
  <c r="E56" i="8"/>
  <c r="H62" i="1"/>
  <c r="J57" i="8" s="1"/>
  <c r="W62" i="1"/>
  <c r="G57" i="8" s="1"/>
  <c r="D57" i="8"/>
  <c r="G63" i="1"/>
  <c r="R62" i="1"/>
  <c r="C57" i="8" s="1"/>
  <c r="I57" i="8" l="1"/>
  <c r="M57" i="8" s="1"/>
  <c r="L57" i="8"/>
  <c r="E57" i="8"/>
  <c r="H63" i="1"/>
  <c r="J58" i="8" s="1"/>
  <c r="W63" i="1"/>
  <c r="G58" i="8" s="1"/>
  <c r="D58" i="8"/>
  <c r="G64" i="1"/>
  <c r="R63" i="1"/>
  <c r="C58" i="8" s="1"/>
  <c r="I58" i="8" l="1"/>
  <c r="M58" i="8" s="1"/>
  <c r="L58" i="8"/>
  <c r="E58" i="8"/>
  <c r="H64" i="1"/>
  <c r="J59" i="8" s="1"/>
  <c r="W64" i="1"/>
  <c r="G59" i="8" s="1"/>
  <c r="D59" i="8"/>
  <c r="G65" i="1"/>
  <c r="R64" i="1"/>
  <c r="C59" i="8" s="1"/>
  <c r="I59" i="8" l="1"/>
  <c r="M59" i="8" s="1"/>
  <c r="L59" i="8"/>
  <c r="H65" i="1"/>
  <c r="J60" i="8" s="1"/>
  <c r="W65" i="1"/>
  <c r="G60" i="8" s="1"/>
  <c r="D60" i="8"/>
  <c r="E59" i="8"/>
  <c r="G66" i="1"/>
  <c r="R65" i="1"/>
  <c r="C60" i="8" s="1"/>
  <c r="I60" i="8" l="1"/>
  <c r="M60" i="8" s="1"/>
  <c r="L60" i="8"/>
  <c r="E60" i="8"/>
  <c r="H66" i="1"/>
  <c r="J61" i="8" s="1"/>
  <c r="W66" i="1"/>
  <c r="G61" i="8" s="1"/>
  <c r="D61" i="8"/>
  <c r="G67" i="1"/>
  <c r="R66" i="1"/>
  <c r="C61" i="8" s="1"/>
  <c r="I61" i="8" l="1"/>
  <c r="M61" i="8" s="1"/>
  <c r="L61" i="8"/>
  <c r="G68" i="1"/>
  <c r="W67" i="1"/>
  <c r="G62" i="8" s="1"/>
  <c r="R67" i="1"/>
  <c r="C62" i="8" s="1"/>
  <c r="H67" i="1"/>
  <c r="J62" i="8" s="1"/>
  <c r="D62" i="8"/>
  <c r="E61" i="8"/>
  <c r="I62" i="8" l="1"/>
  <c r="M62" i="8" s="1"/>
  <c r="L62" i="8"/>
  <c r="G69" i="1"/>
  <c r="G70" i="1" s="1"/>
  <c r="G71" i="1" s="1"/>
  <c r="G72" i="1" s="1"/>
  <c r="G73" i="1" s="1"/>
  <c r="G74" i="1" s="1"/>
  <c r="D63" i="8"/>
  <c r="W68" i="1"/>
  <c r="G63" i="8" s="1"/>
  <c r="H68" i="1"/>
  <c r="J63" i="8" s="1"/>
  <c r="R68" i="1"/>
  <c r="C63" i="8" s="1"/>
  <c r="E62" i="8"/>
  <c r="G75" i="1" l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69" i="8"/>
  <c r="I69" i="8" s="1"/>
  <c r="D69" i="8"/>
  <c r="R74" i="1"/>
  <c r="AB74" i="1" s="1"/>
  <c r="H74" i="1"/>
  <c r="R73" i="1"/>
  <c r="D68" i="8"/>
  <c r="W73" i="1"/>
  <c r="G68" i="8" s="1"/>
  <c r="H73" i="1"/>
  <c r="J68" i="8" s="1"/>
  <c r="H72" i="1"/>
  <c r="J67" i="8" s="1"/>
  <c r="D67" i="8"/>
  <c r="W72" i="1"/>
  <c r="G67" i="8" s="1"/>
  <c r="R72" i="1"/>
  <c r="H71" i="1"/>
  <c r="J66" i="8" s="1"/>
  <c r="D66" i="8"/>
  <c r="W71" i="1"/>
  <c r="G66" i="8" s="1"/>
  <c r="I66" i="8" s="1"/>
  <c r="R71" i="1"/>
  <c r="I63" i="8"/>
  <c r="M63" i="8" s="1"/>
  <c r="L63" i="8"/>
  <c r="H70" i="1"/>
  <c r="J65" i="8" s="1"/>
  <c r="W70" i="1"/>
  <c r="G65" i="8" s="1"/>
  <c r="R70" i="1"/>
  <c r="D65" i="8"/>
  <c r="E63" i="8"/>
  <c r="W69" i="1"/>
  <c r="G64" i="8" s="1"/>
  <c r="H69" i="1"/>
  <c r="J64" i="8" s="1"/>
  <c r="R69" i="1"/>
  <c r="D64" i="8"/>
  <c r="D83" i="8" l="1"/>
  <c r="G89" i="1"/>
  <c r="G90" i="1" s="1"/>
  <c r="G91" i="1" s="1"/>
  <c r="G92" i="1" s="1"/>
  <c r="D87" i="8" s="1"/>
  <c r="H88" i="1"/>
  <c r="J83" i="8" s="1"/>
  <c r="R88" i="1"/>
  <c r="H87" i="1"/>
  <c r="J82" i="8" s="1"/>
  <c r="D82" i="8"/>
  <c r="R87" i="1"/>
  <c r="D81" i="8"/>
  <c r="H86" i="1"/>
  <c r="J81" i="8" s="1"/>
  <c r="R86" i="1"/>
  <c r="Q69" i="8"/>
  <c r="H85" i="1"/>
  <c r="J80" i="8" s="1"/>
  <c r="D80" i="8"/>
  <c r="R85" i="1"/>
  <c r="H84" i="1"/>
  <c r="J79" i="8" s="1"/>
  <c r="R84" i="1"/>
  <c r="D79" i="8"/>
  <c r="H83" i="1"/>
  <c r="J78" i="8" s="1"/>
  <c r="D78" i="8"/>
  <c r="R83" i="1"/>
  <c r="D77" i="8"/>
  <c r="H82" i="1"/>
  <c r="J77" i="8" s="1"/>
  <c r="R82" i="1"/>
  <c r="R81" i="1"/>
  <c r="D76" i="8"/>
  <c r="H81" i="1"/>
  <c r="J76" i="8" s="1"/>
  <c r="H80" i="1"/>
  <c r="J75" i="8" s="1"/>
  <c r="D75" i="8"/>
  <c r="R80" i="1"/>
  <c r="D74" i="8"/>
  <c r="R79" i="1"/>
  <c r="H79" i="1"/>
  <c r="J74" i="8" s="1"/>
  <c r="H78" i="1"/>
  <c r="J73" i="8" s="1"/>
  <c r="R78" i="1"/>
  <c r="D73" i="8"/>
  <c r="H77" i="1"/>
  <c r="J72" i="8" s="1"/>
  <c r="D72" i="8"/>
  <c r="R77" i="1"/>
  <c r="H76" i="1"/>
  <c r="J71" i="8" s="1"/>
  <c r="R76" i="1"/>
  <c r="D71" i="8"/>
  <c r="D70" i="8"/>
  <c r="H75" i="1"/>
  <c r="G70" i="8"/>
  <c r="L71" i="8" s="1"/>
  <c r="R75" i="1"/>
  <c r="J69" i="8"/>
  <c r="C69" i="8"/>
  <c r="E69" i="8" s="1"/>
  <c r="L68" i="8"/>
  <c r="I68" i="8"/>
  <c r="M69" i="8" s="1"/>
  <c r="L69" i="8"/>
  <c r="C68" i="8"/>
  <c r="E68" i="8" s="1"/>
  <c r="L67" i="8"/>
  <c r="I67" i="8"/>
  <c r="C67" i="8"/>
  <c r="C66" i="8"/>
  <c r="E66" i="8" s="1"/>
  <c r="I65" i="8"/>
  <c r="L65" i="8"/>
  <c r="L66" i="8"/>
  <c r="I64" i="8"/>
  <c r="M64" i="8" s="1"/>
  <c r="L64" i="8"/>
  <c r="C65" i="8"/>
  <c r="E65" i="8" s="1"/>
  <c r="C64" i="8"/>
  <c r="R92" i="1" l="1"/>
  <c r="H92" i="1"/>
  <c r="J87" i="8" s="1"/>
  <c r="R91" i="1"/>
  <c r="H91" i="1"/>
  <c r="J86" i="8" s="1"/>
  <c r="H90" i="1"/>
  <c r="J85" i="8" s="1"/>
  <c r="R90" i="1"/>
  <c r="D85" i="8"/>
  <c r="H89" i="1"/>
  <c r="J84" i="8" s="1"/>
  <c r="D84" i="8"/>
  <c r="R89" i="1"/>
  <c r="AB88" i="1"/>
  <c r="C83" i="8"/>
  <c r="C82" i="8"/>
  <c r="AB87" i="1"/>
  <c r="C81" i="8"/>
  <c r="AB86" i="1"/>
  <c r="AB85" i="1"/>
  <c r="C80" i="8"/>
  <c r="AB84" i="1"/>
  <c r="C79" i="8"/>
  <c r="C78" i="8"/>
  <c r="AB83" i="1"/>
  <c r="Q78" i="8" s="1"/>
  <c r="AB82" i="1"/>
  <c r="C77" i="8"/>
  <c r="E77" i="8" s="1"/>
  <c r="C76" i="8"/>
  <c r="AB81" i="1"/>
  <c r="C75" i="8"/>
  <c r="AB80" i="1"/>
  <c r="C74" i="8"/>
  <c r="AB79" i="1"/>
  <c r="C73" i="8"/>
  <c r="AB78" i="1"/>
  <c r="AB77" i="1"/>
  <c r="C72" i="8"/>
  <c r="C70" i="8"/>
  <c r="E70" i="8" s="1"/>
  <c r="AB75" i="1"/>
  <c r="Q70" i="8" s="1"/>
  <c r="AB76" i="1"/>
  <c r="C71" i="8"/>
  <c r="E71" i="8" s="1"/>
  <c r="L70" i="8"/>
  <c r="I70" i="8"/>
  <c r="J70" i="8"/>
  <c r="P69" i="8"/>
  <c r="M67" i="8"/>
  <c r="M68" i="8"/>
  <c r="E67" i="8"/>
  <c r="M65" i="8"/>
  <c r="M66" i="8"/>
  <c r="E64" i="8"/>
  <c r="AB92" i="1" l="1"/>
  <c r="C87" i="8"/>
  <c r="AB91" i="1"/>
  <c r="C86" i="8"/>
  <c r="AB90" i="1"/>
  <c r="C85" i="8"/>
  <c r="C84" i="8"/>
  <c r="AB89" i="1"/>
  <c r="E83" i="8"/>
  <c r="Q83" i="8"/>
  <c r="N83" i="8"/>
  <c r="O83" i="8" s="1"/>
  <c r="P83" i="8" s="1"/>
  <c r="E82" i="8"/>
  <c r="Q82" i="8"/>
  <c r="N82" i="8"/>
  <c r="O82" i="8" s="1"/>
  <c r="P82" i="8" s="1"/>
  <c r="N81" i="8"/>
  <c r="O81" i="8" s="1"/>
  <c r="P81" i="8" s="1"/>
  <c r="Q81" i="8"/>
  <c r="E81" i="8"/>
  <c r="E80" i="8"/>
  <c r="Q80" i="8"/>
  <c r="N80" i="8"/>
  <c r="O80" i="8" s="1"/>
  <c r="P80" i="8" s="1"/>
  <c r="E79" i="8"/>
  <c r="N79" i="8"/>
  <c r="O79" i="8" s="1"/>
  <c r="P79" i="8" s="1"/>
  <c r="Q79" i="8"/>
  <c r="N78" i="8"/>
  <c r="O78" i="8" s="1"/>
  <c r="P78" i="8" s="1"/>
  <c r="E78" i="8"/>
  <c r="Q77" i="8"/>
  <c r="N77" i="8"/>
  <c r="O77" i="8" s="1"/>
  <c r="P77" i="8" s="1"/>
  <c r="Q76" i="8"/>
  <c r="N76" i="8"/>
  <c r="O76" i="8" s="1"/>
  <c r="P76" i="8" s="1"/>
  <c r="E76" i="8"/>
  <c r="Q75" i="8"/>
  <c r="N75" i="8"/>
  <c r="O75" i="8" s="1"/>
  <c r="P75" i="8" s="1"/>
  <c r="E75" i="8"/>
  <c r="N74" i="8"/>
  <c r="O74" i="8" s="1"/>
  <c r="P74" i="8" s="1"/>
  <c r="Q74" i="8"/>
  <c r="E74" i="8"/>
  <c r="E73" i="8"/>
  <c r="Q73" i="8"/>
  <c r="N73" i="8"/>
  <c r="O73" i="8" s="1"/>
  <c r="P73" i="8" s="1"/>
  <c r="E72" i="8"/>
  <c r="Q72" i="8"/>
  <c r="N72" i="8"/>
  <c r="O72" i="8" s="1"/>
  <c r="P72" i="8" s="1"/>
  <c r="Q71" i="8"/>
  <c r="N71" i="8"/>
  <c r="O71" i="8" s="1"/>
  <c r="M70" i="8"/>
  <c r="P70" i="8" s="1"/>
  <c r="M71" i="8"/>
  <c r="E87" i="8" l="1"/>
  <c r="N87" i="8"/>
  <c r="O87" i="8" s="1"/>
  <c r="P87" i="8" s="1"/>
  <c r="Q87" i="8"/>
  <c r="E86" i="8"/>
  <c r="Q86" i="8"/>
  <c r="N86" i="8"/>
  <c r="O86" i="8" s="1"/>
  <c r="P86" i="8" s="1"/>
  <c r="E85" i="8"/>
  <c r="Q85" i="8"/>
  <c r="N85" i="8"/>
  <c r="O85" i="8" s="1"/>
  <c r="P85" i="8" s="1"/>
  <c r="N84" i="8"/>
  <c r="O84" i="8" s="1"/>
  <c r="P84" i="8" s="1"/>
  <c r="Q84" i="8"/>
  <c r="E84" i="8"/>
  <c r="P71" i="8"/>
</calcChain>
</file>

<file path=xl/sharedStrings.xml><?xml version="1.0" encoding="utf-8"?>
<sst xmlns="http://schemas.openxmlformats.org/spreadsheetml/2006/main" count="962" uniqueCount="141">
  <si>
    <t>日期</t>
  </si>
  <si>
    <t>代码</t>
  </si>
  <si>
    <t>简称</t>
  </si>
  <si>
    <t>累计投入金额</t>
  </si>
  <si>
    <t>持股数</t>
  </si>
  <si>
    <t>首日建仓</t>
  </si>
  <si>
    <t>002179.SZ</t>
  </si>
  <si>
    <t>中航光电</t>
  </si>
  <si>
    <t>收盘价(元)</t>
  </si>
  <si>
    <t>个股涨跌</t>
  </si>
  <si>
    <t>指数收盘</t>
  </si>
  <si>
    <t>指数涨跌</t>
  </si>
  <si>
    <t>相对指数涨幅</t>
    <phoneticPr fontId="4" type="noConversion"/>
  </si>
  <si>
    <t>昨收价或成本</t>
    <phoneticPr fontId="4" type="noConversion"/>
  </si>
  <si>
    <t>昨收指数或成本</t>
    <phoneticPr fontId="4" type="noConversion"/>
  </si>
  <si>
    <t>对应指数</t>
  </si>
  <si>
    <t>权重</t>
  </si>
  <si>
    <t>权重</t>
    <phoneticPr fontId="4" type="noConversion"/>
  </si>
  <si>
    <t>加仓即按新股来</t>
    <phoneticPr fontId="4" type="noConversion"/>
  </si>
  <si>
    <t>累计绝对涨幅</t>
    <phoneticPr fontId="4" type="noConversion"/>
  </si>
  <si>
    <t>累计指数涨幅</t>
    <phoneticPr fontId="4" type="noConversion"/>
  </si>
  <si>
    <t>累计相对收益率</t>
    <phoneticPr fontId="4" type="noConversion"/>
  </si>
  <si>
    <t>每日相对收益率</t>
    <phoneticPr fontId="4" type="noConversion"/>
  </si>
  <si>
    <t>每日收益</t>
    <phoneticPr fontId="4" type="noConversion"/>
  </si>
  <si>
    <t>相对市值</t>
    <phoneticPr fontId="4" type="noConversion"/>
  </si>
  <si>
    <t>建仓</t>
  </si>
  <si>
    <t>002339.SZ</t>
  </si>
  <si>
    <t>积成电子</t>
  </si>
  <si>
    <t>每日收益</t>
    <phoneticPr fontId="4" type="noConversion"/>
  </si>
  <si>
    <t>600759.SH</t>
  </si>
  <si>
    <t>洲际油气</t>
  </si>
  <si>
    <t>002055.SZ</t>
  </si>
  <si>
    <t>得润电子</t>
  </si>
  <si>
    <t>清仓（口头）</t>
  </si>
  <si>
    <t>300166.SZ</t>
  </si>
  <si>
    <t>东方国信</t>
  </si>
  <si>
    <t>减仓</t>
  </si>
  <si>
    <t>加仓（口头）</t>
  </si>
  <si>
    <t>成交日期</t>
  </si>
  <si>
    <t>证券代码</t>
  </si>
  <si>
    <t>证券名称</t>
  </si>
  <si>
    <t>成交价格</t>
  </si>
  <si>
    <t>发生数量</t>
  </si>
  <si>
    <t>成交数量</t>
  </si>
  <si>
    <t>成交金额</t>
  </si>
  <si>
    <t>中证500</t>
  </si>
  <si>
    <t>指数权重</t>
  </si>
  <si>
    <t>均价</t>
  </si>
  <si>
    <t>累计投入金额减少到</t>
  </si>
  <si>
    <t>3月21日卖出指数</t>
  </si>
  <si>
    <t>3月18日收盘</t>
  </si>
  <si>
    <t>3月21日建仓</t>
  </si>
  <si>
    <t>3月20日指数</t>
  </si>
  <si>
    <t>累计投入金额增加</t>
  </si>
  <si>
    <t>中航光电</t>
    <phoneticPr fontId="4" type="noConversion"/>
  </si>
  <si>
    <t>指数成本</t>
    <phoneticPr fontId="4" type="noConversion"/>
  </si>
  <si>
    <t>3月21日卖出</t>
    <phoneticPr fontId="4" type="noConversion"/>
  </si>
  <si>
    <t>卖后成本价</t>
    <phoneticPr fontId="4" type="noConversion"/>
  </si>
  <si>
    <t>加仓后成本</t>
    <phoneticPr fontId="4" type="noConversion"/>
  </si>
  <si>
    <t>累计相对收益额</t>
  </si>
  <si>
    <t>累计相对收益额</t>
    <phoneticPr fontId="4" type="noConversion"/>
  </si>
  <si>
    <t>累计绝对收益</t>
  </si>
  <si>
    <t>累计绝对收益</t>
    <phoneticPr fontId="4" type="noConversion"/>
  </si>
  <si>
    <t>累计绝对收益额</t>
    <phoneticPr fontId="4" type="noConversion"/>
  </si>
  <si>
    <t>相对市值</t>
  </si>
  <si>
    <t>昨收价或成本</t>
  </si>
  <si>
    <t>昨收指数或成本</t>
  </si>
  <si>
    <t>相对指数涨幅</t>
  </si>
  <si>
    <t>每日相对收益率</t>
  </si>
  <si>
    <t>每日收益</t>
  </si>
  <si>
    <t>累计绝对涨幅</t>
  </si>
  <si>
    <t>累计指数涨幅</t>
  </si>
  <si>
    <t>累计相对收益率</t>
  </si>
  <si>
    <t>老板电器</t>
  </si>
  <si>
    <t>老板电器</t>
    <phoneticPr fontId="4" type="noConversion"/>
  </si>
  <si>
    <t>002508.SZ</t>
  </si>
  <si>
    <t>加仓</t>
  </si>
  <si>
    <t>加仓(口头)</t>
  </si>
  <si>
    <t>累计绝对收益</t>
    <phoneticPr fontId="4" type="noConversion"/>
  </si>
  <si>
    <t>累计绝对收益额</t>
    <phoneticPr fontId="4" type="noConversion"/>
  </si>
  <si>
    <t>合计累计投入</t>
  </si>
  <si>
    <t>当日相对收益</t>
    <phoneticPr fontId="4" type="noConversion"/>
  </si>
  <si>
    <t>今日相对收益率</t>
    <phoneticPr fontId="4" type="noConversion"/>
  </si>
  <si>
    <t>计累计绝对收益</t>
    <phoneticPr fontId="4" type="noConversion"/>
  </si>
  <si>
    <t>累计绝对收益率</t>
    <phoneticPr fontId="4" type="noConversion"/>
  </si>
  <si>
    <t>今日相对市值</t>
    <phoneticPr fontId="4" type="noConversion"/>
  </si>
  <si>
    <t>昨日相对市值</t>
    <phoneticPr fontId="4" type="noConversion"/>
  </si>
  <si>
    <t>收盘相对市值</t>
    <phoneticPr fontId="4" type="noConversion"/>
  </si>
  <si>
    <t>收盘相对市值</t>
    <phoneticPr fontId="4" type="noConversion"/>
  </si>
  <si>
    <t>收盘相对市值</t>
    <phoneticPr fontId="4" type="noConversion"/>
  </si>
  <si>
    <t>加仓</t>
    <phoneticPr fontId="4" type="noConversion"/>
  </si>
  <si>
    <t>实际持仓市值</t>
    <phoneticPr fontId="4" type="noConversion"/>
  </si>
  <si>
    <t>今日绝对收益</t>
    <phoneticPr fontId="4" type="noConversion"/>
  </si>
  <si>
    <t>今日绝对收益率</t>
    <phoneticPr fontId="4" type="noConversion"/>
  </si>
  <si>
    <t>东方国信</t>
    <phoneticPr fontId="4" type="noConversion"/>
  </si>
  <si>
    <t>时间</t>
    <phoneticPr fontId="4" type="noConversion"/>
  </si>
  <si>
    <t>成交价</t>
    <phoneticPr fontId="4" type="noConversion"/>
  </si>
  <si>
    <t>股数</t>
    <phoneticPr fontId="4" type="noConversion"/>
  </si>
  <si>
    <t>金额</t>
    <phoneticPr fontId="4" type="noConversion"/>
  </si>
  <si>
    <t>口头</t>
    <phoneticPr fontId="4" type="noConversion"/>
  </si>
  <si>
    <t>减仓</t>
    <phoneticPr fontId="4" type="noConversion"/>
  </si>
  <si>
    <t>展示每日相对收益</t>
    <phoneticPr fontId="4" type="noConversion"/>
  </si>
  <si>
    <t>实际股价涨幅</t>
    <phoneticPr fontId="4" type="noConversion"/>
  </si>
  <si>
    <t>实际指数涨幅</t>
    <phoneticPr fontId="4" type="noConversion"/>
  </si>
  <si>
    <t>相对实际相对指数涨幅</t>
    <phoneticPr fontId="4" type="noConversion"/>
  </si>
  <si>
    <t>每日展示收益率</t>
  </si>
  <si>
    <t>每日展示收益率</t>
    <phoneticPr fontId="4" type="noConversion"/>
  </si>
  <si>
    <t>每日展示累计相对收益率</t>
  </si>
  <si>
    <t>每日展示累计相对收益率</t>
    <phoneticPr fontId="4" type="noConversion"/>
  </si>
  <si>
    <t>展示累计相对收益率</t>
    <phoneticPr fontId="4" type="noConversion"/>
  </si>
  <si>
    <t>累计收益额</t>
    <phoneticPr fontId="4" type="noConversion"/>
  </si>
  <si>
    <t>实际股价涨幅</t>
  </si>
  <si>
    <t>实际指数涨幅</t>
  </si>
  <si>
    <t>相对实际相对指数涨幅</t>
  </si>
  <si>
    <t>展示每日相对收益</t>
  </si>
  <si>
    <t>展示相对指数涨幅</t>
    <phoneticPr fontId="4" type="noConversion"/>
  </si>
  <si>
    <t>分红</t>
    <phoneticPr fontId="4" type="noConversion"/>
  </si>
  <si>
    <t>展示每日相对收益率</t>
    <phoneticPr fontId="4" type="noConversion"/>
  </si>
  <si>
    <t>分红</t>
    <phoneticPr fontId="4" type="noConversion"/>
  </si>
  <si>
    <t>除权后成本</t>
    <phoneticPr fontId="4" type="noConversion"/>
  </si>
  <si>
    <t>停牌</t>
    <phoneticPr fontId="4" type="noConversion"/>
  </si>
  <si>
    <t>卖出口头50万</t>
    <phoneticPr fontId="4" type="noConversion"/>
  </si>
  <si>
    <t>买卖标志</t>
  </si>
  <si>
    <t>卖出时沪深300</t>
  </si>
  <si>
    <t>卖出</t>
  </si>
  <si>
    <t>绝对：8.52%</t>
    <phoneticPr fontId="4" type="noConversion"/>
  </si>
  <si>
    <t>相对：9.76978%</t>
    <phoneticPr fontId="4" type="noConversion"/>
  </si>
  <si>
    <t>首日建仓</t>
    <phoneticPr fontId="4" type="noConversion"/>
  </si>
  <si>
    <t>买入时沪深300</t>
  </si>
  <si>
    <t>买入</t>
  </si>
  <si>
    <t>网宿科技</t>
    <phoneticPr fontId="4" type="noConversion"/>
  </si>
  <si>
    <t>展示相对指数涨幅</t>
    <phoneticPr fontId="4" type="noConversion"/>
  </si>
  <si>
    <t>展示每日收益率</t>
    <phoneticPr fontId="4" type="noConversion"/>
  </si>
  <si>
    <t>展示每日相对收益</t>
    <phoneticPr fontId="4" type="noConversion"/>
  </si>
  <si>
    <t>网宿科技</t>
    <phoneticPr fontId="4" type="noConversion"/>
  </si>
  <si>
    <t>老板电器</t>
    <phoneticPr fontId="4" type="noConversion"/>
  </si>
  <si>
    <t>买入</t>
    <phoneticPr fontId="4" type="noConversion"/>
  </si>
  <si>
    <t>买入时沪深300</t>
    <phoneticPr fontId="4" type="noConversion"/>
  </si>
  <si>
    <t>10点钟</t>
    <phoneticPr fontId="4" type="noConversion"/>
  </si>
  <si>
    <t>加仓50万</t>
    <phoneticPr fontId="4" type="noConversion"/>
  </si>
  <si>
    <t>停牌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</si>
</sst>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0.00_ "/>
    <numFmt numFmtId="178" formatCode="0_);[Red]\(0\)"/>
    <numFmt numFmtId="179" formatCode="0.00_ ;[Red]\-0.00\ "/>
    <numFmt numFmtId="180" formatCode="0.00_);[Red]\(0.00\)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23" fillId="0" borderId="0"/>
  </cellStyleXfs>
  <cellXfs count="217"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 applyBorder="1" applyAlignment="1">
      <alignment vertical="top"/>
    </xf>
    <xf numFmtId="178" fontId="0" fillId="0" borderId="0" xfId="0" applyNumberFormat="1" applyBorder="1" applyAlignment="1">
      <alignment vertical="top"/>
    </xf>
    <xf numFmtId="0" fontId="0" fillId="0" borderId="0" xfId="0" applyBorder="1"/>
    <xf numFmtId="176" fontId="0" fillId="0" borderId="0" xfId="0" applyNumberFormat="1" applyBorder="1" applyAlignment="1">
      <alignment vertical="top"/>
    </xf>
    <xf numFmtId="178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0" fontId="0" fillId="0" borderId="0" xfId="1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10" fontId="0" fillId="0" borderId="0" xfId="1" applyNumberFormat="1" applyFont="1" applyBorder="1" applyAlignment="1">
      <alignment vertical="top"/>
    </xf>
    <xf numFmtId="10" fontId="0" fillId="0" borderId="0" xfId="1" applyNumberFormat="1" applyFont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/>
    <xf numFmtId="10" fontId="0" fillId="0" borderId="0" xfId="1" applyNumberFormat="1" applyFont="1" applyBorder="1" applyAlignment="1"/>
    <xf numFmtId="10" fontId="0" fillId="0" borderId="0" xfId="1" applyNumberFormat="1" applyFont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2" borderId="0" xfId="0" applyFill="1" applyBorder="1"/>
    <xf numFmtId="0" fontId="0" fillId="0" borderId="0" xfId="1" applyNumberFormat="1" applyFont="1" applyAlignment="1"/>
    <xf numFmtId="0" fontId="0" fillId="0" borderId="0" xfId="1" applyNumberFormat="1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7" fontId="5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2" borderId="0" xfId="0" applyFill="1" applyBorder="1" applyAlignment="1">
      <alignment vertical="top"/>
    </xf>
    <xf numFmtId="178" fontId="0" fillId="2" borderId="0" xfId="0" applyNumberFormat="1" applyFill="1" applyBorder="1" applyAlignment="1">
      <alignment vertical="top"/>
    </xf>
    <xf numFmtId="176" fontId="0" fillId="2" borderId="0" xfId="0" applyNumberFormat="1" applyFill="1" applyBorder="1" applyAlignment="1">
      <alignment vertical="top"/>
    </xf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0" xfId="1" applyNumberFormat="1" applyFont="1" applyFill="1" applyBorder="1" applyAlignment="1">
      <alignment vertical="top"/>
    </xf>
    <xf numFmtId="10" fontId="0" fillId="2" borderId="0" xfId="0" applyNumberFormat="1" applyFill="1"/>
    <xf numFmtId="10" fontId="0" fillId="0" borderId="0" xfId="0" applyNumberFormat="1" applyFill="1"/>
    <xf numFmtId="10" fontId="0" fillId="0" borderId="0" xfId="1" applyNumberFormat="1" applyFont="1" applyFill="1" applyAlignment="1"/>
    <xf numFmtId="177" fontId="0" fillId="0" borderId="0" xfId="0" applyNumberFormat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179" fontId="0" fillId="0" borderId="0" xfId="0" applyNumberFormat="1" applyBorder="1" applyAlignment="1">
      <alignment vertical="top"/>
    </xf>
    <xf numFmtId="177" fontId="0" fillId="2" borderId="0" xfId="0" applyNumberFormat="1" applyFill="1"/>
    <xf numFmtId="0" fontId="0" fillId="0" borderId="0" xfId="0"/>
    <xf numFmtId="177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10" fontId="0" fillId="0" borderId="0" xfId="1" applyNumberFormat="1" applyFont="1" applyAlignment="1"/>
    <xf numFmtId="0" fontId="0" fillId="0" borderId="0" xfId="0"/>
    <xf numFmtId="10" fontId="0" fillId="0" borderId="0" xfId="1" applyNumberFormat="1" applyFont="1" applyAlignment="1"/>
    <xf numFmtId="0" fontId="0" fillId="0" borderId="0" xfId="0" applyBorder="1"/>
    <xf numFmtId="0" fontId="0" fillId="0" borderId="0" xfId="0"/>
    <xf numFmtId="177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Alignment="1"/>
    <xf numFmtId="10" fontId="0" fillId="0" borderId="0" xfId="1" applyNumberFormat="1" applyFont="1" applyBorder="1" applyAlignment="1">
      <alignment wrapText="1"/>
    </xf>
    <xf numFmtId="10" fontId="0" fillId="0" borderId="0" xfId="1" applyNumberFormat="1" applyFont="1" applyAlignment="1"/>
    <xf numFmtId="0" fontId="0" fillId="0" borderId="0" xfId="0"/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58" fontId="0" fillId="0" borderId="0" xfId="0" applyNumberFormat="1"/>
    <xf numFmtId="0" fontId="0" fillId="0" borderId="0" xfId="0" applyFont="1" applyFill="1" applyBorder="1" applyAlignment="1">
      <alignment vertical="center"/>
    </xf>
    <xf numFmtId="0" fontId="0" fillId="0" borderId="0" xfId="0"/>
    <xf numFmtId="58" fontId="0" fillId="0" borderId="0" xfId="0" applyNumberFormat="1"/>
    <xf numFmtId="0" fontId="0" fillId="0" borderId="0" xfId="0" applyAlignment="1">
      <alignment vertical="center"/>
    </xf>
    <xf numFmtId="58" fontId="0" fillId="0" borderId="0" xfId="0" applyNumberFormat="1" applyAlignment="1">
      <alignment vertical="center"/>
    </xf>
    <xf numFmtId="10" fontId="0" fillId="0" borderId="0" xfId="1" applyNumberFormat="1" applyFont="1" applyAlignment="1"/>
    <xf numFmtId="10" fontId="0" fillId="0" borderId="0" xfId="1" applyNumberFormat="1" applyFont="1" applyAlignment="1"/>
    <xf numFmtId="0" fontId="0" fillId="0" borderId="0" xfId="0"/>
    <xf numFmtId="177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 applyAlignment="1">
      <alignment vertical="top"/>
    </xf>
    <xf numFmtId="1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 applyAlignment="1">
      <alignment vertical="top"/>
    </xf>
    <xf numFmtId="10" fontId="0" fillId="0" borderId="0" xfId="1" applyNumberFormat="1" applyFont="1" applyBorder="1" applyAlignment="1">
      <alignment wrapText="1"/>
    </xf>
    <xf numFmtId="18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10" fontId="0" fillId="0" borderId="0" xfId="1" applyNumberFormat="1" applyFont="1" applyFill="1" applyAlignment="1">
      <alignment wrapText="1"/>
    </xf>
    <xf numFmtId="10" fontId="0" fillId="0" borderId="0" xfId="1" applyNumberFormat="1" applyFont="1" applyAlignment="1">
      <alignment wrapText="1"/>
    </xf>
    <xf numFmtId="0" fontId="0" fillId="0" borderId="0" xfId="0"/>
    <xf numFmtId="177" fontId="0" fillId="0" borderId="0" xfId="0" applyNumberFormat="1"/>
    <xf numFmtId="10" fontId="0" fillId="0" borderId="0" xfId="1" applyNumberFormat="1" applyFont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/>
    <xf numFmtId="177" fontId="0" fillId="0" borderId="0" xfId="0" applyNumberFormat="1"/>
    <xf numFmtId="1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/>
    <xf numFmtId="177" fontId="0" fillId="0" borderId="0" xfId="0" applyNumberFormat="1"/>
    <xf numFmtId="1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/>
    <xf numFmtId="10" fontId="0" fillId="0" borderId="0" xfId="1" applyNumberFormat="1" applyFont="1" applyAlignment="1"/>
    <xf numFmtId="176" fontId="0" fillId="0" borderId="0" xfId="0" applyNumberFormat="1" applyBorder="1" applyAlignment="1">
      <alignment vertical="top"/>
    </xf>
    <xf numFmtId="0" fontId="0" fillId="0" borderId="0" xfId="0"/>
    <xf numFmtId="177" fontId="0" fillId="0" borderId="0" xfId="0" applyNumberFormat="1"/>
    <xf numFmtId="1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  <xf numFmtId="176" fontId="0" fillId="0" borderId="0" xfId="0" applyNumberFormat="1" applyBorder="1" applyAlignment="1"/>
    <xf numFmtId="0" fontId="0" fillId="0" borderId="0" xfId="0"/>
    <xf numFmtId="177" fontId="0" fillId="0" borderId="0" xfId="0" applyNumberFormat="1"/>
    <xf numFmtId="0" fontId="0" fillId="0" borderId="0" xfId="0" applyBorder="1"/>
    <xf numFmtId="176" fontId="0" fillId="0" borderId="0" xfId="0" applyNumberFormat="1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77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58" fontId="0" fillId="0" borderId="0" xfId="0" applyNumberFormat="1"/>
    <xf numFmtId="10" fontId="0" fillId="0" borderId="0" xfId="1" applyNumberFormat="1" applyFont="1" applyAlignment="1"/>
    <xf numFmtId="178" fontId="0" fillId="0" borderId="0" xfId="0" applyNumberFormat="1" applyBorder="1" applyAlignment="1">
      <alignment vertical="top"/>
    </xf>
    <xf numFmtId="0" fontId="0" fillId="0" borderId="0" xfId="0" applyBorder="1"/>
    <xf numFmtId="10" fontId="0" fillId="0" borderId="0" xfId="1" applyNumberFormat="1" applyFont="1" applyBorder="1" applyAlignment="1"/>
    <xf numFmtId="176" fontId="0" fillId="0" borderId="0" xfId="0" applyNumberFormat="1" applyBorder="1" applyAlignment="1">
      <alignment vertical="top"/>
    </xf>
    <xf numFmtId="10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2" applyFill="1" applyBorder="1" applyAlignment="1">
      <alignment vertical="top"/>
    </xf>
    <xf numFmtId="0" fontId="0" fillId="0" borderId="0" xfId="0"/>
    <xf numFmtId="0" fontId="0" fillId="0" borderId="0" xfId="0"/>
    <xf numFmtId="10" fontId="0" fillId="2" borderId="0" xfId="1" applyNumberFormat="1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Border="1"/>
    <xf numFmtId="10" fontId="0" fillId="0" borderId="0" xfId="0" applyNumberFormat="1" applyBorder="1"/>
    <xf numFmtId="0" fontId="2" fillId="0" borderId="0" xfId="2" applyBorder="1" applyAlignment="1">
      <alignment vertical="top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1" applyNumberFormat="1" applyFont="1" applyFill="1" applyBorder="1" applyAlignment="1">
      <alignment wrapText="1"/>
    </xf>
    <xf numFmtId="10" fontId="0" fillId="0" borderId="0" xfId="1" applyNumberFormat="1" applyFont="1" applyFill="1" applyBorder="1" applyAlignment="1">
      <alignment vertical="top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0" fontId="23" fillId="0" borderId="0" xfId="46" applyAlignment="1">
      <alignment vertical="center"/>
    </xf>
    <xf numFmtId="0" fontId="23" fillId="0" borderId="0" xfId="46"/>
    <xf numFmtId="0" fontId="23" fillId="0" borderId="0" xfId="46" applyAlignment="1">
      <alignment vertical="center"/>
    </xf>
    <xf numFmtId="0" fontId="23" fillId="0" borderId="0" xfId="46" applyAlignment="1">
      <alignment vertical="center"/>
    </xf>
    <xf numFmtId="0" fontId="23" fillId="0" borderId="0" xfId="46"/>
    <xf numFmtId="0" fontId="23" fillId="0" borderId="0" xfId="46"/>
    <xf numFmtId="0" fontId="23" fillId="0" borderId="0" xfId="46"/>
    <xf numFmtId="10" fontId="0" fillId="2" borderId="0" xfId="1" applyNumberFormat="1" applyFont="1" applyFill="1" applyAlignment="1"/>
    <xf numFmtId="180" fontId="0" fillId="0" borderId="0" xfId="0" applyNumberFormat="1" applyFill="1" applyAlignment="1">
      <alignment wrapText="1"/>
    </xf>
    <xf numFmtId="180" fontId="0" fillId="0" borderId="0" xfId="0" applyNumberFormat="1"/>
    <xf numFmtId="10" fontId="0" fillId="2" borderId="0" xfId="1" applyNumberFormat="1" applyFont="1" applyFill="1" applyBorder="1" applyAlignment="1"/>
    <xf numFmtId="0" fontId="0" fillId="0" borderId="0" xfId="0" applyFill="1" applyBorder="1" applyAlignment="1">
      <alignment vertical="top"/>
    </xf>
    <xf numFmtId="178" fontId="0" fillId="0" borderId="0" xfId="0" applyNumberFormat="1" applyFill="1" applyBorder="1"/>
    <xf numFmtId="177" fontId="0" fillId="0" borderId="0" xfId="0" applyNumberFormat="1" applyFill="1"/>
    <xf numFmtId="0" fontId="0" fillId="0" borderId="0" xfId="1" applyNumberFormat="1" applyFont="1" applyFill="1" applyBorder="1" applyAlignment="1">
      <alignment vertical="top"/>
    </xf>
    <xf numFmtId="178" fontId="0" fillId="0" borderId="0" xfId="0" applyNumberFormat="1" applyFill="1" applyBorder="1" applyAlignment="1">
      <alignment vertical="top"/>
    </xf>
    <xf numFmtId="179" fontId="0" fillId="0" borderId="0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1" applyNumberFormat="1" applyFont="1" applyFill="1" applyAlignment="1"/>
    <xf numFmtId="0" fontId="0" fillId="0" borderId="0" xfId="0" applyNumberFormat="1" applyFill="1"/>
    <xf numFmtId="176" fontId="0" fillId="0" borderId="0" xfId="0" applyNumberFormat="1" applyFill="1" applyBorder="1" applyAlignment="1">
      <alignment vertical="top"/>
    </xf>
    <xf numFmtId="20" fontId="0" fillId="0" borderId="0" xfId="0" applyNumberFormat="1"/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</cellXfs>
  <cellStyles count="47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百分比" xfId="1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常规 2 2" xfId="43"/>
    <cellStyle name="常规 3" xfId="44"/>
    <cellStyle name="常规 4" xfId="46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workbookViewId="0">
      <pane ySplit="1" topLeftCell="A86" activePane="bottomLeft" state="frozen"/>
      <selection pane="bottomLeft" activeCell="P88" sqref="P88"/>
    </sheetView>
  </sheetViews>
  <sheetFormatPr defaultRowHeight="13.5" x14ac:dyDescent="0.15"/>
  <cols>
    <col min="1" max="1" width="14.125" customWidth="1"/>
    <col min="2" max="2" width="9.5" bestFit="1" customWidth="1"/>
    <col min="3" max="3" width="9" style="38"/>
    <col min="4" max="4" width="9.5" bestFit="1" customWidth="1"/>
    <col min="5" max="5" width="9" style="168"/>
    <col min="6" max="6" width="9" style="38"/>
    <col min="8" max="9" width="9" style="168"/>
    <col min="10" max="11" width="9.5" bestFit="1" customWidth="1"/>
    <col min="14" max="14" width="12.75" style="202" bestFit="1" customWidth="1"/>
    <col min="15" max="15" width="9" style="180"/>
    <col min="16" max="16" width="37.125" customWidth="1"/>
    <col min="17" max="17" width="27.125" customWidth="1"/>
    <col min="18" max="18" width="26" customWidth="1"/>
    <col min="19" max="19" width="28.75" customWidth="1"/>
    <col min="20" max="20" width="24" customWidth="1"/>
    <col min="21" max="22" width="22.625" customWidth="1"/>
  </cols>
  <sheetData>
    <row r="1" spans="1:24" s="102" customFormat="1" ht="40.5" x14ac:dyDescent="0.15">
      <c r="A1" s="103" t="s">
        <v>0</v>
      </c>
      <c r="B1" s="104" t="s">
        <v>80</v>
      </c>
      <c r="C1" s="182" t="s">
        <v>81</v>
      </c>
      <c r="D1" s="104" t="s">
        <v>86</v>
      </c>
      <c r="E1" s="105" t="s">
        <v>82</v>
      </c>
      <c r="F1" s="181" t="s">
        <v>60</v>
      </c>
      <c r="G1" s="104" t="s">
        <v>83</v>
      </c>
      <c r="H1" s="105" t="s">
        <v>21</v>
      </c>
      <c r="I1" s="105" t="s">
        <v>84</v>
      </c>
      <c r="J1" s="105" t="s">
        <v>85</v>
      </c>
      <c r="K1" s="104" t="s">
        <v>91</v>
      </c>
      <c r="L1" s="104" t="s">
        <v>92</v>
      </c>
      <c r="M1" s="104" t="s">
        <v>93</v>
      </c>
      <c r="N1" s="201" t="s">
        <v>101</v>
      </c>
      <c r="O1" s="104" t="s">
        <v>117</v>
      </c>
      <c r="P1" s="104"/>
      <c r="Q1" s="104"/>
      <c r="R1" s="104"/>
      <c r="S1" s="104"/>
      <c r="T1" s="104"/>
      <c r="U1" s="104"/>
      <c r="V1" s="104"/>
      <c r="W1" s="104"/>
      <c r="X1" s="104"/>
    </row>
    <row r="2" spans="1:24" x14ac:dyDescent="0.15">
      <c r="A2" s="35">
        <v>42424</v>
      </c>
      <c r="B2">
        <f>中航光电!E7+东方国信!E7+积成电子!E7+洲际油气!E7+老板电器!E7+德润电子!E7</f>
        <v>1058400</v>
      </c>
      <c r="C2" s="38">
        <f>中航光电!R7+东方国信!R7+积成电子!R7+洲际油气!R7+老板电器!R7+德润电子!R7</f>
        <v>-37674.999369240002</v>
      </c>
      <c r="D2">
        <f>中航光电!G7+东方国信!G7+积成电子!G7+洲际油气!G7+老板电器!G7+德润电子!G7</f>
        <v>1058400</v>
      </c>
      <c r="E2" s="168">
        <f>C2/D2</f>
        <v>-3.5596182321655331E-2</v>
      </c>
      <c r="F2" s="38">
        <f>中航光电!V7+东方国信!V7+积成电子!V7+洲际油气!V7+老板电器!V7+德润电子!V7</f>
        <v>-37674.999369240002</v>
      </c>
      <c r="G2">
        <f>中航光电!W7+东方国信!W7+积成电子!W7+洲际油气!W7+老板电器!W7+德润电子!W7</f>
        <v>-1476.0000000000675</v>
      </c>
      <c r="H2" s="168">
        <f>F2/B2</f>
        <v>-3.5596182321655331E-2</v>
      </c>
      <c r="I2" s="168">
        <f>G2/B2</f>
        <v>-1.3945578231293154E-3</v>
      </c>
      <c r="J2">
        <f>中航光电!H7+东方国信!H7+积成电子!H7+洲际油气!H7+老板电器!H7+德润电子!H7</f>
        <v>1020725.00063076</v>
      </c>
      <c r="K2">
        <f>中航光电!F7+东方国信!F7+积成电子!F7+洲际油气!F7+老板电器!F7+德润电子!F7</f>
        <v>1056924</v>
      </c>
      <c r="L2">
        <v>-1476</v>
      </c>
      <c r="M2" s="1">
        <v>-1.4E-3</v>
      </c>
      <c r="N2" s="158">
        <f>F2</f>
        <v>-37674.999369240002</v>
      </c>
      <c r="O2" s="1">
        <f>N2/B2</f>
        <v>-3.5596182321655331E-2</v>
      </c>
    </row>
    <row r="3" spans="1:24" x14ac:dyDescent="0.15">
      <c r="A3" s="101">
        <v>42425</v>
      </c>
      <c r="B3" s="164">
        <f>中航光电!E8+东方国信!E8+积成电子!E8+洲际油气!E8+老板电器!E8+德润电子!E8</f>
        <v>1058400</v>
      </c>
      <c r="C3" s="38">
        <f>中航光电!R8+东方国信!R8+积成电子!R8+洲际油气!R8+老板电器!R8+德润电子!R8</f>
        <v>-20882.705250566942</v>
      </c>
      <c r="D3" s="164">
        <f>中航光电!G8+东方国信!G8+积成电子!G8+洲际油气!G8+老板电器!G8+德润电子!G8</f>
        <v>1020725.00063076</v>
      </c>
      <c r="E3" s="168">
        <f t="shared" ref="E3:E62" si="0">C3/D3</f>
        <v>-2.0458698706960654E-2</v>
      </c>
      <c r="F3" s="38">
        <f>中航光电!V8+东方国信!V8+积成电子!V8+洲际油气!V8+老板电器!V8+德润电子!V8</f>
        <v>-56308.286251513971</v>
      </c>
      <c r="G3" s="164">
        <f>中航光电!W8+东方国信!W8+积成电子!W8+洲际油气!W8+老板电器!W8+德润电子!W8</f>
        <v>-103171.92041522925</v>
      </c>
      <c r="H3" s="168">
        <f t="shared" ref="H3:H62" si="1">F3/B3</f>
        <v>-5.3201328657893017E-2</v>
      </c>
      <c r="I3" s="168">
        <f t="shared" ref="I3:I62" si="2">G3/B3</f>
        <v>-9.7479138714313351E-2</v>
      </c>
      <c r="J3" s="164">
        <f>中航光电!H8+东方国信!H8+积成电子!H8+洲际油气!H8+老板电器!H8+德润电子!H8</f>
        <v>999842.29538019304</v>
      </c>
      <c r="K3" s="180">
        <f>中航光电!F8+东方国信!F8+积成电子!F8+洲际油气!F8+老板电器!F8+德润电子!F8</f>
        <v>951420</v>
      </c>
      <c r="L3">
        <f>G3-G2</f>
        <v>-101695.92041522918</v>
      </c>
      <c r="M3" s="1">
        <f>I3-I2</f>
        <v>-9.6084580891184032E-2</v>
      </c>
      <c r="N3" s="158">
        <f>F3-F2</f>
        <v>-18633.286882273969</v>
      </c>
      <c r="O3" s="1">
        <f t="shared" ref="O3:O66" si="3">N3/B3</f>
        <v>-1.7605146336237689E-2</v>
      </c>
    </row>
    <row r="4" spans="1:24" x14ac:dyDescent="0.15">
      <c r="A4" s="101">
        <v>42426</v>
      </c>
      <c r="B4" s="164">
        <f>中航光电!E9+东方国信!E9+积成电子!E9+洲际油气!E9+老板电器!E9+德润电子!E9</f>
        <v>1058400</v>
      </c>
      <c r="C4" s="38">
        <f>中航光电!R9+东方国信!R9+积成电子!R9+洲际油气!R9+老板电器!R9+德润电子!R9</f>
        <v>25631.06608019815</v>
      </c>
      <c r="D4" s="164">
        <f>中航光电!G9+东方国信!G9+积成电子!G9+洲际油气!G9+老板电器!G9+德润电子!G9</f>
        <v>999842.29538019304</v>
      </c>
      <c r="E4" s="168">
        <f t="shared" si="0"/>
        <v>2.5635108855293885E-2</v>
      </c>
      <c r="F4" s="38">
        <f>中航光电!V9+东方国信!V9+积成电子!V9+洲际油气!V9+老板电器!V9+德润电子!V9</f>
        <v>-32147.585290903018</v>
      </c>
      <c r="G4" s="164">
        <f>中航光电!W9+东方国信!W9+积成电子!W9+洲际油气!W9+老板电器!W9+德润电子!W9</f>
        <v>-74364.687728957651</v>
      </c>
      <c r="H4" s="168">
        <f t="shared" si="1"/>
        <v>-3.0373757833430666E-2</v>
      </c>
      <c r="I4" s="168">
        <f t="shared" si="2"/>
        <v>-7.0261420756762713E-2</v>
      </c>
      <c r="J4" s="164">
        <f>中航光电!H9+东方国信!H9+积成电子!H9+洲际油气!H9+老板电器!H9+德润电子!H9</f>
        <v>1025473.3614603913</v>
      </c>
      <c r="K4" s="180">
        <f>中航光电!F9+东方国信!F9+积成电子!F9+洲际油气!F9+老板电器!F9+德润电子!F9</f>
        <v>979680</v>
      </c>
      <c r="L4" s="180">
        <f t="shared" ref="L4:L66" si="4">G4-G3</f>
        <v>28807.2326862716</v>
      </c>
      <c r="M4" s="1">
        <f t="shared" ref="M4:M66" si="5">I4-I3</f>
        <v>2.7217717957550638E-2</v>
      </c>
      <c r="N4" s="158">
        <f t="shared" ref="N4:N67" si="6">F4-F3</f>
        <v>24160.700960610953</v>
      </c>
      <c r="O4" s="1">
        <f t="shared" si="3"/>
        <v>2.2827570824462351E-2</v>
      </c>
    </row>
    <row r="5" spans="1:24" x14ac:dyDescent="0.15">
      <c r="A5" s="101">
        <v>42429</v>
      </c>
      <c r="B5" s="164">
        <f>中航光电!E10+东方国信!E10+积成电子!E10+洲际油气!E10+老板电器!E10+德润电子!E10</f>
        <v>1058400</v>
      </c>
      <c r="C5" s="38">
        <f>中航光电!R10+东方国信!R10+积成电子!R10+洲际油气!R10+老板电器!R10+德润电子!R10</f>
        <v>31181.159804690957</v>
      </c>
      <c r="D5" s="164">
        <f>中航光电!G10+东方国信!G10+积成电子!G10+洲际油气!G10+老板电器!G10+德润电子!G10</f>
        <v>1025473.3614603913</v>
      </c>
      <c r="E5" s="168">
        <f t="shared" si="0"/>
        <v>3.0406601455044546E-2</v>
      </c>
      <c r="F5" s="38">
        <f>中航光电!V10+东方国信!V10+积成电子!V10+洲际油气!V10+老板电器!V10+德润电子!V10</f>
        <v>-660.08723734397893</v>
      </c>
      <c r="G5" s="164">
        <f>中航光电!W10+东方国信!W10+积成电子!W10+洲际油气!W10+老板电器!W10+德润电子!W10</f>
        <v>-97567.240645371669</v>
      </c>
      <c r="H5" s="168">
        <f t="shared" si="1"/>
        <v>-6.2366519023429601E-4</v>
      </c>
      <c r="I5" s="168">
        <f t="shared" si="2"/>
        <v>-9.2183711872044286E-2</v>
      </c>
      <c r="J5" s="164">
        <f>中航光电!H10+东方国信!H10+积成电子!H10+洲际油气!H10+老板电器!H10+德润电子!H10</f>
        <v>1056654.5212650823</v>
      </c>
      <c r="K5" s="180">
        <f>中航光电!F10+东方国信!F10+积成电子!F10+洲际油气!F10+老板电器!F10+德润电子!F10</f>
        <v>957700</v>
      </c>
      <c r="L5" s="180">
        <f t="shared" si="4"/>
        <v>-23202.552916414017</v>
      </c>
      <c r="M5" s="1">
        <f t="shared" si="5"/>
        <v>-2.1922291115281572E-2</v>
      </c>
      <c r="N5" s="158">
        <f t="shared" si="6"/>
        <v>31487.49805355904</v>
      </c>
      <c r="O5" s="1">
        <f t="shared" si="3"/>
        <v>2.9750092643196373E-2</v>
      </c>
    </row>
    <row r="6" spans="1:24" x14ac:dyDescent="0.15">
      <c r="A6" s="101">
        <v>42430</v>
      </c>
      <c r="B6" s="164">
        <f>中航光电!E11+东方国信!E11+积成电子!E11+洲际油气!E11+老板电器!E11+德润电子!E11</f>
        <v>1058400</v>
      </c>
      <c r="C6" s="38">
        <f>中航光电!R11+东方国信!R11+积成电子!R11+洲际油气!R11+老板电器!R11+德润电子!R11</f>
        <v>5116.84539025501</v>
      </c>
      <c r="D6" s="164">
        <f>中航光电!G11+东方国信!G11+积成电子!G11+洲际油气!G11+老板电器!G11+德润电子!G11</f>
        <v>1056654.5212650823</v>
      </c>
      <c r="E6" s="168">
        <f t="shared" si="0"/>
        <v>4.8424960924114101E-3</v>
      </c>
      <c r="F6" s="38">
        <f>中航光电!V11+东方国信!V11+积成电子!V11+洲际油气!V11+老板电器!V11+德润电子!V11</f>
        <v>3962.371866398295</v>
      </c>
      <c r="G6" s="164">
        <f>中航光电!W11+东方国信!W11+积成电子!W11+洲际油气!W11+老板电器!W11+德润电子!W11</f>
        <v>-73887.945123609839</v>
      </c>
      <c r="H6" s="168">
        <f t="shared" si="1"/>
        <v>3.7437375910792658E-3</v>
      </c>
      <c r="I6" s="168">
        <f t="shared" si="2"/>
        <v>-6.9810983676880045E-2</v>
      </c>
      <c r="J6" s="164">
        <f>中航光电!H11+东方国信!H11+积成电子!H11+洲际油气!H11+老板电器!H11+德润电子!H11</f>
        <v>1061771.3666553374</v>
      </c>
      <c r="K6" s="180">
        <f>中航光电!F11+东方国信!F11+积成电子!F11+洲际油气!F11+老板电器!F11+德润电子!F11</f>
        <v>984390</v>
      </c>
      <c r="L6" s="180">
        <f t="shared" si="4"/>
        <v>23679.295521761829</v>
      </c>
      <c r="M6" s="1">
        <f t="shared" si="5"/>
        <v>2.237272819516424E-2</v>
      </c>
      <c r="N6" s="158">
        <f t="shared" si="6"/>
        <v>4622.4591037422742</v>
      </c>
      <c r="O6" s="1">
        <f t="shared" si="3"/>
        <v>4.3674027813135619E-3</v>
      </c>
    </row>
    <row r="7" spans="1:24" x14ac:dyDescent="0.15">
      <c r="A7" s="101">
        <v>42431</v>
      </c>
      <c r="B7" s="164">
        <f>中航光电!E12+东方国信!E12+积成电子!E12+洲际油气!E12+老板电器!E12+德润电子!E12</f>
        <v>1058400</v>
      </c>
      <c r="C7" s="38">
        <f>中航光电!R12+东方国信!R12+积成电子!R12+洲际油气!R12+老板电器!R12+德润电子!R12</f>
        <v>-1046.4704772186997</v>
      </c>
      <c r="D7" s="164">
        <f>中航光电!G12+东方国信!G12+积成电子!G12+洲际油气!G12+老板电器!G12+德润电子!G12</f>
        <v>1061771.3666553374</v>
      </c>
      <c r="E7" s="168">
        <f t="shared" si="0"/>
        <v>-9.8558928040710231E-4</v>
      </c>
      <c r="F7" s="38">
        <f>中航光电!V12+东方国信!V12+积成电子!V12+洲际油气!V12+老板电器!V12+德润电子!V12</f>
        <v>3194.5074778325147</v>
      </c>
      <c r="G7" s="164">
        <f>中航光电!W12+东方国信!W12+积成电子!W12+洲际油气!W12+老板电器!W12+德润电子!W12</f>
        <v>-24790.716187440099</v>
      </c>
      <c r="H7" s="168">
        <f t="shared" si="1"/>
        <v>3.0182421370299646E-3</v>
      </c>
      <c r="I7" s="168">
        <f t="shared" si="2"/>
        <v>-2.3422823306349299E-2</v>
      </c>
      <c r="J7" s="164">
        <f>中航光电!H12+东方国信!H12+积成电子!H12+洲际油气!H12+老板电器!H12+德润电子!H12</f>
        <v>1060724.8961781187</v>
      </c>
      <c r="K7" s="180">
        <f>中航光电!F12+东方国信!F12+积成电子!F12+洲际油气!F12+老板电器!F12+德润电子!F12</f>
        <v>1033688</v>
      </c>
      <c r="L7" s="180">
        <f t="shared" si="4"/>
        <v>49097.22893616974</v>
      </c>
      <c r="M7" s="1">
        <f t="shared" si="5"/>
        <v>4.6388160370530743E-2</v>
      </c>
      <c r="N7" s="158">
        <f t="shared" si="6"/>
        <v>-767.86438856578025</v>
      </c>
      <c r="O7" s="1">
        <f t="shared" si="3"/>
        <v>-7.2549545404930102E-4</v>
      </c>
    </row>
    <row r="8" spans="1:24" x14ac:dyDescent="0.15">
      <c r="A8" s="101">
        <v>42432</v>
      </c>
      <c r="B8" s="164">
        <f>中航光电!E13+东方国信!E13+积成电子!E13+洲际油气!E13+老板电器!E13+德润电子!E13</f>
        <v>1058400</v>
      </c>
      <c r="C8" s="38">
        <f>中航光电!R13+东方国信!R13+积成电子!R13+洲际油气!R13+老板电器!R13+德润电子!R13</f>
        <v>-18570.791132657418</v>
      </c>
      <c r="D8" s="164">
        <f>中航光电!G13+东方国信!G13+积成电子!G13+洲际油气!G13+老板电器!G13+德润电子!G13</f>
        <v>1060724.8961781187</v>
      </c>
      <c r="E8" s="168">
        <f t="shared" si="0"/>
        <v>-1.7507641424811982E-2</v>
      </c>
      <c r="F8" s="38">
        <f>中航光电!V13+东方国信!V13+积成电子!V13+洲际油气!V13+老板电器!V13+德润电子!V13</f>
        <v>-14889.700020620734</v>
      </c>
      <c r="G8" s="164">
        <f>中航光电!W13+东方国信!W13+积成电子!W13+洲际油气!W13+老板电器!W13+德润电子!W13</f>
        <v>-38612.631141298771</v>
      </c>
      <c r="H8" s="168">
        <f t="shared" si="1"/>
        <v>-1.4068121712604624E-2</v>
      </c>
      <c r="I8" s="168">
        <f t="shared" si="2"/>
        <v>-3.648207779790133E-2</v>
      </c>
      <c r="J8" s="164">
        <f>中航光电!H13+东方国信!H13+积成电子!H13+洲际油气!H13+老板电器!H13+德润电子!H13</f>
        <v>1042154.1050454612</v>
      </c>
      <c r="K8" s="180">
        <f>中航光电!F13+东方国信!F13+积成电子!F13+洲际油气!F13+老板电器!F13+德润电子!F13</f>
        <v>1019871.9999999999</v>
      </c>
      <c r="L8" s="180">
        <f t="shared" si="4"/>
        <v>-13821.914953858672</v>
      </c>
      <c r="M8" s="1">
        <f t="shared" si="5"/>
        <v>-1.3059254491552031E-2</v>
      </c>
      <c r="N8" s="158">
        <f t="shared" si="6"/>
        <v>-18084.207498453248</v>
      </c>
      <c r="O8" s="1">
        <f t="shared" si="3"/>
        <v>-1.7086363849634589E-2</v>
      </c>
    </row>
    <row r="9" spans="1:24" x14ac:dyDescent="0.15">
      <c r="A9" s="101">
        <v>42433</v>
      </c>
      <c r="B9" s="164">
        <f>中航光电!E14+东方国信!E14+积成电子!E14+洲际油气!E14+老板电器!E14+德润电子!E14</f>
        <v>1058400</v>
      </c>
      <c r="C9" s="38">
        <f>中航光电!R14+东方国信!R14+积成电子!R14+洲际油气!R14+老板电器!R14+德润电子!R14</f>
        <v>11031.115423063309</v>
      </c>
      <c r="D9" s="164">
        <f>中航光电!G14+东方国信!G14+积成电子!G14+洲际油气!G14+老板电器!G14+德润电子!G14</f>
        <v>1042154.1050454612</v>
      </c>
      <c r="E9" s="168">
        <f t="shared" si="0"/>
        <v>1.0584917690826642E-2</v>
      </c>
      <c r="F9" s="38">
        <f>中航光电!V14+东方国信!V14+积成电子!V14+洲际油气!V14+老板电器!V14+德润电子!V14</f>
        <v>-3693.8664321530314</v>
      </c>
      <c r="G9" s="164">
        <f>中航光电!W14+东方国信!W14+积成电子!W14+洲际油气!W14+老板电器!W14+德润电子!W14</f>
        <v>-54323.16891095812</v>
      </c>
      <c r="H9" s="168">
        <f t="shared" si="1"/>
        <v>-3.4900476494265226E-3</v>
      </c>
      <c r="I9" s="168">
        <f t="shared" si="2"/>
        <v>-5.1325745380723847E-2</v>
      </c>
      <c r="J9" s="164">
        <f>中航光电!H14+东方国信!H14+积成电子!H14+洲际油气!H14+老板电器!H14+德润电子!H14</f>
        <v>1053185.2204685244</v>
      </c>
      <c r="K9" s="180">
        <f>中航光电!F14+东方国信!F14+积成电子!F14+洲际油气!F14+老板电器!F14+德润电子!F14</f>
        <v>1003230</v>
      </c>
      <c r="L9" s="180">
        <f t="shared" si="4"/>
        <v>-15710.53776965935</v>
      </c>
      <c r="M9" s="1">
        <f t="shared" si="5"/>
        <v>-1.4843667582822517E-2</v>
      </c>
      <c r="N9" s="158">
        <f t="shared" si="6"/>
        <v>11195.833588467704</v>
      </c>
      <c r="O9" s="1">
        <f t="shared" si="3"/>
        <v>1.0578074063178103E-2</v>
      </c>
    </row>
    <row r="10" spans="1:24" x14ac:dyDescent="0.15">
      <c r="A10" s="101">
        <v>42436</v>
      </c>
      <c r="B10" s="164">
        <f>中航光电!E15+东方国信!E15+积成电子!E15+洲际油气!E15+老板电器!E15+德润电子!E15</f>
        <v>1058400</v>
      </c>
      <c r="C10" s="38">
        <f>中航光电!R15+东方国信!R15+积成电子!R15+洲际油气!R15+老板电器!R15+德润电子!R15</f>
        <v>-31132.791547469718</v>
      </c>
      <c r="D10" s="164">
        <f>中航光电!G15+东方国信!G15+积成电子!G15+洲际油气!G15+老板电器!G15+德润电子!G15</f>
        <v>1053185.2204685244</v>
      </c>
      <c r="E10" s="168">
        <f t="shared" si="0"/>
        <v>-2.9560604291066536E-2</v>
      </c>
      <c r="F10" s="38">
        <f>中航光电!V15+东方国信!V15+积成电子!V15+洲际油气!V15+老板电器!V15+德润电子!V15</f>
        <v>-33436.021604417176</v>
      </c>
      <c r="G10" s="164">
        <f>中航光电!W15+东方国信!W15+积成电子!W15+洲际油气!W15+老板电器!W15+德润电子!W15</f>
        <v>-61147.233369038913</v>
      </c>
      <c r="H10" s="168">
        <f t="shared" si="1"/>
        <v>-3.1591101289131875E-2</v>
      </c>
      <c r="I10" s="168">
        <f t="shared" si="2"/>
        <v>-5.7773274158200029E-2</v>
      </c>
      <c r="J10" s="164">
        <f>中航光电!H15+东方国信!H15+积成电子!H15+洲际油气!H15+老板电器!H15+德润电子!H15</f>
        <v>1022052.4289210547</v>
      </c>
      <c r="K10" s="180">
        <f>中航光电!F15+东方国信!F15+积成电子!F15+洲际油气!F15+老板电器!F15+德润电子!F15</f>
        <v>996950</v>
      </c>
      <c r="L10" s="180">
        <f t="shared" si="4"/>
        <v>-6824.064458080793</v>
      </c>
      <c r="M10" s="1">
        <f t="shared" si="5"/>
        <v>-6.4475287774761816E-3</v>
      </c>
      <c r="N10" s="158">
        <f t="shared" si="6"/>
        <v>-29742.155172264145</v>
      </c>
      <c r="O10" s="1">
        <f t="shared" si="3"/>
        <v>-2.8101053639705352E-2</v>
      </c>
    </row>
    <row r="11" spans="1:24" x14ac:dyDescent="0.15">
      <c r="A11" s="101">
        <v>42437</v>
      </c>
      <c r="B11" s="164">
        <f>中航光电!E16+东方国信!E16+积成电子!E16+洲际油气!E16+老板电器!E16+德润电子!E16</f>
        <v>1058400</v>
      </c>
      <c r="C11" s="38">
        <f>中航光电!R16+东方国信!R16+积成电子!R16+洲际油气!R16+老板电器!R16+德润电子!R16</f>
        <v>-19153.446582146054</v>
      </c>
      <c r="D11" s="164">
        <f>中航光电!G16+东方国信!G16+积成电子!G16+洲际油气!G16+老板电器!G16+德润电子!G16</f>
        <v>1022052.4289210547</v>
      </c>
      <c r="E11" s="168">
        <f t="shared" si="0"/>
        <v>-1.8740180092684369E-2</v>
      </c>
      <c r="F11" s="38">
        <f>中航光电!V16+东方国信!V16+积成电子!V16+洲际油气!V16+老板电器!V16+德润电子!V16</f>
        <v>-52187.496601659353</v>
      </c>
      <c r="G11" s="164">
        <f>中航光电!W16+东方国信!W16+积成电子!W16+洲际油气!W16+老板电器!W16+德润电子!W16</f>
        <v>-75410.164662984695</v>
      </c>
      <c r="H11" s="168">
        <f t="shared" si="1"/>
        <v>-4.9307914400660763E-2</v>
      </c>
      <c r="I11" s="168">
        <f t="shared" si="2"/>
        <v>-7.1249210754898609E-2</v>
      </c>
      <c r="J11" s="164">
        <f>中航光电!H16+东方国信!H16+积成电子!H16+洲际油气!H16+老板电器!H16+德润电子!H16</f>
        <v>1002898.9823389086</v>
      </c>
      <c r="K11" s="180">
        <f>中航光电!F16+东方国信!F16+积成电子!F16+洲际油气!F16+老板电器!F16+德润电子!F16</f>
        <v>980308</v>
      </c>
      <c r="L11" s="180">
        <f t="shared" si="4"/>
        <v>-14262.931293945781</v>
      </c>
      <c r="M11" s="1">
        <f t="shared" si="5"/>
        <v>-1.347593659669858E-2</v>
      </c>
      <c r="N11" s="158">
        <f t="shared" si="6"/>
        <v>-18751.474997242178</v>
      </c>
      <c r="O11" s="1">
        <f t="shared" si="3"/>
        <v>-1.7716813111528892E-2</v>
      </c>
    </row>
    <row r="12" spans="1:24" x14ac:dyDescent="0.15">
      <c r="A12" s="101">
        <v>42438</v>
      </c>
      <c r="B12" s="164">
        <f>中航光电!E17+东方国信!E17+积成电子!E17+洲际油气!E17+老板电器!E17+德润电子!E17</f>
        <v>1058400</v>
      </c>
      <c r="C12" s="38">
        <f>中航光电!R17+东方国信!R17+积成电子!R17+洲际油气!R17+老板电器!R17+德润电子!R17</f>
        <v>2496.5508187238984</v>
      </c>
      <c r="D12" s="164">
        <f>中航光电!G17+东方国信!G17+积成电子!G17+洲际油气!G17+老板电器!G17+德润电子!G17</f>
        <v>1002898.9823389086</v>
      </c>
      <c r="E12" s="168">
        <f t="shared" si="0"/>
        <v>2.4893342826029924E-3</v>
      </c>
      <c r="F12" s="38">
        <f>中航光电!V17+东方国信!V17+积成电子!V17+洲际油气!V17+老板电器!V17+德润电子!V17</f>
        <v>-48413.714830511977</v>
      </c>
      <c r="G12" s="164">
        <f>中航光电!W17+东方国信!W17+积成电子!W17+洲际油气!W17+老板电器!W17+德润电子!W17</f>
        <v>-95419.43265450497</v>
      </c>
      <c r="H12" s="168">
        <f t="shared" si="1"/>
        <v>-4.5742360950975038E-2</v>
      </c>
      <c r="I12" s="168">
        <f t="shared" si="2"/>
        <v>-9.0154414828519436E-2</v>
      </c>
      <c r="J12" s="164">
        <f>中航光电!H17+东方国信!H17+积成电子!H17+洲际油气!H17+老板电器!H17+德润电子!H17</f>
        <v>1005395.5331576323</v>
      </c>
      <c r="K12" s="180">
        <f>中航光电!F17+东方国信!F17+积成电子!F17+洲际油气!F17+老板电器!F17+德润电子!F17</f>
        <v>957700</v>
      </c>
      <c r="L12" s="180">
        <f t="shared" si="4"/>
        <v>-20009.267991520275</v>
      </c>
      <c r="M12" s="1">
        <f t="shared" si="5"/>
        <v>-1.8905204073620827E-2</v>
      </c>
      <c r="N12" s="158">
        <f t="shared" si="6"/>
        <v>3773.7817711473763</v>
      </c>
      <c r="O12" s="1">
        <f t="shared" si="3"/>
        <v>3.5655534496857296E-3</v>
      </c>
    </row>
    <row r="13" spans="1:24" x14ac:dyDescent="0.15">
      <c r="A13" s="101">
        <v>42439</v>
      </c>
      <c r="B13" s="164">
        <f>中航光电!E18+东方国信!E18+积成电子!E18+洲际油气!E18+老板电器!E18+德润电子!E18</f>
        <v>1058400</v>
      </c>
      <c r="C13" s="38">
        <f>中航光电!R18+东方国信!R18+积成电子!R18+洲际油气!R18+老板电器!R18+德润电子!R18</f>
        <v>1856.8488235518632</v>
      </c>
      <c r="D13" s="164">
        <f>中航光电!G18+东方国信!G18+积成电子!G18+洲际油气!G18+老板电器!G18+德润电子!G18</f>
        <v>1005395.5331576323</v>
      </c>
      <c r="E13" s="168">
        <f t="shared" si="0"/>
        <v>1.8468839002298756E-3</v>
      </c>
      <c r="F13" s="38">
        <f>中航光电!V18+东方国信!V18+积成电子!V18+洲际油气!V18+老板电器!V18+德润电子!V18</f>
        <v>-45825.365549052156</v>
      </c>
      <c r="G13" s="164">
        <f>中航光电!W18+东方国信!W18+积成电子!W18+洲际油气!W18+老板电器!W18+德润电子!W18</f>
        <v>-109377.61079922752</v>
      </c>
      <c r="H13" s="168">
        <f t="shared" si="1"/>
        <v>-4.3296830639694028E-2</v>
      </c>
      <c r="I13" s="168">
        <f t="shared" si="2"/>
        <v>-0.10334241383146969</v>
      </c>
      <c r="J13" s="164">
        <f>中航光电!H18+东方国信!H18+积成电子!H18+洲际油气!H18+老板电器!H18+德润电子!H18</f>
        <v>1007252.3819811842</v>
      </c>
      <c r="K13" s="180">
        <f>中航光电!F18+东方国信!F18+积成电子!F18+洲际油气!F18+老板电器!F18+德润电子!F18</f>
        <v>943256</v>
      </c>
      <c r="L13" s="180">
        <f t="shared" si="4"/>
        <v>-13958.178144722551</v>
      </c>
      <c r="M13" s="1">
        <f t="shared" si="5"/>
        <v>-1.3187999002950257E-2</v>
      </c>
      <c r="N13" s="158">
        <f t="shared" si="6"/>
        <v>2588.3492814598212</v>
      </c>
      <c r="O13" s="1">
        <f t="shared" si="3"/>
        <v>2.4455303112810101E-3</v>
      </c>
    </row>
    <row r="14" spans="1:24" x14ac:dyDescent="0.15">
      <c r="A14" s="101">
        <v>42440</v>
      </c>
      <c r="B14" s="164">
        <f>中航光电!E19+东方国信!E19+积成电子!E19+洲际油气!E19+老板电器!E19+德润电子!E19</f>
        <v>2062933.5</v>
      </c>
      <c r="C14" s="38">
        <f>中航光电!R19+东方国信!R19+积成电子!R19+洲际油气!R19+老板电器!R19+德润电子!R19</f>
        <v>8660.6232925073709</v>
      </c>
      <c r="D14" s="164">
        <f>中航光电!G19+东方国信!G19+积成电子!G19+洲际油气!G19+老板电器!G19+德润电子!G19</f>
        <v>2011785.8819811842</v>
      </c>
      <c r="E14" s="168">
        <f t="shared" si="0"/>
        <v>4.3049428719414643E-3</v>
      </c>
      <c r="F14" s="38">
        <f>中航光电!V19+东方国信!V19+积成电子!V19+洲际油气!V19+老板电器!V19+德润电子!V19</f>
        <v>-37590.876339455033</v>
      </c>
      <c r="G14" s="164">
        <f>中航光电!W19+东方国信!W19+积成电子!W19+洲际油气!W19+老板电器!W19+德润电子!W19</f>
        <v>-103874.25378673835</v>
      </c>
      <c r="H14" s="168">
        <f t="shared" si="1"/>
        <v>-1.8222049493817921E-2</v>
      </c>
      <c r="I14" s="168">
        <f t="shared" si="2"/>
        <v>-5.0352691343050246E-2</v>
      </c>
      <c r="J14" s="164">
        <f>中航光电!H19+东方国信!H19+积成电子!H19+洲际油气!H19+老板电器!H19+德润电子!H19</f>
        <v>2020446.5052736916</v>
      </c>
      <c r="K14" s="180">
        <f>中航光电!F19+东方国信!F19+积成电子!F19+洲际油气!F19+老板电器!F19+德润电子!F19</f>
        <v>1953768</v>
      </c>
      <c r="L14" s="180">
        <f t="shared" si="4"/>
        <v>5503.3570124891703</v>
      </c>
      <c r="M14" s="1">
        <f t="shared" si="5"/>
        <v>5.2989722488419447E-2</v>
      </c>
      <c r="N14" s="158">
        <f t="shared" si="6"/>
        <v>8234.4892095971227</v>
      </c>
      <c r="O14" s="1">
        <f t="shared" si="3"/>
        <v>3.9916406464857558E-3</v>
      </c>
    </row>
    <row r="15" spans="1:24" x14ac:dyDescent="0.15">
      <c r="A15" s="101">
        <v>42443</v>
      </c>
      <c r="B15" s="164">
        <f>中航光电!E20+东方国信!E20+积成电子!E20+洲际油气!E20+老板电器!E20+德润电子!E20</f>
        <v>2062933.5</v>
      </c>
      <c r="C15" s="38">
        <f>中航光电!R20+东方国信!R20+积成电子!R20+洲际油气!R20+老板电器!R20+德润电子!R20</f>
        <v>81882.617200791006</v>
      </c>
      <c r="D15" s="164">
        <f>中航光电!G20+东方国信!G20+积成电子!G20+洲际油气!G20+老板电器!G20+德润电子!G20</f>
        <v>2020446.5052736916</v>
      </c>
      <c r="E15" s="168">
        <f t="shared" si="0"/>
        <v>4.0526990933471466E-2</v>
      </c>
      <c r="F15" s="38">
        <f>中航光电!V20+东方国信!V20+积成电子!V20+洲际油气!V20+老板电器!V20+德润电子!V20</f>
        <v>42726.173358631677</v>
      </c>
      <c r="G15" s="164">
        <f>中航光电!W20+东方国信!W20+积成电子!W20+洲际油气!W20+老板电器!W20+德润电子!W20</f>
        <v>29852.8556971285</v>
      </c>
      <c r="H15" s="168">
        <f t="shared" si="1"/>
        <v>2.07113672634778E-2</v>
      </c>
      <c r="I15" s="168">
        <f t="shared" si="2"/>
        <v>1.4471070297287092E-2</v>
      </c>
      <c r="J15" s="164">
        <f>中航光电!H20+东方国信!H20+积成电子!H20+洲际油气!H20+老板电器!H20+德润电子!H20</f>
        <v>2102329.1224744823</v>
      </c>
      <c r="K15" s="180">
        <f>中航光电!F20+东方国信!F20+积成电子!F20+洲际油气!F20+老板电器!F20+德润电子!F20</f>
        <v>2089830</v>
      </c>
      <c r="L15" s="180">
        <f t="shared" si="4"/>
        <v>133727.10948386684</v>
      </c>
      <c r="M15" s="1">
        <f t="shared" si="5"/>
        <v>6.4823761640337332E-2</v>
      </c>
      <c r="N15" s="158">
        <f t="shared" si="6"/>
        <v>80317.049698086717</v>
      </c>
      <c r="O15" s="1">
        <f t="shared" si="3"/>
        <v>3.8933416757295725E-2</v>
      </c>
    </row>
    <row r="16" spans="1:24" x14ac:dyDescent="0.15">
      <c r="A16" s="101">
        <v>42444</v>
      </c>
      <c r="B16" s="164">
        <f>中航光电!E21+东方国信!E21+积成电子!E21+洲际油气!E21+老板电器!E21+德润电子!E21</f>
        <v>2062933.5</v>
      </c>
      <c r="C16" s="38">
        <f>中航光电!R21+东方国信!R21+积成电子!R21+洲际油气!R21+老板电器!R21+德润电子!R21</f>
        <v>-17631.340315618614</v>
      </c>
      <c r="D16" s="164">
        <f>中航光电!G21+东方国信!G21+积成电子!G21+洲际油气!G21+老板电器!G21+德润电子!G21</f>
        <v>2102329.1224744823</v>
      </c>
      <c r="E16" s="168">
        <f t="shared" si="0"/>
        <v>-8.3865747409074473E-3</v>
      </c>
      <c r="F16" s="38">
        <f>中航光电!V21+东方国信!V21+积成电子!V21+洲际油气!V21+老板电器!V21+德润电子!V21</f>
        <v>17700.485457214396</v>
      </c>
      <c r="G16" s="164">
        <f>中航光电!W21+东方国信!W21+积成电子!W21+洲际油气!W21+老板电器!W21+德润电子!W21</f>
        <v>-10750.089020434971</v>
      </c>
      <c r="H16" s="168">
        <f t="shared" si="1"/>
        <v>8.5802501424376478E-3</v>
      </c>
      <c r="I16" s="168">
        <f t="shared" si="2"/>
        <v>-5.2110691015657901E-3</v>
      </c>
      <c r="J16" s="164">
        <f>中航光电!H21+东方国信!H21+积成电子!H21+洲际油气!H21+老板电器!H21+德润电子!H21</f>
        <v>2084697.782158864</v>
      </c>
      <c r="K16" s="180">
        <f>中航光电!F21+东方国信!F21+积成电子!F21+洲际油气!F21+老板电器!F21+德润电子!F21</f>
        <v>2056128</v>
      </c>
      <c r="L16" s="180">
        <f t="shared" si="4"/>
        <v>-40602.94471756347</v>
      </c>
      <c r="M16" s="1">
        <f t="shared" si="5"/>
        <v>-1.9682139398852883E-2</v>
      </c>
      <c r="N16" s="158">
        <f t="shared" si="6"/>
        <v>-25025.687901417281</v>
      </c>
      <c r="O16" s="1">
        <f t="shared" si="3"/>
        <v>-1.213111712104015E-2</v>
      </c>
    </row>
    <row r="17" spans="1:16" x14ac:dyDescent="0.15">
      <c r="A17" s="101">
        <v>42445</v>
      </c>
      <c r="B17" s="164">
        <f>中航光电!E22+东方国信!E22+积成电子!E22+洲际油气!E22+老板电器!E22+德润电子!E22</f>
        <v>2062933.5</v>
      </c>
      <c r="C17" s="38">
        <f>中航光电!R22+东方国信!R22+积成电子!R22+洲际油气!R22+老板电器!R22+德润电子!R22</f>
        <v>-13775.966508196438</v>
      </c>
      <c r="D17" s="164">
        <f>中航光电!G22+东方国信!G22+积成电子!G22+洲际油气!G22+老板电器!G22+德润电子!G22</f>
        <v>2084697.782158864</v>
      </c>
      <c r="E17" s="168">
        <f t="shared" si="0"/>
        <v>-6.6081360214862274E-3</v>
      </c>
      <c r="F17" s="38">
        <f>中航光电!V22+东方国信!V22+积成电子!V22+洲际油气!V22+老板电器!V22+德润电子!V22</f>
        <v>6896.0054435712882</v>
      </c>
      <c r="G17" s="164">
        <f>中航光电!W22+东方国信!W22+积成电子!W22+洲际油气!W22+老板电器!W22+德润电子!W22</f>
        <v>-44425.448846946601</v>
      </c>
      <c r="H17" s="168">
        <f t="shared" si="1"/>
        <v>3.3428151918475746E-3</v>
      </c>
      <c r="I17" s="168">
        <f t="shared" si="2"/>
        <v>-2.1535085278777334E-2</v>
      </c>
      <c r="J17" s="164">
        <f>中航光电!H22+东方国信!H22+积成电子!H22+洲际油气!H22+老板电器!H22+德润电子!H22</f>
        <v>2070921.8156506675</v>
      </c>
      <c r="K17" s="180">
        <f>中航光电!F22+东方国信!F22+积成电子!F22+洲际油气!F22+老板电器!F22+德润电子!F22</f>
        <v>2018954</v>
      </c>
      <c r="L17" s="180">
        <f t="shared" si="4"/>
        <v>-33675.359826511631</v>
      </c>
      <c r="M17" s="1">
        <f t="shared" si="5"/>
        <v>-1.6324016177211544E-2</v>
      </c>
      <c r="N17" s="158">
        <f t="shared" si="6"/>
        <v>-10804.480013643108</v>
      </c>
      <c r="O17" s="1">
        <f t="shared" si="3"/>
        <v>-5.2374349505900737E-3</v>
      </c>
    </row>
    <row r="18" spans="1:16" x14ac:dyDescent="0.15">
      <c r="A18" s="101">
        <v>42446</v>
      </c>
      <c r="B18" s="164">
        <f>中航光电!E23+东方国信!E23+积成电子!E23+洲际油气!E23+老板电器!E23+德润电子!E23</f>
        <v>2062933.5</v>
      </c>
      <c r="C18" s="38">
        <f>中航光电!R23+东方国信!R23+积成电子!R23+洲际油气!R23+老板电器!R23+德润电子!R23</f>
        <v>71296.417563262119</v>
      </c>
      <c r="D18" s="164">
        <f>中航光电!G23+东方国信!G23+积成电子!G23+洲际油气!G23+老板电器!G23+德润电子!G23</f>
        <v>2070921.8156506675</v>
      </c>
      <c r="E18" s="168">
        <f t="shared" si="0"/>
        <v>3.4427382542619719E-2</v>
      </c>
      <c r="F18" s="38">
        <f>中航光电!V23+东方国信!V23+积成电子!V23+洲际油气!V23+老板电器!V23+德润电子!V23</f>
        <v>73740.806133917213</v>
      </c>
      <c r="G18" s="164">
        <f>中航光电!W23+东方国信!W23+积成电子!W23+洲际油气!W23+老板电器!W23+德润电子!W23</f>
        <v>77471.401789212803</v>
      </c>
      <c r="H18" s="168">
        <f t="shared" si="1"/>
        <v>3.5745605049274355E-2</v>
      </c>
      <c r="I18" s="168">
        <f t="shared" si="2"/>
        <v>3.7553998608880416E-2</v>
      </c>
      <c r="J18" s="164">
        <f>中航光电!H23+东方国信!H23+积成电子!H23+洲际油气!H23+老板电器!H23+德润电子!H23</f>
        <v>2142218.2332139295</v>
      </c>
      <c r="K18" s="180">
        <f>中航光电!F23+东方国信!F23+积成电子!F23+洲际油气!F23+老板电器!F23+德润电子!F23</f>
        <v>2145790</v>
      </c>
      <c r="L18" s="180">
        <f t="shared" si="4"/>
        <v>121896.8506361594</v>
      </c>
      <c r="M18" s="1">
        <f t="shared" si="5"/>
        <v>5.9089083887657753E-2</v>
      </c>
      <c r="N18" s="158">
        <f t="shared" si="6"/>
        <v>66844.800690345932</v>
      </c>
      <c r="O18" s="1">
        <f t="shared" si="3"/>
        <v>3.2402789857426784E-2</v>
      </c>
    </row>
    <row r="19" spans="1:16" x14ac:dyDescent="0.15">
      <c r="A19" s="101">
        <v>42447</v>
      </c>
      <c r="B19" s="164">
        <f>中航光电!E24+东方国信!E24+积成电子!E24+洲际油气!E24+老板电器!E24+德润电子!E24</f>
        <v>2761753.5</v>
      </c>
      <c r="C19" s="38">
        <f>中航光电!R24+东方国信!R24+积成电子!R24+洲际油气!R24+老板电器!R24+德润电子!R24</f>
        <v>52158.920978113536</v>
      </c>
      <c r="D19" s="164">
        <f>中航光电!G24+东方国信!G24+积成电子!G24+洲际油气!G24+老板电器!G24+德润电子!G24</f>
        <v>2841038.2332139295</v>
      </c>
      <c r="E19" s="168">
        <f t="shared" si="0"/>
        <v>1.8359105614396701E-2</v>
      </c>
      <c r="F19" s="38">
        <f>中航光电!V24+东方国信!V24+积成电子!V24+洲际油气!V24+老板电器!V24+德润电子!V24</f>
        <v>112262.80273899081</v>
      </c>
      <c r="G19" s="164">
        <f>中航光电!W24+东方国信!W24+积成电子!W24+洲际油气!W24+老板电器!W24+德润电子!W24</f>
        <v>183382.16221784931</v>
      </c>
      <c r="H19" s="168">
        <f t="shared" si="1"/>
        <v>4.0649103093013485E-2</v>
      </c>
      <c r="I19" s="168">
        <f t="shared" si="2"/>
        <v>6.640062634766257E-2</v>
      </c>
      <c r="J19" s="164">
        <f>中航光电!H24+东方国信!H24+积成电子!H24+洲际油气!H24+老板电器!H24+德润电子!H24</f>
        <v>2893197.154192043</v>
      </c>
      <c r="K19" s="180">
        <f>中航光电!F24+东方国信!F24+积成电子!F24+洲际油气!F24+老板电器!F24+德润电子!F24</f>
        <v>2967824</v>
      </c>
      <c r="L19" s="180">
        <f t="shared" si="4"/>
        <v>105910.76042863651</v>
      </c>
      <c r="M19" s="1">
        <f t="shared" si="5"/>
        <v>2.8846627738782153E-2</v>
      </c>
      <c r="N19" s="158">
        <f t="shared" si="6"/>
        <v>38521.996605073597</v>
      </c>
      <c r="O19" s="1">
        <f t="shared" si="3"/>
        <v>1.3948383374936828E-2</v>
      </c>
    </row>
    <row r="20" spans="1:16" x14ac:dyDescent="0.15">
      <c r="A20" s="101">
        <v>42450</v>
      </c>
      <c r="B20" s="164">
        <f>中航光电!E25+东方国信!E25+积成电子!E25+洲际油气!E25+老板电器!E25+德润电子!E25</f>
        <v>2397750</v>
      </c>
      <c r="C20" s="38">
        <f>中航光电!R25+东方国信!R25+积成电子!R25+洲际油气!R25+老板电器!R25+德润电子!R25</f>
        <v>191900.80116192854</v>
      </c>
      <c r="D20" s="164">
        <f>中航光电!G25+东方国信!G25+积成电子!G25+洲际油气!G25+老板电器!G25+德润电子!G25</f>
        <v>2505397.0887449938</v>
      </c>
      <c r="E20" s="168">
        <f t="shared" si="0"/>
        <v>7.6594964536362456E-2</v>
      </c>
      <c r="F20" s="38">
        <f>中航光电!V25+东方国信!V25+积成电子!V25+洲际油气!V25+老板电器!V25+德润电子!V25</f>
        <v>171903.96320677124</v>
      </c>
      <c r="G20" s="164">
        <f>中航光电!W25+东方国信!W25+积成电子!W25+洲际油气!W25+老板电器!W25+德润电子!W25</f>
        <v>286911.22359482059</v>
      </c>
      <c r="H20" s="168">
        <f t="shared" si="1"/>
        <v>7.169386433396778E-2</v>
      </c>
      <c r="I20" s="168">
        <f t="shared" si="2"/>
        <v>0.11965852302984907</v>
      </c>
      <c r="J20" s="164">
        <f>中航光电!H25+东方国信!H25+积成电子!H25+洲际油气!H25+老板电器!H25+德润电子!H25</f>
        <v>2697297.8899069224</v>
      </c>
      <c r="K20" s="180">
        <f>中航光电!F25+东方国信!F25+积成电子!F25+洲际油气!F25+老板电器!F25+德润电子!F25</f>
        <v>2823372</v>
      </c>
      <c r="L20" s="180">
        <f t="shared" si="4"/>
        <v>103529.06137697128</v>
      </c>
      <c r="M20" s="1">
        <f t="shared" si="5"/>
        <v>5.3257896682186501E-2</v>
      </c>
      <c r="N20" s="158">
        <f t="shared" si="6"/>
        <v>59641.160467780428</v>
      </c>
      <c r="O20" s="1">
        <f t="shared" si="3"/>
        <v>2.4873802718290244E-2</v>
      </c>
    </row>
    <row r="21" spans="1:16" x14ac:dyDescent="0.15">
      <c r="A21" s="101">
        <v>42451</v>
      </c>
      <c r="B21" s="164">
        <f>中航光电!E26+东方国信!E26+积成电子!E26+洲际油气!E26+老板电器!E26+德润电子!E26</f>
        <v>2397750</v>
      </c>
      <c r="C21" s="38">
        <f>中航光电!R26+东方国信!R26+积成电子!R26+洲际油气!R26+老板电器!R26+德润电子!R26</f>
        <v>35434.86193845349</v>
      </c>
      <c r="D21" s="164">
        <f>中航光电!G26+东方国信!G26+积成电子!G26+洲际油气!G26+老板电器!G26+德润电子!G26</f>
        <v>2697297.8899069224</v>
      </c>
      <c r="E21" s="168">
        <f t="shared" si="0"/>
        <v>1.3137170377453662E-2</v>
      </c>
      <c r="F21" s="38">
        <f>中航光电!V26+东方国信!V26+积成电子!V26+洲际油气!V26+老板电器!V26+德润电子!V26</f>
        <v>210027.5518759765</v>
      </c>
      <c r="G21" s="164">
        <f>中航光电!W26+东方国信!W26+积成电子!W26+洲际油气!W26+老板电器!W26+德润电子!W26</f>
        <v>314402.63134512829</v>
      </c>
      <c r="H21" s="168">
        <f t="shared" si="1"/>
        <v>8.7593598947336662E-2</v>
      </c>
      <c r="I21" s="168">
        <f t="shared" si="2"/>
        <v>0.13112402516739788</v>
      </c>
      <c r="J21" s="164">
        <f>中航光电!H26+东方国信!H26+积成电子!H26+洲际油气!H26+老板电器!H26+德润电子!H26</f>
        <v>2732732.7518453761</v>
      </c>
      <c r="K21" s="180">
        <f>中航光电!F26+东方国信!F26+积成电子!F26+洲际油气!F26+老板电器!F26+德润电子!F26</f>
        <v>2850386</v>
      </c>
      <c r="L21" s="180">
        <f t="shared" si="4"/>
        <v>27491.407750307699</v>
      </c>
      <c r="M21" s="1">
        <f t="shared" si="5"/>
        <v>1.1465502137548808E-2</v>
      </c>
      <c r="N21" s="158">
        <f t="shared" si="6"/>
        <v>38123.588669205259</v>
      </c>
      <c r="O21" s="1">
        <f t="shared" si="3"/>
        <v>1.5899734613368893E-2</v>
      </c>
    </row>
    <row r="22" spans="1:16" x14ac:dyDescent="0.15">
      <c r="A22" s="101">
        <v>42452</v>
      </c>
      <c r="B22" s="164">
        <f>中航光电!E27+东方国信!E27+积成电子!E27+洲际油气!E27+老板电器!E27+德润电子!E27</f>
        <v>2397750</v>
      </c>
      <c r="C22" s="38">
        <f>中航光电!R27+东方国信!R27+积成电子!R27+洲际油气!R27+老板电器!R27+德润电子!R27</f>
        <v>-20094.810644024434</v>
      </c>
      <c r="D22" s="164">
        <f>中航光电!G27+东方国信!G27+积成电子!G27+洲际油气!G27+老板电器!G27+德润电子!G27</f>
        <v>2732732.7518453761</v>
      </c>
      <c r="E22" s="168">
        <f t="shared" si="0"/>
        <v>-7.353375711713738E-3</v>
      </c>
      <c r="F22" s="38">
        <f>中航光电!V27+东方国信!V27+积成电子!V27+洲际油气!V27+老板电器!V27+德润电子!V27</f>
        <v>190427.02039050267</v>
      </c>
      <c r="G22" s="164">
        <f>中航光电!W27+东方国信!W27+积成电子!W27+洲际油气!W27+老板电器!W27+德润电子!W27</f>
        <v>312794.36280880932</v>
      </c>
      <c r="H22" s="168">
        <f t="shared" si="1"/>
        <v>7.941904718611309E-2</v>
      </c>
      <c r="I22" s="168">
        <f t="shared" si="2"/>
        <v>0.13045328445784979</v>
      </c>
      <c r="J22" s="164">
        <f>中航光电!H27+东方国信!H27+积成电子!H27+洲际油气!H27+老板电器!H27+德润电子!H27</f>
        <v>2712637.9412013516</v>
      </c>
      <c r="K22" s="180">
        <f>中航光电!F27+东方国信!F27+积成电子!F27+洲际油气!F27+老板电器!F27+德润电子!F27</f>
        <v>2846208</v>
      </c>
      <c r="L22" s="180">
        <f t="shared" si="4"/>
        <v>-1608.2685363189667</v>
      </c>
      <c r="M22" s="1">
        <f t="shared" si="5"/>
        <v>-6.7074070954808995E-4</v>
      </c>
      <c r="N22" s="158">
        <f t="shared" si="6"/>
        <v>-19600.531485473824</v>
      </c>
      <c r="O22" s="1">
        <f t="shared" si="3"/>
        <v>-8.1745517612235741E-3</v>
      </c>
    </row>
    <row r="23" spans="1:16" x14ac:dyDescent="0.15">
      <c r="A23" s="101">
        <v>42453</v>
      </c>
      <c r="B23" s="164">
        <f>中航光电!E28+东方国信!E28+积成电子!E28+洲际油气!E28+老板电器!E28+德润电子!E28</f>
        <v>2397750</v>
      </c>
      <c r="C23" s="38">
        <f>中航光电!R28+东方国信!R28+积成电子!R28+洲际油气!R28+老板电器!R28+德润电子!R28</f>
        <v>7685.0174553160832</v>
      </c>
      <c r="D23" s="164">
        <f>中航光电!G28+东方国信!G28+积成电子!G28+洲际油气!G28+老板电器!G28+德润电子!G28</f>
        <v>2712637.9412013516</v>
      </c>
      <c r="E23" s="168">
        <f t="shared" si="0"/>
        <v>2.8330420874053703E-3</v>
      </c>
      <c r="F23" s="38">
        <f>中航光电!V28+东方国信!V28+积成电子!V28+洲际油气!V28+老板电器!V28+德润电子!V28</f>
        <v>197105.39768756524</v>
      </c>
      <c r="G23" s="164">
        <f>中航光电!W28+东方国信!W28+积成电子!W28+洲际油气!W28+老板电器!W28+德润电子!W28</f>
        <v>283817.72347356653</v>
      </c>
      <c r="H23" s="168">
        <f t="shared" si="1"/>
        <v>8.2204315582343965E-2</v>
      </c>
      <c r="I23" s="168">
        <f t="shared" si="2"/>
        <v>0.11836835511357169</v>
      </c>
      <c r="J23" s="164">
        <f>中航光电!H28+东方国信!H28+积成电子!H28+洲际油气!H28+老板电器!H28+德润电子!H28</f>
        <v>2720322.9586566677</v>
      </c>
      <c r="K23" s="180">
        <f>中航光电!F28+东方国信!F28+积成电子!F28+洲际油气!F28+老板电器!F28+德润电子!F28</f>
        <v>2815717</v>
      </c>
      <c r="L23" s="180">
        <f t="shared" si="4"/>
        <v>-28976.639335242799</v>
      </c>
      <c r="M23" s="1">
        <f t="shared" si="5"/>
        <v>-1.20849293442781E-2</v>
      </c>
      <c r="N23" s="158">
        <f t="shared" si="6"/>
        <v>6678.3772970625723</v>
      </c>
      <c r="O23" s="1">
        <f t="shared" si="3"/>
        <v>2.7852683962308715E-3</v>
      </c>
    </row>
    <row r="24" spans="1:16" x14ac:dyDescent="0.15">
      <c r="A24" s="101">
        <v>42454</v>
      </c>
      <c r="B24" s="164">
        <f>中航光电!E29+东方国信!E29+积成电子!E29+洲际油气!E29+老板电器!E29+德润电子!E29</f>
        <v>2397750</v>
      </c>
      <c r="C24" s="38">
        <f>中航光电!R29+东方国信!R29+积成电子!R29+洲际油气!R29+老板电器!R29+德润电子!R29</f>
        <v>-50816.470222467906</v>
      </c>
      <c r="D24" s="164">
        <f>中航光电!G29+东方国信!G29+积成电子!G29+洲际油气!G29+老板电器!G29+德润电子!G29</f>
        <v>2720322.9586566677</v>
      </c>
      <c r="E24" s="168">
        <f t="shared" si="0"/>
        <v>-1.8680307814466914E-2</v>
      </c>
      <c r="F24" s="38">
        <f>中航光电!V29+东方国信!V29+积成电子!V29+洲际油气!V29+老板电器!V29+德润电子!V29</f>
        <v>148503.54514665957</v>
      </c>
      <c r="G24" s="164">
        <f>中航光电!W29+东方国信!W29+积成电子!W29+洲际油气!W29+老板电器!W29+德润电子!W29</f>
        <v>255650.56363229075</v>
      </c>
      <c r="H24" s="168">
        <f t="shared" si="1"/>
        <v>6.1934540776419383E-2</v>
      </c>
      <c r="I24" s="168">
        <f t="shared" si="2"/>
        <v>0.10662102539142561</v>
      </c>
      <c r="J24" s="164">
        <f>中航光电!H29+东方国信!H29+积成电子!H29+洲际油气!H29+老板电器!H29+德润电子!H29</f>
        <v>2669506.4884342002</v>
      </c>
      <c r="K24" s="180">
        <f>中航光电!F29+东方国信!F29+积成电子!F29+洲际油气!F29+老板电器!F29+德润电子!F29</f>
        <v>2785483</v>
      </c>
      <c r="L24" s="180">
        <f t="shared" si="4"/>
        <v>-28167.159841275774</v>
      </c>
      <c r="M24" s="1">
        <f t="shared" si="5"/>
        <v>-1.174732972214608E-2</v>
      </c>
      <c r="N24" s="158">
        <f t="shared" si="6"/>
        <v>-48601.852540905675</v>
      </c>
      <c r="O24" s="1">
        <f t="shared" si="3"/>
        <v>-2.0269774805924585E-2</v>
      </c>
    </row>
    <row r="25" spans="1:16" x14ac:dyDescent="0.15">
      <c r="A25" s="101">
        <v>42457</v>
      </c>
      <c r="B25" s="164">
        <f>中航光电!E30+东方国信!E30+积成电子!E30+洲际油气!E30+老板电器!E30+德润电子!E30</f>
        <v>2397750</v>
      </c>
      <c r="C25" s="38">
        <f>中航光电!R30+东方国信!R30+积成电子!R30+洲际油气!R30+老板电器!R30+德润电子!R30</f>
        <v>-36109.976747602064</v>
      </c>
      <c r="D25" s="164">
        <f>中航光电!G30+东方国信!G30+积成电子!G30+洲际油气!G30+老板电器!G30+德润电子!G30</f>
        <v>2669506.4884342002</v>
      </c>
      <c r="E25" s="168">
        <f t="shared" si="0"/>
        <v>-1.352683610399553E-2</v>
      </c>
      <c r="F25" s="38">
        <f>中航光电!V30+东方国信!V30+积成电子!V30+洲际油气!V30+老板电器!V30+德润电子!V30</f>
        <v>113262.78848735697</v>
      </c>
      <c r="G25" s="164">
        <f>中航光电!W30+东方国信!W30+积成电子!W30+洲际油气!W30+老板电器!W30+德润电子!W30</f>
        <v>206678.87517433066</v>
      </c>
      <c r="H25" s="168">
        <f t="shared" si="1"/>
        <v>4.7237113330145748E-2</v>
      </c>
      <c r="I25" s="168">
        <f t="shared" si="2"/>
        <v>8.6197007684008203E-2</v>
      </c>
      <c r="J25" s="164">
        <f>中航光电!H30+东方国信!H30+积成电子!H30+洲际油气!H30+老板电器!H30+德润电子!H30</f>
        <v>2633396.511686598</v>
      </c>
      <c r="K25" s="180">
        <f>中航光电!F30+东方国信!F30+积成电子!F30+洲际油气!F30+老板电器!F30+德润电子!F30</f>
        <v>2732470</v>
      </c>
      <c r="L25" s="180">
        <f t="shared" si="4"/>
        <v>-48971.688457960088</v>
      </c>
      <c r="M25" s="1">
        <f t="shared" si="5"/>
        <v>-2.0424017707417405E-2</v>
      </c>
      <c r="N25" s="158">
        <f t="shared" si="6"/>
        <v>-35240.756659302599</v>
      </c>
      <c r="O25" s="1">
        <f t="shared" si="3"/>
        <v>-1.4697427446273632E-2</v>
      </c>
    </row>
    <row r="26" spans="1:16" x14ac:dyDescent="0.15">
      <c r="A26" s="101">
        <v>42458</v>
      </c>
      <c r="B26" s="164">
        <f>中航光电!E31+东方国信!E31+积成电子!E31+洲际油气!E31+老板电器!E31+德润电子!E31</f>
        <v>2397750</v>
      </c>
      <c r="C26" s="38">
        <f>中航光电!R31+东方国信!R31+积成电子!R31+洲际油气!R31+老板电器!R31+德润电子!R31</f>
        <v>-27387.890897830395</v>
      </c>
      <c r="D26" s="164">
        <f>中航光电!G31+东方国信!G31+积成电子!G31+洲际油气!G31+老板电器!G31+德润电子!G31</f>
        <v>2633396.511686598</v>
      </c>
      <c r="E26" s="168">
        <f t="shared" si="0"/>
        <v>-1.0400215378233874E-2</v>
      </c>
      <c r="F26" s="38">
        <f>中航光电!V31+东方国信!V31+积成电子!V31+洲际油气!V31+老板电器!V31+德润电子!V31</f>
        <v>85593.733305242291</v>
      </c>
      <c r="G26" s="164">
        <f>中航光电!W31+东方国信!W31+积成电子!W31+洲际油气!W31+老板电器!W31+德润电子!W31</f>
        <v>139410.91533288886</v>
      </c>
      <c r="H26" s="168">
        <f t="shared" si="1"/>
        <v>3.5697521970698483E-2</v>
      </c>
      <c r="I26" s="168">
        <f t="shared" si="2"/>
        <v>5.814238987921546E-2</v>
      </c>
      <c r="J26" s="164">
        <f>中航光电!H31+东方国信!H31+积成电子!H31+洲际油气!H31+老板电器!H31+德润电子!H31</f>
        <v>2606008.6207887675</v>
      </c>
      <c r="K26" s="180">
        <f>中航光电!F31+东方国信!F31+积成电子!F31+洲际油气!F31+老板电器!F31+德润电子!F31</f>
        <v>2661017</v>
      </c>
      <c r="L26" s="180">
        <f t="shared" si="4"/>
        <v>-67267.9598414418</v>
      </c>
      <c r="M26" s="1">
        <f t="shared" si="5"/>
        <v>-2.8054617804792743E-2</v>
      </c>
      <c r="N26" s="158">
        <f t="shared" si="6"/>
        <v>-27669.05518211468</v>
      </c>
      <c r="O26" s="1">
        <f t="shared" si="3"/>
        <v>-1.1539591359447265E-2</v>
      </c>
    </row>
    <row r="27" spans="1:16" x14ac:dyDescent="0.15">
      <c r="A27" s="101">
        <v>42459</v>
      </c>
      <c r="B27" s="164">
        <f>中航光电!E32+东方国信!E32+积成电子!E32+洲际油气!E32+老板电器!E32+德润电子!E32</f>
        <v>2397750</v>
      </c>
      <c r="C27" s="38">
        <f>中航光电!R32+东方国信!R32+积成电子!R32+洲际油气!R32+老板电器!R32+德润电子!R32</f>
        <v>118043.18512016082</v>
      </c>
      <c r="D27" s="164">
        <f>中航光电!G32+东方国信!G32+积成电子!G32+洲际油气!G32+老板电器!G32+德润电子!G32</f>
        <v>2606008.6207887675</v>
      </c>
      <c r="E27" s="168">
        <f t="shared" si="0"/>
        <v>4.5296544369999969E-2</v>
      </c>
      <c r="F27" s="38">
        <f>中航光电!V32+东方国信!V32+积成电子!V32+洲际油气!V32+老板电器!V32+德润电子!V32</f>
        <v>201536.14068892901</v>
      </c>
      <c r="G27" s="164">
        <f>中航光电!W32+东方国信!W32+积成电子!W32+洲际油气!W32+老板电器!W32+德润电子!W32</f>
        <v>327668.76253079216</v>
      </c>
      <c r="H27" s="168">
        <f t="shared" si="1"/>
        <v>8.405219088267292E-2</v>
      </c>
      <c r="I27" s="168">
        <f t="shared" si="2"/>
        <v>0.13665676677334673</v>
      </c>
      <c r="J27" s="164">
        <f>中航光电!H32+东方国信!H32+积成电子!H32+洲际油气!H32+老板电器!H32+德润电子!H32</f>
        <v>2724051.8059089282</v>
      </c>
      <c r="K27" s="180">
        <f>中航光电!F32+东方国信!F32+积成电子!F32+洲际油气!F32+老板电器!F32+德润电子!F32</f>
        <v>2860816</v>
      </c>
      <c r="L27" s="180">
        <f t="shared" si="4"/>
        <v>188257.84719790329</v>
      </c>
      <c r="M27" s="1">
        <f t="shared" si="5"/>
        <v>7.8514376894131266E-2</v>
      </c>
      <c r="N27" s="158">
        <f t="shared" si="6"/>
        <v>115942.40738368672</v>
      </c>
      <c r="O27" s="1">
        <f t="shared" si="3"/>
        <v>4.8354668911974444E-2</v>
      </c>
    </row>
    <row r="28" spans="1:16" x14ac:dyDescent="0.15">
      <c r="A28" s="101">
        <v>42460</v>
      </c>
      <c r="B28" s="164">
        <f>中航光电!E33+东方国信!E33+积成电子!E33+洲际油气!E33+老板电器!E33+德润电子!E33</f>
        <v>2397750</v>
      </c>
      <c r="C28" s="38">
        <f>中航光电!R33+东方国信!R33+积成电子!R33+洲际油气!R33+老板电器!R33+德润电子!R33</f>
        <v>-31123.651291617054</v>
      </c>
      <c r="D28" s="164">
        <f>中航光电!G33+东方国信!G33+积成电子!G33+洲际油气!G33+老板电器!G33+德润电子!G33</f>
        <v>2724051.8059089282</v>
      </c>
      <c r="E28" s="168">
        <f t="shared" si="0"/>
        <v>-1.1425499039373848E-2</v>
      </c>
      <c r="F28" s="38">
        <f>中航光电!V33+东方国信!V33+积成电子!V33+洲际油气!V33+老板电器!V33+德润电子!V33</f>
        <v>171775.47012651188</v>
      </c>
      <c r="G28" s="164">
        <f>中航光电!W33+东方国信!W33+积成电子!W33+洲际油气!W33+老板电器!W33+德润电子!W33</f>
        <v>307828.79235070583</v>
      </c>
      <c r="H28" s="168">
        <f t="shared" si="1"/>
        <v>7.1640275310817167E-2</v>
      </c>
      <c r="I28" s="168">
        <f t="shared" si="2"/>
        <v>0.12838235527086053</v>
      </c>
      <c r="J28" s="164">
        <f>中航光电!H33+东方国信!H33+积成电子!H33+洲际油气!H33+老板电器!H33+德润电子!H33</f>
        <v>2692928.1546173114</v>
      </c>
      <c r="K28" s="180">
        <f>中航光电!F33+东方国信!F33+积成电子!F33+洲际油气!F33+老板电器!F33+德润电子!F33</f>
        <v>2834638</v>
      </c>
      <c r="L28" s="180">
        <f t="shared" si="4"/>
        <v>-19839.970180086326</v>
      </c>
      <c r="M28" s="1">
        <f t="shared" si="5"/>
        <v>-8.2744115024862008E-3</v>
      </c>
      <c r="N28" s="158">
        <f t="shared" si="6"/>
        <v>-29760.67056241713</v>
      </c>
      <c r="O28" s="1">
        <f t="shared" si="3"/>
        <v>-1.2411915571855753E-2</v>
      </c>
    </row>
    <row r="29" spans="1:16" x14ac:dyDescent="0.15">
      <c r="A29" s="101">
        <v>42461</v>
      </c>
      <c r="B29" s="164">
        <f>中航光电!E34+东方国信!E34+积成电子!E34+洲际油气!E34+老板电器!E34+德润电子!E34</f>
        <v>2397750</v>
      </c>
      <c r="C29" s="38">
        <f>中航光电!R34+东方国信!R34+积成电子!R34+洲际油气!R34+老板电器!R34+德润电子!R34</f>
        <v>-31317.925846116603</v>
      </c>
      <c r="D29" s="164">
        <f>中航光电!G34+东方国信!G34+积成电子!G34+洲际油气!G34+老板电器!G34+德润电子!G34</f>
        <v>2692928.1546173114</v>
      </c>
      <c r="E29" s="168">
        <f t="shared" si="0"/>
        <v>-1.1629692308136291E-2</v>
      </c>
      <c r="F29" s="38">
        <f>中航光电!V34+东方国信!V34+积成电子!V34+洲际油气!V34+老板电器!V34+德润电子!V34</f>
        <v>140451.24502770655</v>
      </c>
      <c r="G29" s="164">
        <f>中航光电!W34+东方国信!W34+积成电子!W34+洲际油气!W34+老板电器!W34+德润电子!W34</f>
        <v>264989.80439802964</v>
      </c>
      <c r="H29" s="168">
        <f t="shared" si="1"/>
        <v>5.8576267345514146E-2</v>
      </c>
      <c r="I29" s="168">
        <f t="shared" si="2"/>
        <v>0.11051602727474909</v>
      </c>
      <c r="J29" s="164">
        <f>中航光电!H34+东方国信!H34+积成电子!H34+洲际油气!H34+老板电器!H34+德润电子!H34</f>
        <v>2661610.2287711948</v>
      </c>
      <c r="K29" s="180">
        <f>中航光电!F34+东方国信!F34+积成电子!F34+洲际油气!F34+老板电器!F34+德润电子!F34</f>
        <v>2789733</v>
      </c>
      <c r="L29" s="180">
        <f t="shared" si="4"/>
        <v>-42838.987952676194</v>
      </c>
      <c r="M29" s="1">
        <f t="shared" si="5"/>
        <v>-1.7866327996111445E-2</v>
      </c>
      <c r="N29" s="158">
        <f t="shared" si="6"/>
        <v>-31324.225098805327</v>
      </c>
      <c r="O29" s="1">
        <f t="shared" si="3"/>
        <v>-1.3064007965303024E-2</v>
      </c>
    </row>
    <row r="30" spans="1:16" x14ac:dyDescent="0.15">
      <c r="A30" s="101">
        <v>42465</v>
      </c>
      <c r="B30" s="164">
        <f>中航光电!E35+东方国信!E35+积成电子!E35+洲际油气!E35+老板电器!E35+德润电子!E35</f>
        <v>2397750</v>
      </c>
      <c r="C30" s="38">
        <f>中航光电!R35+东方国信!R35+积成电子!R35+洲际油气!R35+老板电器!R35+德润电子!R35</f>
        <v>71101.952177259765</v>
      </c>
      <c r="D30" s="164">
        <f>中航光电!G35+东方国信!G35+积成电子!G35+洲际油气!G35+老板电器!G35+德润电子!G35</f>
        <v>2661610.2287711948</v>
      </c>
      <c r="E30" s="168">
        <f t="shared" si="0"/>
        <v>2.671388598100103E-2</v>
      </c>
      <c r="F30" s="38">
        <f>中航光电!V35+东方国信!V35+积成电子!V35+洲际油气!V35+老板电器!V35+德润电子!V35</f>
        <v>212879.79349625227</v>
      </c>
      <c r="G30" s="164">
        <f>中航光电!W35+东方国信!W35+积成电子!W35+洲际油气!W35+老板电器!W35+德润电子!W35</f>
        <v>394072.56233034946</v>
      </c>
      <c r="H30" s="168">
        <f t="shared" si="1"/>
        <v>8.8783148158170067E-2</v>
      </c>
      <c r="I30" s="168">
        <f t="shared" si="2"/>
        <v>0.16435098001474277</v>
      </c>
      <c r="J30" s="164">
        <f>中航光电!H35+东方国信!H35+积成电子!H35+洲际油气!H35+老板电器!H35+德润电子!H35</f>
        <v>2732712.180948454</v>
      </c>
      <c r="K30" s="180">
        <f>中航光电!F35+东方国信!F35+积成电子!F35+洲际油气!F35+老板电器!F35+德润电子!F35</f>
        <v>2924884</v>
      </c>
      <c r="L30" s="180">
        <f t="shared" si="4"/>
        <v>129082.75793231983</v>
      </c>
      <c r="M30" s="1">
        <f t="shared" si="5"/>
        <v>5.3834952739993683E-2</v>
      </c>
      <c r="N30" s="158">
        <f t="shared" si="6"/>
        <v>72428.54846854572</v>
      </c>
      <c r="O30" s="1">
        <f t="shared" si="3"/>
        <v>3.0206880812655913E-2</v>
      </c>
    </row>
    <row r="31" spans="1:16" x14ac:dyDescent="0.15">
      <c r="A31" s="101">
        <v>42466</v>
      </c>
      <c r="B31" s="164">
        <f>中航光电!E36+东方国信!E36+积成电子!E36+洲际油气!E36+老板电器!E36+德润电子!E36</f>
        <v>2397750</v>
      </c>
      <c r="C31" s="38">
        <f>中航光电!R36+东方国信!R36+积成电子!R36+洲际油气!R36+老板电器!R36+德润电子!R36</f>
        <v>-1865.2886017391174</v>
      </c>
      <c r="D31" s="164">
        <f>中航光电!G36+东方国信!G36+积成电子!G36+洲际油气!G36+老板电器!G36+德润电子!G36</f>
        <v>2732712.180948454</v>
      </c>
      <c r="E31" s="168">
        <f t="shared" si="0"/>
        <v>-6.825777755679063E-4</v>
      </c>
      <c r="F31" s="38">
        <f>中航光电!V36+东方国信!V36+积成电子!V36+洲际油气!V36+老板电器!V36+德润电子!V36</f>
        <v>209808.20505784775</v>
      </c>
      <c r="G31" s="164">
        <f>中航光电!W36+东方国信!W36+积成电子!W36+洲际油气!W36+老板电器!W36+德润电子!W36</f>
        <v>404190.91622866783</v>
      </c>
      <c r="H31" s="168">
        <f t="shared" si="1"/>
        <v>8.7502118677029617E-2</v>
      </c>
      <c r="I31" s="168">
        <f t="shared" si="2"/>
        <v>0.16857091699662927</v>
      </c>
      <c r="J31" s="164">
        <f>中航光电!H36+东方国信!H36+积成电子!H36+洲际油气!H36+老板电器!H36+德润电子!H36</f>
        <v>2730846.8923467151</v>
      </c>
      <c r="K31" s="180">
        <f>中航光电!F36+东方国信!F36+积成电子!F36+洲际油气!F36+老板电器!F36+德润电子!F36</f>
        <v>2937859</v>
      </c>
      <c r="L31" s="180">
        <f t="shared" si="4"/>
        <v>10118.353898318368</v>
      </c>
      <c r="M31" s="1">
        <f t="shared" si="5"/>
        <v>4.2199369818864962E-3</v>
      </c>
      <c r="N31" s="158">
        <f t="shared" si="6"/>
        <v>-3071.5884384045203</v>
      </c>
      <c r="O31" s="1">
        <f t="shared" si="3"/>
        <v>-1.2810294811404527E-3</v>
      </c>
    </row>
    <row r="32" spans="1:16" x14ac:dyDescent="0.15">
      <c r="A32" s="101">
        <v>42467</v>
      </c>
      <c r="B32" s="164">
        <f>中航光电!E37+东方国信!E37+积成电子!E37+洲际油气!E37+老板电器!E37+德润电子!E37</f>
        <v>2397750</v>
      </c>
      <c r="C32" s="38">
        <f>中航光电!R37+东方国信!R37+积成电子!R37+洲际油气!R37+老板电器!R37+德润电子!R37</f>
        <v>-17766.98663217315</v>
      </c>
      <c r="D32" s="164">
        <f>中航光电!G37+东方国信!G37+积成电子!G37+洲际油气!G37+老板电器!G37+德润电子!G37</f>
        <v>2730846.8923467151</v>
      </c>
      <c r="E32" s="168">
        <f t="shared" si="0"/>
        <v>-6.5060354287769457E-3</v>
      </c>
      <c r="F32" s="38">
        <f>中航光电!V37+东方国信!V37+积成电子!V37+洲际油气!V37+老板电器!V37+德润电子!V37</f>
        <v>189652.85676042514</v>
      </c>
      <c r="G32" s="164">
        <f>中航光电!W37+东方国信!W37+积成电子!W37+洲际油气!W37+老板电器!W37+德润电子!W37</f>
        <v>350505.90816963208</v>
      </c>
      <c r="H32" s="168">
        <f t="shared" si="1"/>
        <v>7.9096176315472902E-2</v>
      </c>
      <c r="I32" s="168">
        <f t="shared" si="2"/>
        <v>0.14618117325393892</v>
      </c>
      <c r="J32" s="164">
        <f>中航光电!H37+东方国信!H37+积成电子!H37+洲际油气!H37+老板电器!H37+德润电子!H37</f>
        <v>2713079.9057145417</v>
      </c>
      <c r="K32" s="180">
        <f>中航光电!F37+东方国信!F37+积成电子!F37+洲际油气!F37+老板电器!F37+德润电子!F37</f>
        <v>2882585</v>
      </c>
      <c r="L32" s="180">
        <f t="shared" si="4"/>
        <v>-53685.008059035754</v>
      </c>
      <c r="M32" s="1">
        <f t="shared" si="5"/>
        <v>-2.2389743742690343E-2</v>
      </c>
      <c r="N32" s="158">
        <f t="shared" si="6"/>
        <v>-20155.348297422606</v>
      </c>
      <c r="O32" s="1">
        <f t="shared" si="3"/>
        <v>-8.4059423615567112E-3</v>
      </c>
      <c r="P32" s="176"/>
    </row>
    <row r="33" spans="1:15" x14ac:dyDescent="0.15">
      <c r="A33" s="101">
        <v>42468</v>
      </c>
      <c r="B33" s="164">
        <f>中航光电!E38+东方国信!E38+积成电子!E38+洲际油气!E38+老板电器!E38+德润电子!E38</f>
        <v>2397750</v>
      </c>
      <c r="C33" s="38">
        <f>中航光电!R38+东方国信!R38+积成电子!R38+洲际油气!R38+老板电器!R38+德润电子!R38</f>
        <v>-35090.579394670931</v>
      </c>
      <c r="D33" s="164">
        <f>中航光电!G38+东方国信!G38+积成电子!G38+洲际油气!G38+老板电器!G38+德润电子!G38</f>
        <v>2713079.9057145417</v>
      </c>
      <c r="E33" s="168">
        <f t="shared" si="0"/>
        <v>-1.2933854001409941E-2</v>
      </c>
      <c r="F33" s="38">
        <f>中航光电!V38+东方国信!V38+积成电子!V38+洲际油气!V38+老板电器!V38+德润电子!V38</f>
        <v>153266.63052021377</v>
      </c>
      <c r="G33" s="164">
        <f>中航光电!W38+东方国信!W38+积成电子!W38+洲际油气!W38+老板电器!W38+德润电子!W38</f>
        <v>292149.17135115952</v>
      </c>
      <c r="H33" s="168">
        <f t="shared" si="1"/>
        <v>6.3921022008221778E-2</v>
      </c>
      <c r="I33" s="168">
        <f t="shared" si="2"/>
        <v>0.12184304925499302</v>
      </c>
      <c r="J33" s="164">
        <f>中航光电!H38+东方国信!H38+积成电子!H38+洲际油气!H38+老板电器!H38+德润电子!H38</f>
        <v>2677989.326319871</v>
      </c>
      <c r="K33" s="180">
        <f>中航光电!F38+东方国信!F38+积成电子!F38+洲际油气!F38+老板电器!F38+德润电子!F38</f>
        <v>2822601</v>
      </c>
      <c r="L33" s="180">
        <f t="shared" si="4"/>
        <v>-58356.736818472564</v>
      </c>
      <c r="M33" s="1">
        <f t="shared" si="5"/>
        <v>-2.4338123998945901E-2</v>
      </c>
      <c r="N33" s="158">
        <f t="shared" si="6"/>
        <v>-36386.22624021137</v>
      </c>
      <c r="O33" s="1">
        <f t="shared" si="3"/>
        <v>-1.5175154307251118E-2</v>
      </c>
    </row>
    <row r="34" spans="1:15" x14ac:dyDescent="0.15">
      <c r="A34" s="101">
        <v>42471</v>
      </c>
      <c r="B34" s="164">
        <f>中航光电!E39+东方国信!E39+积成电子!E39+洲际油气!E39+老板电器!E39+德润电子!E39</f>
        <v>2397750</v>
      </c>
      <c r="C34" s="38">
        <f>中航光电!R39+东方国信!R39+积成电子!R39+洲际油气!R39+老板电器!R39+德润电子!R39</f>
        <v>17864.555511176757</v>
      </c>
      <c r="D34" s="164">
        <f>中航光电!G39+东方国信!G39+积成电子!G39+洲际油气!G39+老板电器!G39+德润电子!G39</f>
        <v>2677989.326319871</v>
      </c>
      <c r="E34" s="168">
        <f t="shared" si="0"/>
        <v>6.6708837617834981E-3</v>
      </c>
      <c r="F34" s="38">
        <f>中航光电!V39+东方国信!V39+积成电子!V39+洲际油气!V39+老板电器!V39+德润电子!V39</f>
        <v>170697.68146772613</v>
      </c>
      <c r="G34" s="164">
        <f>中航光电!W39+东方国信!W39+积成电子!W39+洲际油气!W39+老板电器!W39+德润电子!W39</f>
        <v>356129.67365125637</v>
      </c>
      <c r="H34" s="168">
        <f t="shared" si="1"/>
        <v>7.1190775296726572E-2</v>
      </c>
      <c r="I34" s="168">
        <f t="shared" si="2"/>
        <v>0.14852660771609066</v>
      </c>
      <c r="J34" s="164">
        <f>中航光电!H39+东方国信!H39+积成电子!H39+洲际油气!H39+老板电器!H39+德润电子!H39</f>
        <v>2695853.8818310476</v>
      </c>
      <c r="K34" s="180">
        <f>中航光电!F39+东方国信!F39+积成电子!F39+洲际油气!F39+老板电器!F39+德润电子!F39</f>
        <v>2892937</v>
      </c>
      <c r="L34" s="180">
        <f t="shared" si="4"/>
        <v>63980.50230009685</v>
      </c>
      <c r="M34" s="1">
        <f t="shared" si="5"/>
        <v>2.6683558461097642E-2</v>
      </c>
      <c r="N34" s="158">
        <f t="shared" si="6"/>
        <v>17431.050947512354</v>
      </c>
      <c r="O34" s="1">
        <f t="shared" si="3"/>
        <v>7.2697532885047872E-3</v>
      </c>
    </row>
    <row r="35" spans="1:15" x14ac:dyDescent="0.15">
      <c r="A35" s="101">
        <v>42472</v>
      </c>
      <c r="B35" s="164">
        <f>中航光电!E40+东方国信!E40+积成电子!E40+洲际油气!E40+老板电器!E40+德润电子!E40</f>
        <v>2397750</v>
      </c>
      <c r="C35" s="38">
        <f>中航光电!R40+东方国信!R40+积成电子!R40+洲际油气!R40+老板电器!R40+德润电子!R40</f>
        <v>9442.695202077146</v>
      </c>
      <c r="D35" s="164">
        <f>中航光电!G40+东方国信!G40+积成电子!G40+洲际油气!G40+老板电器!G40+德润电子!G40</f>
        <v>2695853.8818310476</v>
      </c>
      <c r="E35" s="168">
        <f t="shared" si="0"/>
        <v>3.502673221912007E-3</v>
      </c>
      <c r="F35" s="38">
        <f>中航光电!V40+东方国信!V40+积成电子!V40+洲际油气!V40+老板电器!V40+德润电子!V40</f>
        <v>179657.01913741394</v>
      </c>
      <c r="G35" s="164">
        <f>中航光电!W40+东方国信!W40+积成电子!W40+洲际油气!W40+老板电器!W40+德润电子!W40</f>
        <v>346657.3331986079</v>
      </c>
      <c r="H35" s="168">
        <f t="shared" si="1"/>
        <v>7.4927335684459986E-2</v>
      </c>
      <c r="I35" s="168">
        <f t="shared" si="2"/>
        <v>0.14457609558903467</v>
      </c>
      <c r="J35" s="164">
        <f>中航光电!H40+东方国信!H40+积成电子!H40+洲际油气!H40+老板电器!H40+德润电子!H40</f>
        <v>2705296.5770331249</v>
      </c>
      <c r="K35" s="180">
        <f>中航光电!F40+东方国信!F40+积成电子!F40+洲际油气!F40+老板电器!F40+德润电子!F40</f>
        <v>2884065</v>
      </c>
      <c r="L35" s="180">
        <f t="shared" si="4"/>
        <v>-9472.3404526484665</v>
      </c>
      <c r="M35" s="1">
        <f t="shared" si="5"/>
        <v>-3.950512127055994E-3</v>
      </c>
      <c r="N35" s="158">
        <f t="shared" si="6"/>
        <v>8959.3376696878113</v>
      </c>
      <c r="O35" s="1">
        <f t="shared" si="3"/>
        <v>3.7365603877334216E-3</v>
      </c>
    </row>
    <row r="36" spans="1:15" x14ac:dyDescent="0.15">
      <c r="A36" s="101">
        <v>42473</v>
      </c>
      <c r="B36" s="164">
        <f>中航光电!E41+东方国信!E41+积成电子!E41+洲际油气!E41+老板电器!E41+德润电子!E41</f>
        <v>2397750</v>
      </c>
      <c r="C36" s="38">
        <f>中航光电!R41+东方国信!R41+积成电子!R41+洲际油气!R41+老板电器!R41+德润电子!R41</f>
        <v>-21725.070334493383</v>
      </c>
      <c r="D36" s="164">
        <f>中航光电!G41+东方国信!G41+积成电子!G41+洲际油气!G41+老板电器!G41+德润电子!G41</f>
        <v>2705296.5770331249</v>
      </c>
      <c r="E36" s="168">
        <f t="shared" si="0"/>
        <v>-8.0305688178259095E-3</v>
      </c>
      <c r="F36" s="38">
        <f>中航光电!V41+东方国信!V41+积成电子!V41+洲际油气!V41+老板电器!V41+德润电子!V41</f>
        <v>159212.96425539185</v>
      </c>
      <c r="G36" s="164">
        <f>中航光电!W41+东方国信!W41+积成电子!W41+洲际油气!W41+老板电器!W41+德润电子!W41</f>
        <v>358601.64670463454</v>
      </c>
      <c r="H36" s="168">
        <f t="shared" si="1"/>
        <v>6.6400986030817163E-2</v>
      </c>
      <c r="I36" s="168">
        <f t="shared" si="2"/>
        <v>0.14955756300891859</v>
      </c>
      <c r="J36" s="164">
        <f>中航光电!H41+东方国信!H41+积成电子!H41+洲际油气!H41+老板电器!H41+德润电子!H41</f>
        <v>2683571.5066986317</v>
      </c>
      <c r="K36" s="180">
        <f>中航光电!F41+东方国信!F41+积成电子!F41+洲际油气!F41+老板电器!F41+德润电子!F41</f>
        <v>2895269</v>
      </c>
      <c r="L36" s="180">
        <f t="shared" si="4"/>
        <v>11944.313506026636</v>
      </c>
      <c r="M36" s="1">
        <f t="shared" si="5"/>
        <v>4.9814674198839226E-3</v>
      </c>
      <c r="N36" s="158">
        <f t="shared" si="6"/>
        <v>-20444.054882022087</v>
      </c>
      <c r="O36" s="1">
        <f t="shared" si="3"/>
        <v>-8.5263496536428264E-3</v>
      </c>
    </row>
    <row r="37" spans="1:15" x14ac:dyDescent="0.15">
      <c r="A37" s="101">
        <v>42474</v>
      </c>
      <c r="B37" s="164">
        <f>中航光电!E42+东方国信!E42+积成电子!E42+洲际油气!E42+老板电器!E42+德润电子!E42</f>
        <v>2397750</v>
      </c>
      <c r="C37" s="38">
        <f>中航光电!R42+东方国信!R42+积成电子!R42+洲际油气!R42+老板电器!R42+德润电子!R42</f>
        <v>-11377.675809191966</v>
      </c>
      <c r="D37" s="164">
        <f>中航光电!G42+东方国信!G42+积成电子!G42+洲际油气!G42+老板电器!G42+德润电子!G42</f>
        <v>2683571.5066986317</v>
      </c>
      <c r="E37" s="168">
        <f t="shared" si="0"/>
        <v>-4.2397513093246943E-3</v>
      </c>
      <c r="F37" s="38">
        <f>中航光电!V42+东方国信!V42+积成电子!V42+洲际油气!V42+老板电器!V42+德润电子!V42</f>
        <v>148296.97982846168</v>
      </c>
      <c r="G37" s="164">
        <f>中航光电!W42+东方国信!W42+积成电子!W42+洲际油气!W42+老板电器!W42+德润电子!W42</f>
        <v>367212.64490139089</v>
      </c>
      <c r="H37" s="168">
        <f t="shared" si="1"/>
        <v>6.1848391128542041E-2</v>
      </c>
      <c r="I37" s="168">
        <f t="shared" si="2"/>
        <v>0.15314884575180518</v>
      </c>
      <c r="J37" s="164">
        <f>中航光电!H42+东方国信!H42+积成电子!H42+洲际油气!H42+老板电器!H42+德润电子!H42</f>
        <v>2672193.8308894397</v>
      </c>
      <c r="K37" s="180">
        <f>中航光电!F42+东方国信!F42+积成电子!F42+洲际油气!F42+老板电器!F42+德润电子!F42</f>
        <v>2904296</v>
      </c>
      <c r="L37" s="180">
        <f t="shared" si="4"/>
        <v>8610.9981967563508</v>
      </c>
      <c r="M37" s="1">
        <f t="shared" si="5"/>
        <v>3.5912827428865868E-3</v>
      </c>
      <c r="N37" s="158">
        <f t="shared" si="6"/>
        <v>-10915.984426930168</v>
      </c>
      <c r="O37" s="1">
        <f t="shared" si="3"/>
        <v>-4.5525949022751202E-3</v>
      </c>
    </row>
    <row r="38" spans="1:15" x14ac:dyDescent="0.15">
      <c r="A38" s="101">
        <v>42475</v>
      </c>
      <c r="B38" s="164">
        <f>中航光电!E43+东方国信!E43+积成电子!E43+洲际油气!E43+老板电器!E43+德润电子!E43</f>
        <v>2397750</v>
      </c>
      <c r="C38" s="38">
        <f>中航光电!R43+东方国信!R43+积成电子!R43+洲际油气!R43+老板电器!R43+德润电子!R43</f>
        <v>54547.599028121636</v>
      </c>
      <c r="D38" s="164">
        <f>中航光电!G43+东方国信!G43+积成电子!G43+洲际油气!G43+老板电器!G43+德润电子!G43</f>
        <v>2672193.8308894397</v>
      </c>
      <c r="E38" s="168">
        <f t="shared" si="0"/>
        <v>2.0413039801819119E-2</v>
      </c>
      <c r="F38" s="38">
        <f>中航光电!V43+东方国信!V43+积成电子!V43+洲际油气!V43+老板电器!V43+德润电子!V43</f>
        <v>206727.72753176041</v>
      </c>
      <c r="G38" s="164">
        <f>中航光电!W43+东方国信!W43+积成电子!W43+洲际油气!W43+老板电器!W43+德润电子!W43</f>
        <v>418370.82772125612</v>
      </c>
      <c r="H38" s="168">
        <f t="shared" si="1"/>
        <v>8.6217381933796439E-2</v>
      </c>
      <c r="I38" s="168">
        <f t="shared" si="2"/>
        <v>0.17448475767751273</v>
      </c>
      <c r="J38" s="164">
        <f>中航光电!H43+东方国信!H43+积成电子!H43+洲际油气!H43+老板电器!H43+德润电子!H43</f>
        <v>2726741.4299175614</v>
      </c>
      <c r="K38" s="180">
        <f>中航光电!F43+东方国信!F43+积成电子!F43+洲际油气!F43+老板电器!F43+德润电子!F43</f>
        <v>2956669</v>
      </c>
      <c r="L38" s="180">
        <f t="shared" si="4"/>
        <v>51158.182819865237</v>
      </c>
      <c r="M38" s="1">
        <f t="shared" si="5"/>
        <v>2.1335911925707551E-2</v>
      </c>
      <c r="N38" s="158">
        <f t="shared" si="6"/>
        <v>58430.747703298723</v>
      </c>
      <c r="O38" s="1">
        <f t="shared" si="3"/>
        <v>2.4368990805254395E-2</v>
      </c>
    </row>
    <row r="39" spans="1:15" x14ac:dyDescent="0.15">
      <c r="A39" s="101">
        <v>42478</v>
      </c>
      <c r="B39" s="164">
        <f>中航光电!E44+东方国信!E44+积成电子!E44+洲际油气!E44+老板电器!E44+德润电子!E44</f>
        <v>2397750</v>
      </c>
      <c r="C39" s="38">
        <f>中航光电!R44+东方国信!R44+积成电子!R44+洲际油气!R44+老板电器!R44+德润电子!R44</f>
        <v>24721.397240667444</v>
      </c>
      <c r="D39" s="164">
        <f>中航光电!G44+东方国信!G44+积成电子!G44+洲际油气!G44+老板电器!G44+德润电子!G44</f>
        <v>2726741.4299175614</v>
      </c>
      <c r="E39" s="168">
        <f t="shared" si="0"/>
        <v>9.0662785145032461E-3</v>
      </c>
      <c r="F39" s="38">
        <f>中航光电!V44+东方国信!V44+积成电子!V44+洲际油气!V44+老板电器!V44+德润电子!V44</f>
        <v>230523.32288018297</v>
      </c>
      <c r="G39" s="164">
        <f>中航光电!W44+东方国信!W44+积成电子!W44+洲际油气!W44+老板电器!W44+德润电子!W44</f>
        <v>410868.95871633058</v>
      </c>
      <c r="H39" s="168">
        <f t="shared" si="1"/>
        <v>9.6141517205789992E-2</v>
      </c>
      <c r="I39" s="168">
        <f t="shared" si="2"/>
        <v>0.1713560457580359</v>
      </c>
      <c r="J39" s="164">
        <f>中航光电!H44+东方国信!H44+积成电子!H44+洲际油气!H44+老板电器!H44+德润电子!H44</f>
        <v>2751462.8271582285</v>
      </c>
      <c r="K39" s="180">
        <f>中航光电!F44+东方国信!F44+积成电子!F44+洲际油气!F44+老板电器!F44+德润电子!F44</f>
        <v>2944926</v>
      </c>
      <c r="L39" s="180">
        <f t="shared" si="4"/>
        <v>-7501.8690049255383</v>
      </c>
      <c r="M39" s="1">
        <f t="shared" si="5"/>
        <v>-3.1287119194768342E-3</v>
      </c>
      <c r="N39" s="158">
        <f t="shared" si="6"/>
        <v>23795.595348422561</v>
      </c>
      <c r="O39" s="1">
        <f t="shared" si="3"/>
        <v>9.9241352719935602E-3</v>
      </c>
    </row>
    <row r="40" spans="1:15" x14ac:dyDescent="0.15">
      <c r="A40" s="101">
        <v>42479</v>
      </c>
      <c r="B40" s="164">
        <f>中航光电!E45+东方国信!E45+积成电子!E45+洲际油气!E45+老板电器!E45+德润电子!E45</f>
        <v>1698930</v>
      </c>
      <c r="C40" s="38">
        <f>中航光电!R45+东方国信!R45+积成电子!R45+洲际油气!R45+老板电器!R45+德润电子!R45</f>
        <v>-30481.508734985469</v>
      </c>
      <c r="D40" s="164">
        <f>中航光电!G45+东方国信!G45+积成电子!G45+洲际油气!G45+老板电器!G45+德润电子!G45</f>
        <v>2002559.8092693251</v>
      </c>
      <c r="E40" s="168">
        <f t="shared" si="0"/>
        <v>-1.5221272590159127E-2</v>
      </c>
      <c r="F40" s="38">
        <f>中航光电!V45+东方国信!V45+积成电子!V45+洲际油气!V45+老板电器!V45+德润电子!V45</f>
        <v>148534.43302661562</v>
      </c>
      <c r="G40" s="164">
        <f>中航光电!W45+东方国信!W45+积成电子!W45+洲际油气!W45+老板电器!W45+德润电子!W45</f>
        <v>302627.81475201179</v>
      </c>
      <c r="H40" s="168">
        <f t="shared" si="1"/>
        <v>8.7428224250920061E-2</v>
      </c>
      <c r="I40" s="168">
        <f t="shared" si="2"/>
        <v>0.17812847777837332</v>
      </c>
      <c r="J40" s="164">
        <f>中航光电!H45+东方国信!H45+积成电子!H45+洲际油气!H45+老板电器!H45+德润电子!H45</f>
        <v>1972078.3005343396</v>
      </c>
      <c r="K40" s="180">
        <f>中航光电!F45+东方国信!F45+积成电子!F45+洲际油气!F45+老板电器!F45+德润电子!F45</f>
        <v>2136434</v>
      </c>
      <c r="L40" s="180">
        <f t="shared" si="4"/>
        <v>-108241.14396431879</v>
      </c>
      <c r="M40" s="1">
        <f t="shared" si="5"/>
        <v>6.7724320203374211E-3</v>
      </c>
      <c r="N40" s="158">
        <f t="shared" si="6"/>
        <v>-81988.889853567351</v>
      </c>
      <c r="O40" s="1">
        <f t="shared" si="3"/>
        <v>-4.825913360383733E-2</v>
      </c>
    </row>
    <row r="41" spans="1:15" x14ac:dyDescent="0.15">
      <c r="A41" s="101">
        <v>42480</v>
      </c>
      <c r="B41" s="164">
        <f>中航光电!E46+东方国信!E46+积成电子!E46+洲际油气!E46+老板电器!E46+德润电子!E46</f>
        <v>1698930</v>
      </c>
      <c r="C41" s="38">
        <f>中航光电!R46+东方国信!R46+积成电子!R46+洲际油气!R46+老板电器!R46+德润电子!R46</f>
        <v>79282.454101610856</v>
      </c>
      <c r="D41" s="164">
        <f>中航光电!G46+东方国信!G46+积成电子!G46+洲际油气!G46+老板电器!G46+德润电子!G46</f>
        <v>1972078.3005343396</v>
      </c>
      <c r="E41" s="168">
        <f t="shared" si="0"/>
        <v>4.0202487943875792E-2</v>
      </c>
      <c r="F41" s="38">
        <f>中航光电!V46+东方国信!V46+积成电子!V46+洲际油气!V46+老板电器!V46+德润电子!V46</f>
        <v>225859.26078183192</v>
      </c>
      <c r="G41" s="164">
        <f>中航光电!W46+东方国信!W46+积成电子!W46+洲际油气!W46+老板电器!W46+德润电子!W46</f>
        <v>302470.23042561038</v>
      </c>
      <c r="H41" s="168">
        <f t="shared" si="1"/>
        <v>0.13294206399429753</v>
      </c>
      <c r="I41" s="168">
        <f t="shared" si="2"/>
        <v>0.17803572273466853</v>
      </c>
      <c r="J41" s="164">
        <f>中航光电!H46+东方国信!H46+积成电子!H46+洲际油气!H46+老板电器!H46+德润电子!H46</f>
        <v>2051360.7546359506</v>
      </c>
      <c r="K41" s="180">
        <f>中航光电!F46+东方国信!F46+积成电子!F46+洲际油气!F46+老板电器!F46+德润电子!F46</f>
        <v>2138632</v>
      </c>
      <c r="L41" s="180">
        <f t="shared" si="4"/>
        <v>-157.58432640141109</v>
      </c>
      <c r="M41" s="1">
        <f t="shared" si="5"/>
        <v>-9.2755043704789708E-5</v>
      </c>
      <c r="N41" s="158">
        <f t="shared" si="6"/>
        <v>77324.827755216305</v>
      </c>
      <c r="O41" s="1">
        <f t="shared" si="3"/>
        <v>4.5513839743377485E-2</v>
      </c>
    </row>
    <row r="42" spans="1:15" x14ac:dyDescent="0.15">
      <c r="A42" s="101">
        <v>42481</v>
      </c>
      <c r="B42" s="164">
        <f>中航光电!E47+东方国信!E47+积成电子!E47+洲际油气!E47+老板电器!E47+德润电子!E47</f>
        <v>2706801</v>
      </c>
      <c r="C42" s="38">
        <f>中航光电!R47+东方国信!R47+积成电子!R47+洲际油气!R47+老板电器!R47+德润电子!R47</f>
        <v>-22666.650878957393</v>
      </c>
      <c r="D42" s="164">
        <f>中航光电!G47+东方国信!G47+积成电子!G47+洲际油气!G47+老板电器!G47+德润电子!G47</f>
        <v>3059231.7547999504</v>
      </c>
      <c r="E42" s="168">
        <f t="shared" si="0"/>
        <v>-7.4092624213230335E-3</v>
      </c>
      <c r="F42" s="38">
        <f>中航光电!V47+东方国信!V47+积成电子!V47+洲际油气!V47+老板电器!V47+德润电子!V47</f>
        <v>200833.92534327233</v>
      </c>
      <c r="G42" s="164">
        <f>中航光电!W47+东方国信!W47+积成电子!W47+洲际油气!W47+老板电器!W47+德润电子!W47</f>
        <v>264905.92848307954</v>
      </c>
      <c r="H42" s="168">
        <f t="shared" si="1"/>
        <v>7.419604372219174E-2</v>
      </c>
      <c r="I42" s="168">
        <f t="shared" si="2"/>
        <v>9.7866791272457607E-2</v>
      </c>
      <c r="J42" s="164">
        <f>中航光电!H47+东方国信!H47+积成电子!H47+洲际油气!H47+老板电器!H47+德润电子!H47</f>
        <v>3036565.1039209934</v>
      </c>
      <c r="K42" s="180">
        <f>中航光电!F47+东方国信!F47+积成电子!F47+洲际油气!F47+老板电器!F47+德润电子!F47</f>
        <v>3106585</v>
      </c>
      <c r="L42" s="180">
        <f t="shared" si="4"/>
        <v>-37564.301942530845</v>
      </c>
      <c r="M42" s="1">
        <f t="shared" si="5"/>
        <v>-8.0168931462210921E-2</v>
      </c>
      <c r="N42" s="158">
        <f t="shared" si="6"/>
        <v>-25025.335438559589</v>
      </c>
      <c r="O42" s="1">
        <f t="shared" si="3"/>
        <v>-9.2453547337094932E-3</v>
      </c>
    </row>
    <row r="43" spans="1:15" x14ac:dyDescent="0.15">
      <c r="A43" s="101">
        <v>42482</v>
      </c>
      <c r="B43" s="164">
        <f>中航光电!E48+东方国信!E48+积成电子!E48+洲际油气!E48+老板电器!E48+德润电子!E48</f>
        <v>4968574</v>
      </c>
      <c r="C43" s="38">
        <f>中航光电!R48+东方国信!R48+积成电子!R48+洲际油气!R48+老板电器!R48+德润电子!R48</f>
        <v>21843.237006802454</v>
      </c>
      <c r="D43" s="164">
        <f>中航光电!G48+东方国信!G48+积成电子!G48+洲际油气!G48+老板电器!G48+德润电子!G48</f>
        <v>5298338.1039209934</v>
      </c>
      <c r="E43" s="168">
        <f t="shared" si="0"/>
        <v>4.1226581955269214E-3</v>
      </c>
      <c r="F43" s="38">
        <f>中航光电!V48+东方国信!V48+积成电子!V48+洲际油气!V48+老板电器!V48+德润电子!V48</f>
        <v>223998.98333538393</v>
      </c>
      <c r="G43" s="164">
        <f>中航光电!W48+东方国信!W48+积成电子!W48+洲际油气!W48+老板电器!W48+德润电子!W48</f>
        <v>317654.0273300017</v>
      </c>
      <c r="H43" s="168">
        <f t="shared" si="1"/>
        <v>4.5083153302211847E-2</v>
      </c>
      <c r="I43" s="168">
        <f t="shared" si="2"/>
        <v>6.3932634862639004E-2</v>
      </c>
      <c r="J43" s="164">
        <f>中航光电!H48+东方国信!H48+积成电子!H48+洲际油气!H48+老板电器!H48+德润电子!H48</f>
        <v>5320181.3409277964</v>
      </c>
      <c r="K43" s="180">
        <f>中航光电!F48+东方国信!F48+积成电子!F48+洲际油气!F48+老板电器!F48+德润电子!F48</f>
        <v>5422111</v>
      </c>
      <c r="L43" s="180">
        <f t="shared" si="4"/>
        <v>52748.098846922163</v>
      </c>
      <c r="M43" s="1">
        <f t="shared" si="5"/>
        <v>-3.3934156409818603E-2</v>
      </c>
      <c r="N43" s="158">
        <f t="shared" si="6"/>
        <v>23165.0579921116</v>
      </c>
      <c r="O43" s="1">
        <f t="shared" si="3"/>
        <v>4.6623151818029878E-3</v>
      </c>
    </row>
    <row r="44" spans="1:15" x14ac:dyDescent="0.15">
      <c r="A44" s="101">
        <v>42485</v>
      </c>
      <c r="B44" s="164">
        <f>中航光电!E49+东方国信!E49+积成电子!E49+洲际油气!E49+老板电器!E49+德润电子!E49</f>
        <v>4968574</v>
      </c>
      <c r="C44" s="38">
        <f>中航光电!R49+东方国信!R49+积成电子!R49+洲际油气!R49+老板电器!R49+德润电子!R49</f>
        <v>-158524.41197059574</v>
      </c>
      <c r="D44" s="164">
        <f>中航光电!G49+东方国信!G49+积成电子!G49+洲际油气!G49+老板电器!G49+德润电子!G49</f>
        <v>5320181.3409277964</v>
      </c>
      <c r="E44" s="168">
        <f t="shared" si="0"/>
        <v>-2.9796806125963814E-2</v>
      </c>
      <c r="F44" s="38">
        <f>中航光电!V49+东方国信!V49+积成电子!V49+洲际油气!V49+老板电器!V49+德润电子!V49</f>
        <v>71532.662544087041</v>
      </c>
      <c r="G44" s="164">
        <f>中航光电!W49+东方国信!W49+积成电子!W49+洲际油气!W49+老板电器!W49+德润电子!W49</f>
        <v>142340.02731466558</v>
      </c>
      <c r="H44" s="168">
        <f t="shared" si="1"/>
        <v>1.4397020663089056E-2</v>
      </c>
      <c r="I44" s="168">
        <f t="shared" si="2"/>
        <v>2.8648064276523926E-2</v>
      </c>
      <c r="J44" s="164">
        <f>中航光电!H49+东方国信!H49+积成电子!H49+洲际油气!H49+老板电器!H49+德润电子!H49</f>
        <v>5161656.9289571997</v>
      </c>
      <c r="K44" s="180">
        <f>中航光电!F49+东方国信!F49+积成电子!F49+洲际油气!F49+老板电器!F49+德润电子!F49</f>
        <v>5233886</v>
      </c>
      <c r="L44" s="180">
        <f t="shared" si="4"/>
        <v>-175314.00001533612</v>
      </c>
      <c r="M44" s="1">
        <f t="shared" si="5"/>
        <v>-3.5284570586115074E-2</v>
      </c>
      <c r="N44" s="158">
        <f t="shared" si="6"/>
        <v>-152466.32079129689</v>
      </c>
      <c r="O44" s="1">
        <f t="shared" si="3"/>
        <v>-3.0686132639122794E-2</v>
      </c>
    </row>
    <row r="45" spans="1:15" x14ac:dyDescent="0.15">
      <c r="A45" s="101">
        <v>42486</v>
      </c>
      <c r="B45" s="164">
        <f>中航光电!E50+东方国信!E50+积成电子!E50+洲际油气!E50+老板电器!E50+德润电子!E50</f>
        <v>4968574</v>
      </c>
      <c r="C45" s="38">
        <f>中航光电!R50+东方国信!R50+积成电子!R50+洲际油气!R50+老板电器!R50+德润电子!R50</f>
        <v>9203.9707817264716</v>
      </c>
      <c r="D45" s="164">
        <f>中航光电!G50+东方国信!G50+积成电子!G50+洲际油气!G50+老板电器!G50+德润电子!G50</f>
        <v>5161656.9289571997</v>
      </c>
      <c r="E45" s="168">
        <f t="shared" si="0"/>
        <v>1.7831426823607074E-3</v>
      </c>
      <c r="F45" s="38">
        <f>中航光电!V50+东方国信!V50+积成电子!V50+洲际油气!V50+老板电器!V50+德润电子!V50</f>
        <v>80169.439357591822</v>
      </c>
      <c r="G45" s="164">
        <f>中航光电!W50+东方国信!W50+积成电子!W50+洲际油气!W50+老板电器!W50+德润电子!W50</f>
        <v>189130.97070011412</v>
      </c>
      <c r="H45" s="168">
        <f t="shared" si="1"/>
        <v>1.6135301468306967E-2</v>
      </c>
      <c r="I45" s="168">
        <f t="shared" si="2"/>
        <v>3.8065443062760891E-2</v>
      </c>
      <c r="J45" s="164">
        <f>中航光电!H50+东方国信!H50+积成电子!H50+洲际油气!H50+老板电器!H50+德润电子!H50</f>
        <v>5170860.8997389264</v>
      </c>
      <c r="K45" s="180">
        <f>中航光电!F50+东方国信!F50+积成电子!F50+洲际油气!F50+老板电器!F50+德润电子!F50</f>
        <v>5283760</v>
      </c>
      <c r="L45" s="180">
        <f t="shared" si="4"/>
        <v>46790.94338544854</v>
      </c>
      <c r="M45" s="1">
        <f t="shared" si="5"/>
        <v>9.417378786236965E-3</v>
      </c>
      <c r="N45" s="158">
        <f t="shared" si="6"/>
        <v>8636.7768135047809</v>
      </c>
      <c r="O45" s="1">
        <f t="shared" si="3"/>
        <v>1.7382808052179117E-3</v>
      </c>
    </row>
    <row r="46" spans="1:15" x14ac:dyDescent="0.15">
      <c r="A46" s="101">
        <v>42487</v>
      </c>
      <c r="B46" s="164">
        <f>中航光电!E51+东方国信!E51+积成电子!E51+洲际油气!E51+老板电器!E51+德润电子!E51</f>
        <v>5478574</v>
      </c>
      <c r="C46" s="38">
        <f>中航光电!R51+东方国信!R51+积成电子!R51+洲际油气!R51+老板电器!R51+德润电子!R51</f>
        <v>86385.438030736594</v>
      </c>
      <c r="D46" s="164">
        <f>中航光电!G51+东方国信!G51+积成电子!G51+洲际油气!G51+老板电器!G51+德润电子!G51</f>
        <v>5680860.8997389264</v>
      </c>
      <c r="E46" s="168">
        <f t="shared" si="0"/>
        <v>1.520639909255771E-2</v>
      </c>
      <c r="F46" s="38">
        <f>中航光电!V51+东方国信!V51+积成电子!V51+洲际油气!V51+老板电器!V51+德润电子!V51</f>
        <v>168723.48776612873</v>
      </c>
      <c r="G46" s="164">
        <f>中航光电!W51+东方国信!W51+积成电子!W51+洲际油气!W51+老板电器!W51+德润电子!W51</f>
        <v>256089.80812049221</v>
      </c>
      <c r="H46" s="168">
        <f t="shared" si="1"/>
        <v>3.0796971578029016E-2</v>
      </c>
      <c r="I46" s="168">
        <f t="shared" si="2"/>
        <v>4.6743880455113358E-2</v>
      </c>
      <c r="J46" s="164">
        <f>中航光电!H51+东方国信!H51+积成电子!H51+洲际油气!H51+老板电器!H51+德润电子!H51</f>
        <v>5767246.337769663</v>
      </c>
      <c r="K46" s="180">
        <f>中航光电!F51+东方国信!F51+积成电子!F51+洲际油气!F51+老板电器!F51+德润电子!F51</f>
        <v>5857628</v>
      </c>
      <c r="L46" s="180">
        <f t="shared" si="4"/>
        <v>66958.837420378084</v>
      </c>
      <c r="M46" s="1">
        <f t="shared" si="5"/>
        <v>8.6784373923524671E-3</v>
      </c>
      <c r="N46" s="158">
        <f t="shared" si="6"/>
        <v>88554.04840853691</v>
      </c>
      <c r="O46" s="1">
        <f t="shared" si="3"/>
        <v>1.6163703987303431E-2</v>
      </c>
    </row>
    <row r="47" spans="1:15" x14ac:dyDescent="0.15">
      <c r="A47" s="101">
        <v>42488</v>
      </c>
      <c r="B47" s="164">
        <f>中航光电!E52+东方国信!E52+积成电子!E52+洲际油气!E52+老板电器!E52+德润电子!E52</f>
        <v>5478574</v>
      </c>
      <c r="C47" s="38">
        <f>中航光电!R52+东方国信!R52+积成电子!R52+洲际油气!R52+老板电器!R52+德润电子!R52</f>
        <v>23433.148784545756</v>
      </c>
      <c r="D47" s="164">
        <f>中航光电!G52+东方国信!G52+积成电子!G52+洲际油气!G52+老板电器!G52+德润电子!G52</f>
        <v>5767246.337769663</v>
      </c>
      <c r="E47" s="168">
        <f t="shared" si="0"/>
        <v>4.0631433811110515E-3</v>
      </c>
      <c r="F47" s="38">
        <f>中航光电!V52+东方国信!V52+积成电子!V52+洲际油气!V52+老板电器!V52+德润电子!V52</f>
        <v>190879.8981132996</v>
      </c>
      <c r="G47" s="164">
        <f>中航光电!W52+东方国信!W52+积成电子!W52+洲际油气!W52+老板电器!W52+德润电子!W52</f>
        <v>266755.8405657754</v>
      </c>
      <c r="H47" s="168">
        <f t="shared" si="1"/>
        <v>3.4841164528086978E-2</v>
      </c>
      <c r="I47" s="168">
        <f t="shared" si="2"/>
        <v>4.8690743351422358E-2</v>
      </c>
      <c r="J47" s="164">
        <f>中航光电!H52+东方国信!H52+积成电子!H52+洲际油气!H52+老板电器!H52+德润电子!H52</f>
        <v>5790679.4865542091</v>
      </c>
      <c r="K47" s="180">
        <f>中航光电!F52+东方国信!F52+积成电子!F52+洲际油气!F52+老板电器!F52+德润电子!F52</f>
        <v>5866457</v>
      </c>
      <c r="L47" s="180">
        <f t="shared" si="4"/>
        <v>10666.032445283199</v>
      </c>
      <c r="M47" s="1">
        <f t="shared" si="5"/>
        <v>1.9468628963089998E-3</v>
      </c>
      <c r="N47" s="158">
        <f t="shared" si="6"/>
        <v>22156.410347170866</v>
      </c>
      <c r="O47" s="1">
        <f t="shared" si="3"/>
        <v>4.0441929500579649E-3</v>
      </c>
    </row>
    <row r="48" spans="1:15" x14ac:dyDescent="0.15">
      <c r="A48" s="101">
        <v>42489</v>
      </c>
      <c r="B48" s="164">
        <f>中航光电!E53+东方国信!E53+积成电子!E53+洲际油气!E53+老板电器!E53+德润电子!E53</f>
        <v>5478574</v>
      </c>
      <c r="C48" s="38">
        <f>中航光电!R53+东方国信!R53+积成电子!R53+洲际油气!R53+老板电器!R53+德润电子!R53</f>
        <v>68433.481690677465</v>
      </c>
      <c r="D48" s="164">
        <f>中航光电!G53+东方国信!G53+积成电子!G53+洲际油气!G53+老板电器!G53+德润电子!G53</f>
        <v>5790679.4865542091</v>
      </c>
      <c r="E48" s="168">
        <f t="shared" si="0"/>
        <v>1.1817867289940331E-2</v>
      </c>
      <c r="F48" s="38">
        <f>中航光电!V53+东方国信!V53+积成电子!V53+洲际油气!V53+老板电器!V53+德润电子!V53</f>
        <v>258996.69577484328</v>
      </c>
      <c r="G48" s="164">
        <f>中航光电!W53+东方国信!W53+积成电子!W53+洲际油气!W53+老板电器!W53+德润电子!W53</f>
        <v>330901.53061041131</v>
      </c>
      <c r="H48" s="168">
        <f t="shared" si="1"/>
        <v>4.7274472476750935E-2</v>
      </c>
      <c r="I48" s="168">
        <f t="shared" si="2"/>
        <v>6.0399208007487222E-2</v>
      </c>
      <c r="J48" s="164">
        <f>中航光电!H53+东方国信!H53+积成电子!H53+洲际油气!H53+老板电器!H53+德润电子!H53</f>
        <v>5859112.968244886</v>
      </c>
      <c r="K48" s="180">
        <f>中航光电!F53+东方国信!F53+积成电子!F53+洲际油气!F53+老板电器!F53+德润电子!F53</f>
        <v>5930346</v>
      </c>
      <c r="L48" s="180">
        <f t="shared" si="4"/>
        <v>64145.690044635907</v>
      </c>
      <c r="M48" s="1">
        <f t="shared" si="5"/>
        <v>1.1708464656064864E-2</v>
      </c>
      <c r="N48" s="158">
        <f t="shared" si="6"/>
        <v>68116.797661543678</v>
      </c>
      <c r="O48" s="1">
        <f t="shared" si="3"/>
        <v>1.2433307948663956E-2</v>
      </c>
    </row>
    <row r="49" spans="1:21" x14ac:dyDescent="0.15">
      <c r="A49" s="101">
        <v>42493</v>
      </c>
      <c r="B49" s="164">
        <f>中航光电!E54+东方国信!E54+积成电子!E54+洲际油气!E54+老板电器!E54+德润电子!E54</f>
        <v>5478574</v>
      </c>
      <c r="C49" s="38">
        <f>中航光电!R54+东方国信!R54+积成电子!R54+洲际油气!R54+老板电器!R54+德润电子!R54</f>
        <v>32250.951616964958</v>
      </c>
      <c r="D49" s="164">
        <f>中航光电!G54+东方国信!G54+积成电子!G54+洲际油气!G54+老板电器!G54+德润电子!G54</f>
        <v>5859112.968244886</v>
      </c>
      <c r="E49" s="168">
        <f t="shared" si="0"/>
        <v>5.5044085669209795E-3</v>
      </c>
      <c r="F49" s="38">
        <f>中航光电!V54+东方国信!V54+积成电子!V54+洲际油气!V54+老板电器!V54+德润电子!V54</f>
        <v>293982.67573981767</v>
      </c>
      <c r="G49" s="164">
        <f>中航光电!W54+东方国信!W54+积成电子!W54+洲际油气!W54+老板电器!W54+德润电子!W54</f>
        <v>485594.96907603543</v>
      </c>
      <c r="H49" s="168">
        <f t="shared" si="1"/>
        <v>5.3660437139266104E-2</v>
      </c>
      <c r="I49" s="168">
        <f t="shared" si="2"/>
        <v>8.8635285217656165E-2</v>
      </c>
      <c r="J49" s="164">
        <f>中航光电!H54+东方国信!H54+积成电子!H54+洲际油气!H54+老板电器!H54+德润电子!H54</f>
        <v>5891363.9198618513</v>
      </c>
      <c r="K49" s="180">
        <f>中航光电!F54+东方国信!F54+积成电子!F54+洲际油气!F54+老板电器!F54+德润电子!F54</f>
        <v>6088675</v>
      </c>
      <c r="L49" s="180">
        <f t="shared" si="4"/>
        <v>154693.43846562412</v>
      </c>
      <c r="M49" s="1">
        <f t="shared" si="5"/>
        <v>2.8236077210168943E-2</v>
      </c>
      <c r="N49" s="158">
        <f t="shared" si="6"/>
        <v>34985.979964974395</v>
      </c>
      <c r="O49" s="1">
        <f t="shared" si="3"/>
        <v>6.3859646625151721E-3</v>
      </c>
    </row>
    <row r="50" spans="1:21" x14ac:dyDescent="0.15">
      <c r="A50" s="101">
        <v>42494</v>
      </c>
      <c r="B50" s="164">
        <f>中航光电!E55+东方国信!E55+积成电子!E55+洲际油气!E55+老板电器!E55+德润电子!E55</f>
        <v>5478574</v>
      </c>
      <c r="C50" s="38">
        <f>中航光电!R55+东方国信!R55+积成电子!R55+洲际油气!R55+老板电器!R55+德润电子!R55</f>
        <v>-59635.005511210766</v>
      </c>
      <c r="D50" s="164">
        <f>中航光电!G55+东方国信!G55+积成电子!G55+洲际油气!G55+老板电器!G55+德润电子!G55</f>
        <v>5891363.9198618513</v>
      </c>
      <c r="E50" s="168">
        <f t="shared" si="0"/>
        <v>-1.0122444704215314E-2</v>
      </c>
      <c r="F50" s="38">
        <f>中航光电!V55+东方国信!V55+积成电子!V55+洲际油气!V55+老板电器!V55+德润电子!V55</f>
        <v>232615.45280719467</v>
      </c>
      <c r="G50" s="164">
        <f>中航光电!W55+东方国信!W55+积成电子!W55+洲际油气!W55+老板电器!W55+德润电子!W55</f>
        <v>420551.9955235403</v>
      </c>
      <c r="H50" s="168">
        <f t="shared" si="1"/>
        <v>4.2459123999638353E-2</v>
      </c>
      <c r="I50" s="168">
        <f t="shared" si="2"/>
        <v>7.6763040076403152E-2</v>
      </c>
      <c r="J50" s="164">
        <f>中航光电!H55+东方国信!H55+积成电子!H55+洲际油气!H55+老板电器!H55+德润电子!H55</f>
        <v>5831728.91435064</v>
      </c>
      <c r="K50" s="180">
        <f>中航光电!F55+东方国信!F55+积成电子!F55+洲际油气!F55+老板电器!F55+德润电子!F55</f>
        <v>6025729</v>
      </c>
      <c r="L50" s="180">
        <f t="shared" si="4"/>
        <v>-65042.973552495125</v>
      </c>
      <c r="M50" s="1">
        <f t="shared" si="5"/>
        <v>-1.1872245141253013E-2</v>
      </c>
      <c r="N50" s="158">
        <f t="shared" si="6"/>
        <v>-61367.222932623001</v>
      </c>
      <c r="O50" s="1">
        <f t="shared" si="3"/>
        <v>-1.1201313139627756E-2</v>
      </c>
    </row>
    <row r="51" spans="1:21" x14ac:dyDescent="0.15">
      <c r="A51" s="101">
        <v>42495</v>
      </c>
      <c r="B51" s="164">
        <f>中航光电!E56+东方国信!E56+积成电子!E56+洲际油气!E56+老板电器!E56+德润电子!E56</f>
        <v>6823033.5600000005</v>
      </c>
      <c r="C51" s="38">
        <f>中航光电!R56+东方国信!R56+积成电子!R56+洲际油气!R56+老板电器!R56+德润电子!R56</f>
        <v>11628.738103551528</v>
      </c>
      <c r="D51" s="164">
        <f>中航光电!G56+东方国信!G56+积成电子!G56+洲际油气!G56+老板电器!G56+德润电子!G56</f>
        <v>7161948.753118746</v>
      </c>
      <c r="E51" s="168">
        <f t="shared" si="0"/>
        <v>1.6236835119055651E-3</v>
      </c>
      <c r="F51" s="38">
        <f>中航光电!V56+东方国信!V56+积成电子!V56+洲际油气!V56+老板电器!V56+德润电子!V56</f>
        <v>231065.9494199506</v>
      </c>
      <c r="G51" s="164">
        <f>中航光电!W56+东方国信!W56+积成电子!W56+洲际油气!W56+老板电器!W56+德润电子!W56</f>
        <v>437436.81610447657</v>
      </c>
      <c r="H51" s="168">
        <f t="shared" si="1"/>
        <v>3.3865574218273457E-2</v>
      </c>
      <c r="I51" s="168">
        <f t="shared" si="2"/>
        <v>6.4111778471814596E-2</v>
      </c>
      <c r="J51" s="164">
        <f>中航光电!H56+东方国信!H56+积成电子!H56+洲际油气!H56+老板电器!H56+德润电子!H56</f>
        <v>7173577.4912222978</v>
      </c>
      <c r="K51" s="180">
        <f>中航光电!F56+东方国信!F56+积成电子!F56+洲际油气!F56+老板电器!F56+德润电子!F56</f>
        <v>7386750.3300000001</v>
      </c>
      <c r="L51" s="180">
        <f t="shared" si="4"/>
        <v>16884.82058093627</v>
      </c>
      <c r="M51" s="1">
        <f t="shared" si="5"/>
        <v>-1.2651261604588557E-2</v>
      </c>
      <c r="N51" s="158">
        <f t="shared" si="6"/>
        <v>-1549.503387244069</v>
      </c>
      <c r="O51" s="1">
        <f t="shared" si="3"/>
        <v>-2.2709889576507798E-4</v>
      </c>
    </row>
    <row r="52" spans="1:21" x14ac:dyDescent="0.15">
      <c r="A52" s="101">
        <v>42496</v>
      </c>
      <c r="B52" s="164">
        <f>中航光电!E57+东方国信!E57+积成电子!E57+洲际油气!E57+老板电器!E57+德润电子!E57</f>
        <v>7003233.5600000005</v>
      </c>
      <c r="C52" s="38">
        <f>中航光电!R57+东方国信!R57+积成电子!R57+洲际油气!R57+老板电器!R57+德润电子!R57</f>
        <v>-104344.39358422966</v>
      </c>
      <c r="D52" s="164">
        <f>中航光电!G57+东方国信!G57+积成电子!G57+洲际油气!G57+老板电器!G57+德润电子!G57</f>
        <v>7335579.2246495485</v>
      </c>
      <c r="E52" s="168">
        <f t="shared" si="0"/>
        <v>-1.4224424600800986E-2</v>
      </c>
      <c r="F52" s="38">
        <f>中航光电!V57+东方国信!V57+积成电子!V57+洲际油气!V57+老板电器!V57+德润电子!V57</f>
        <v>101283.42784211755</v>
      </c>
      <c r="G52" s="164">
        <f>中航光电!W57+东方国信!W57+积成电子!W57+洲际油气!W57+老板电器!W57+德润电子!W57</f>
        <v>114736.07902626562</v>
      </c>
      <c r="H52" s="168">
        <f t="shared" si="1"/>
        <v>1.4462380409617176E-2</v>
      </c>
      <c r="I52" s="168">
        <f t="shared" si="2"/>
        <v>1.6383300377356774E-2</v>
      </c>
      <c r="J52" s="164">
        <f>中航光电!H57+东方国信!H57+积成电子!H57+洲际油气!H57+老板电器!H57+德润电子!H57</f>
        <v>7231234.8310653185</v>
      </c>
      <c r="K52" s="180">
        <f>中航光电!F57+东方国信!F57+积成电子!F57+洲际油气!F57+老板电器!F57+德润电子!F57</f>
        <v>7243760.8599999994</v>
      </c>
      <c r="L52" s="180">
        <f t="shared" si="4"/>
        <v>-322700.73707821092</v>
      </c>
      <c r="M52" s="1">
        <f t="shared" si="5"/>
        <v>-4.7728478094457821E-2</v>
      </c>
      <c r="N52" s="158">
        <f t="shared" si="6"/>
        <v>-129782.52157783305</v>
      </c>
      <c r="O52" s="1">
        <f t="shared" si="3"/>
        <v>-1.8531799698799856E-2</v>
      </c>
    </row>
    <row r="53" spans="1:21" x14ac:dyDescent="0.15">
      <c r="A53" s="101">
        <v>42499</v>
      </c>
      <c r="B53" s="164">
        <f>中航光电!E58+东方国信!E58+积成电子!E58+洲际油气!E58+老板电器!E58+德润电子!E58</f>
        <v>7003233.5600000005</v>
      </c>
      <c r="C53" s="38">
        <f>中航光电!R58+东方国信!R58+积成电子!R58+洲际油气!R58+老板电器!R58+德润电子!R58</f>
        <v>-78998.731080956859</v>
      </c>
      <c r="D53" s="164">
        <f>中航光电!G58+东方国信!G58+积成电子!G58+洲际油气!G58+老板电器!G58+德润电子!G58</f>
        <v>7231234.8310653185</v>
      </c>
      <c r="E53" s="168">
        <f t="shared" si="0"/>
        <v>-1.0924652970966873E-2</v>
      </c>
      <c r="F53" s="38">
        <f>中航光电!V58+东方国信!V58+积成电子!V58+洲际油气!V58+老板电器!V58+德润电子!V58</f>
        <v>20545.299936882071</v>
      </c>
      <c r="G53" s="164">
        <f>中航光电!W58+东方国信!W58+积成电子!W58+洲际油气!W58+老板电器!W58+德润电子!W58</f>
        <v>-125504.25596208674</v>
      </c>
      <c r="H53" s="168">
        <f t="shared" si="1"/>
        <v>2.9336876688262369E-3</v>
      </c>
      <c r="I53" s="168">
        <f t="shared" si="2"/>
        <v>-1.7920901093306778E-2</v>
      </c>
      <c r="J53" s="164">
        <f>中航光电!H58+东方国信!H58+积成电子!H58+洲际油气!H58+老板电器!H58+德润电子!H58</f>
        <v>7152236.0999843618</v>
      </c>
      <c r="K53" s="180">
        <f>中航光电!F58+东方国信!F58+积成电子!F58+洲际油气!F58+老板电器!F58+德润电子!F58</f>
        <v>7000350.75</v>
      </c>
      <c r="L53" s="180">
        <f t="shared" si="4"/>
        <v>-240240.33498835238</v>
      </c>
      <c r="M53" s="1">
        <f t="shared" si="5"/>
        <v>-3.4304201470663556E-2</v>
      </c>
      <c r="N53" s="158">
        <f t="shared" si="6"/>
        <v>-80738.12790523548</v>
      </c>
      <c r="O53" s="1">
        <f t="shared" si="3"/>
        <v>-1.1528692740790937E-2</v>
      </c>
    </row>
    <row r="54" spans="1:21" x14ac:dyDescent="0.15">
      <c r="A54" s="101">
        <v>42500</v>
      </c>
      <c r="B54" s="164">
        <f>中航光电!E59+东方国信!E59+积成电子!E59+洲际油气!E59+老板电器!E59+德润电子!E59</f>
        <v>7003233.5600000005</v>
      </c>
      <c r="C54" s="38">
        <f>中航光电!R59+东方国信!R59+积成电子!R59+洲际油气!R59+老板电器!R59+德润电子!R59</f>
        <v>35486.293012400376</v>
      </c>
      <c r="D54" s="164">
        <f>中航光电!G59+东方国信!G59+积成电子!G59+洲际油气!G59+老板电器!G59+德润电子!G59</f>
        <v>7152236.0999843618</v>
      </c>
      <c r="E54" s="168">
        <f t="shared" si="0"/>
        <v>4.961566217378921E-3</v>
      </c>
      <c r="F54" s="38">
        <f>中航光电!V59+东方国信!V59+积成电子!V59+洲际油气!V59+老板电器!V59+德润电子!V59</f>
        <v>55270.077686490236</v>
      </c>
      <c r="G54" s="164">
        <f>中航光电!W59+东方国信!W59+积成电子!W59+洲际油气!W59+老板电器!W59+德润电子!W59</f>
        <v>-85234.456809373514</v>
      </c>
      <c r="H54" s="168">
        <f t="shared" si="1"/>
        <v>7.8920797390184764E-3</v>
      </c>
      <c r="I54" s="168">
        <f t="shared" si="2"/>
        <v>-1.2170728861051082E-2</v>
      </c>
      <c r="J54" s="164">
        <f>中航光电!H59+东方国信!H59+积成电子!H59+洲际油气!H59+老板电器!H59+德润电子!H59</f>
        <v>7187722.3929967619</v>
      </c>
      <c r="K54" s="180">
        <f>中航光电!F59+东方国信!F59+积成电子!F59+洲际油气!F59+老板电器!F59+德润电子!F59</f>
        <v>7036466.71</v>
      </c>
      <c r="L54" s="180">
        <f t="shared" si="4"/>
        <v>40269.799152713225</v>
      </c>
      <c r="M54" s="1">
        <f t="shared" si="5"/>
        <v>5.7501722322556969E-3</v>
      </c>
      <c r="N54" s="158">
        <f t="shared" si="6"/>
        <v>34724.777749608169</v>
      </c>
      <c r="O54" s="1">
        <f t="shared" si="3"/>
        <v>4.958392070192239E-3</v>
      </c>
    </row>
    <row r="55" spans="1:21" x14ac:dyDescent="0.15">
      <c r="A55" s="101">
        <v>42501</v>
      </c>
      <c r="B55" s="164">
        <f>中航光电!E60+东方国信!E60+积成电子!E60+洲际油气!E60+老板电器!E60+德润电子!E60</f>
        <v>7003233.5600000005</v>
      </c>
      <c r="C55" s="38">
        <f>中航光电!R60+东方国信!R60+积成电子!R60+洲际油气!R60+老板电器!R60+德润电子!R60</f>
        <v>-1644.0817422992241</v>
      </c>
      <c r="D55" s="164">
        <f>中航光电!G60+东方国信!G60+积成电子!G60+洲际油气!G60+老板电器!G60+德润电子!G60</f>
        <v>7187722.3929967619</v>
      </c>
      <c r="E55" s="168">
        <f t="shared" si="0"/>
        <v>-2.2873473019785904E-4</v>
      </c>
      <c r="F55" s="38">
        <f>中航光电!V60+东方国信!V60+积成电子!V60+洲际油气!V60+老板电器!V60+德润电子!V60</f>
        <v>54759.868632829464</v>
      </c>
      <c r="G55" s="164">
        <f>中航光电!W60+东方国信!W60+积成电子!W60+洲际油气!W60+老板电器!W60+德润电子!W60</f>
        <v>-72160.393891669402</v>
      </c>
      <c r="H55" s="168">
        <f t="shared" si="1"/>
        <v>7.8192263850228438E-3</v>
      </c>
      <c r="I55" s="168">
        <f t="shared" si="2"/>
        <v>-1.0303867959484332E-2</v>
      </c>
      <c r="J55" s="164">
        <f>中航光电!H60+东方国信!H60+积成电子!H60+洲际油气!H60+老板电器!H60+德润电子!H60</f>
        <v>7186078.3112544622</v>
      </c>
      <c r="K55" s="180">
        <f>中航光电!F60+东方国信!F60+积成电子!F60+洲际油气!F60+老板电器!F60+德润电子!F60</f>
        <v>7042682.8900000006</v>
      </c>
      <c r="L55" s="180">
        <f t="shared" si="4"/>
        <v>13074.062917704112</v>
      </c>
      <c r="M55" s="1">
        <f t="shared" si="5"/>
        <v>1.8668609015667498E-3</v>
      </c>
      <c r="N55" s="158">
        <f t="shared" si="6"/>
        <v>-510.20905366077204</v>
      </c>
      <c r="O55" s="1">
        <f t="shared" si="3"/>
        <v>-7.2853353995632275E-5</v>
      </c>
    </row>
    <row r="56" spans="1:21" x14ac:dyDescent="0.15">
      <c r="A56" s="101">
        <v>42502</v>
      </c>
      <c r="B56" s="164">
        <f>中航光电!E61+东方国信!E61+积成电子!E61+洲际油气!E61+老板电器!E61+德润电子!E61</f>
        <v>7506233.5600000005</v>
      </c>
      <c r="C56" s="38">
        <f>中航光电!R61+东方国信!R61+积成电子!R61+洲际油气!R61+老板电器!R61+德润电子!R61</f>
        <v>107284.05934046452</v>
      </c>
      <c r="D56" s="164">
        <f>中航光电!G61+东方国信!G61+积成电子!G61+洲际油气!G61+老板电器!G61+德润电子!G61</f>
        <v>7685623.3734493814</v>
      </c>
      <c r="E56" s="168">
        <f t="shared" si="0"/>
        <v>1.3959057597212755E-2</v>
      </c>
      <c r="F56" s="38">
        <f>中航光电!V61+东方国信!V61+积成电子!V61+洲际油气!V61+老板电器!V61+德润电子!V61</f>
        <v>156791.16181632926</v>
      </c>
      <c r="G56" s="164">
        <f>中航光电!W61+东方国信!W61+积成电子!W61+洲际油气!W61+老板电器!W61+德润电子!W61</f>
        <v>51322.686695881457</v>
      </c>
      <c r="H56" s="168">
        <f t="shared" si="1"/>
        <v>2.0888127256238648E-2</v>
      </c>
      <c r="I56" s="168">
        <f t="shared" si="2"/>
        <v>6.8373420951587677E-3</v>
      </c>
      <c r="J56" s="164">
        <f>中航光电!H61+东方国信!H61+积成电子!H61+洲际油气!H61+老板电器!H61+德润电子!H61</f>
        <v>7792907.4327898463</v>
      </c>
      <c r="K56" s="180">
        <f>中航光电!F61+东方国信!F61+积成电子!F61+洲际油气!F61+老板电器!F61+德润电子!F61</f>
        <v>7661202.0499999998</v>
      </c>
      <c r="L56" s="180">
        <f t="shared" si="4"/>
        <v>123483.08058755085</v>
      </c>
      <c r="M56" s="1">
        <f t="shared" si="5"/>
        <v>1.71412100546431E-2</v>
      </c>
      <c r="N56" s="158">
        <f t="shared" si="6"/>
        <v>102031.2931834998</v>
      </c>
      <c r="O56" s="1">
        <f t="shared" si="3"/>
        <v>1.3592874824361287E-2</v>
      </c>
    </row>
    <row r="57" spans="1:21" x14ac:dyDescent="0.15">
      <c r="A57" s="101">
        <v>42503</v>
      </c>
      <c r="B57" s="164">
        <f>中航光电!E62+东方国信!E62+积成电子!E62+洲际油气!E62+老板电器!E62+德润电子!E62</f>
        <v>7506233.5600000005</v>
      </c>
      <c r="C57" s="38">
        <f>中航光电!R62+东方国信!R62+积成电子!R62+洲际油气!R62+老板电器!R62+德润电子!R62</f>
        <v>27398.831927083233</v>
      </c>
      <c r="D57" s="164">
        <f>中航光电!G62+东方国信!G62+积成电子!G62+洲际油气!G62+老板电器!G62+德润电子!G62</f>
        <v>7792907.4327898463</v>
      </c>
      <c r="E57" s="168">
        <f t="shared" si="0"/>
        <v>3.5158677506932096E-3</v>
      </c>
      <c r="F57" s="38">
        <f>中航光电!V62+东方国信!V62+积成电子!V62+洲际油气!V62+老板电器!V62+德润电子!V62</f>
        <v>184425.08288450399</v>
      </c>
      <c r="G57" s="164">
        <f>中航光电!W62+东方国信!W62+积成电子!W62+洲际油气!W62+老板电器!W62+德润电子!W62</f>
        <v>58944.99043293493</v>
      </c>
      <c r="H57" s="168">
        <f t="shared" si="1"/>
        <v>2.4569590249267966E-2</v>
      </c>
      <c r="I57" s="168">
        <f t="shared" si="2"/>
        <v>7.8528052666848973E-3</v>
      </c>
      <c r="J57" s="164">
        <f>中航光电!H62+东方国信!H62+积成电子!H62+洲际油气!H62+老板电器!H62+德润电子!H62</f>
        <v>7820306.2647169288</v>
      </c>
      <c r="K57" s="180">
        <f>中航光电!F62+东方国信!F62+积成电子!F62+洲际油气!F62+老板电器!F62+德润电子!F62</f>
        <v>7663337.1400000006</v>
      </c>
      <c r="L57" s="180">
        <f t="shared" si="4"/>
        <v>7622.303737053473</v>
      </c>
      <c r="M57" s="1">
        <f t="shared" si="5"/>
        <v>1.0154631715261295E-3</v>
      </c>
      <c r="N57" s="158">
        <f t="shared" si="6"/>
        <v>27633.921068174735</v>
      </c>
      <c r="O57" s="1">
        <f t="shared" si="3"/>
        <v>3.6814629930293206E-3</v>
      </c>
    </row>
    <row r="58" spans="1:21" x14ac:dyDescent="0.15">
      <c r="A58" s="101">
        <v>42506</v>
      </c>
      <c r="B58" s="164">
        <f>中航光电!E63+东方国信!E63+积成电子!E63+洲际油气!E63+老板电器!E63+德润电子!E63</f>
        <v>7506233.5600000005</v>
      </c>
      <c r="C58" s="38">
        <f>中航光电!R63+东方国信!R63+积成电子!R63+洲际油气!R63+老板电器!R63+德润电子!R63</f>
        <v>51577.124851797671</v>
      </c>
      <c r="D58" s="164">
        <f>中航光电!G63+东方国信!G63+积成电子!G63+洲际油气!G63+老板电器!G63+德润电子!G63</f>
        <v>7820306.2647169288</v>
      </c>
      <c r="E58" s="168">
        <f t="shared" si="0"/>
        <v>6.5952819628688295E-3</v>
      </c>
      <c r="F58" s="38">
        <f>中航光电!V63+东方国信!V63+积成电子!V63+洲际油气!V63+老板电器!V63+德润电子!V63</f>
        <v>237432.0687991835</v>
      </c>
      <c r="G58" s="164">
        <f>中航光电!W63+东方国信!W63+积成电子!W63+洲际油气!W63+老板电器!W63+德润电子!W63</f>
        <v>182647.56847825475</v>
      </c>
      <c r="H58" s="168">
        <f t="shared" si="1"/>
        <v>3.1631319076512121E-2</v>
      </c>
      <c r="I58" s="168">
        <f t="shared" si="2"/>
        <v>2.4332785146943221E-2</v>
      </c>
      <c r="J58" s="164">
        <f>中航光电!H63+东方国信!H63+积成电子!H63+洲际油气!H63+老板电器!H63+德润电子!H63</f>
        <v>7871883.3895687256</v>
      </c>
      <c r="K58" s="180">
        <f>中航光电!F63+东方国信!F63+积成电子!F63+洲际油气!F63+老板电器!F63+德润电子!F63</f>
        <v>7781429.0299999993</v>
      </c>
      <c r="L58" s="180">
        <f t="shared" si="4"/>
        <v>123702.57804531982</v>
      </c>
      <c r="M58" s="1">
        <f t="shared" si="5"/>
        <v>1.6479979880258323E-2</v>
      </c>
      <c r="N58" s="158">
        <f t="shared" si="6"/>
        <v>53006.985914679506</v>
      </c>
      <c r="O58" s="1">
        <f t="shared" si="3"/>
        <v>7.0617288272441531E-3</v>
      </c>
    </row>
    <row r="59" spans="1:21" x14ac:dyDescent="0.15">
      <c r="A59" s="101">
        <v>42507</v>
      </c>
      <c r="B59" s="164">
        <f>中航光电!E64+东方国信!E64+积成电子!E64+洲际油气!E64+老板电器!E64+德润电子!E64</f>
        <v>9615233.5600000005</v>
      </c>
      <c r="C59" s="38">
        <f>中航光电!R64+东方国信!R64+积成电子!R64+洲际油气!R64+老板电器!R64+德润电子!R64</f>
        <v>252454.02265810824</v>
      </c>
      <c r="D59" s="164">
        <f>中航光电!G64+东方国信!G64+积成电子!G64+洲际油气!G64+老板电器!G64+德润电子!G64</f>
        <v>9823299.2240403779</v>
      </c>
      <c r="E59" s="168">
        <f t="shared" si="0"/>
        <v>2.5699514684463871E-2</v>
      </c>
      <c r="F59" s="38">
        <f>中航光电!V64+东方国信!V64+积成电子!V64+洲际油气!V64+老板电器!V64+德润电子!V64</f>
        <v>416659.34591880988</v>
      </c>
      <c r="G59" s="164">
        <f>中航光电!W64+东方国信!W64+积成电子!W64+洲际油气!W64+老板电器!W64+德润电子!W64</f>
        <v>354188.48340246064</v>
      </c>
      <c r="H59" s="168">
        <f t="shared" si="1"/>
        <v>4.3333252730556639E-2</v>
      </c>
      <c r="I59" s="168">
        <f t="shared" si="2"/>
        <v>3.6836180961418122E-2</v>
      </c>
      <c r="J59" s="164">
        <f>中航光电!H64+东方国信!H64+积成电子!H64+洲际油气!H64+老板电器!H64+德润电子!H64</f>
        <v>10075753.246698486</v>
      </c>
      <c r="K59" s="180">
        <f>中航光电!F64+东方国信!F64+积成电子!F64+洲际油气!F64+老板电器!F64+德润电子!F64</f>
        <v>9939003.0399999991</v>
      </c>
      <c r="L59" s="180">
        <f t="shared" si="4"/>
        <v>171540.91492420589</v>
      </c>
      <c r="M59" s="1">
        <f t="shared" si="5"/>
        <v>1.2503395814474901E-2</v>
      </c>
      <c r="N59" s="158">
        <f t="shared" si="6"/>
        <v>179227.27711962638</v>
      </c>
      <c r="O59" s="1">
        <f t="shared" si="3"/>
        <v>1.8639929649262348E-2</v>
      </c>
    </row>
    <row r="60" spans="1:21" x14ac:dyDescent="0.15">
      <c r="A60" s="101">
        <v>42508</v>
      </c>
      <c r="B60" s="164">
        <f>中航光电!E65+东方国信!E65+积成电子!E65+洲际油气!E65+老板电器!E65+德润电子!E65</f>
        <v>10119733.560000001</v>
      </c>
      <c r="C60" s="38">
        <f>中航光电!R65+东方国信!R65+积成电子!R65+洲际油气!R65+老板电器!R65+德润电子!R65</f>
        <v>-64546.132540462982</v>
      </c>
      <c r="D60" s="164">
        <f>中航光电!G65+东方国信!G65+积成电子!G65+洲际油气!G65+老板电器!G65+德润电子!G65</f>
        <v>10550784.363772549</v>
      </c>
      <c r="E60" s="168">
        <f t="shared" si="0"/>
        <v>-6.1176619969687072E-3</v>
      </c>
      <c r="F60" s="38">
        <f>中航光电!V65+东方国信!V65+积成电子!V65+洲际油气!V65+老板电器!V65+德润电子!V65</f>
        <v>316842.37554986787</v>
      </c>
      <c r="G60" s="164">
        <f>中航光电!W65+东方国信!W65+积成电子!W65+洲际油气!W65+老板电器!W65+德润电子!W65</f>
        <v>121366.23069313316</v>
      </c>
      <c r="H60" s="168">
        <f t="shared" si="1"/>
        <v>3.1309359448181744E-2</v>
      </c>
      <c r="I60" s="168">
        <f t="shared" si="2"/>
        <v>1.199302629595449E-2</v>
      </c>
      <c r="J60" s="164">
        <f>中航光电!H65+东方国信!H65+积成电子!H65+洲际油气!H65+老板电器!H65+德润电子!H65</f>
        <v>10486238.231232086</v>
      </c>
      <c r="K60" s="180">
        <f>中航光电!F65+东方国信!F65+积成电子!F65+洲际油气!F65+老板电器!F65+德润电子!F65</f>
        <v>10219572.130000001</v>
      </c>
      <c r="L60" s="180">
        <f t="shared" si="4"/>
        <v>-232822.2527093275</v>
      </c>
      <c r="M60" s="1">
        <f t="shared" si="5"/>
        <v>-2.4843154665463631E-2</v>
      </c>
      <c r="N60" s="158">
        <f t="shared" si="6"/>
        <v>-99816.970368942013</v>
      </c>
      <c r="O60" s="1">
        <f t="shared" si="3"/>
        <v>-9.8635966823756981E-3</v>
      </c>
    </row>
    <row r="61" spans="1:21" x14ac:dyDescent="0.15">
      <c r="A61" s="101">
        <v>42509</v>
      </c>
      <c r="B61" s="164">
        <f>中航光电!E66+东方国信!E66+积成电子!E66+洲际油气!E66+老板电器!E66+德润电子!E66</f>
        <v>10119733.560000001</v>
      </c>
      <c r="C61" s="38">
        <f>中航光电!R66+东方国信!R66+积成电子!R66+洲际油气!R66+老板电器!R66+德润电子!R66</f>
        <v>-43231.945729006598</v>
      </c>
      <c r="D61" s="164">
        <f>中航光电!G66+东方国信!G66+积成电子!G66+洲际油气!G66+老板电器!G66+德润电子!G66</f>
        <v>10486238.231232086</v>
      </c>
      <c r="E61" s="168">
        <f t="shared" si="0"/>
        <v>-4.1227316007608041E-3</v>
      </c>
      <c r="F61" s="38">
        <f>中航光电!V66+东方国信!V66+积成电子!V66+洲际油气!V66+老板电器!V66+德润电子!V66</f>
        <v>275597.85454808967</v>
      </c>
      <c r="G61" s="164">
        <f>中航光电!W66+东方国信!W66+积成电子!W66+洲际油气!W66+老板电器!W66+德润电子!W66</f>
        <v>101067.78951979218</v>
      </c>
      <c r="H61" s="168">
        <f t="shared" si="1"/>
        <v>2.7233706590600162E-2</v>
      </c>
      <c r="I61" s="168">
        <f t="shared" si="2"/>
        <v>9.9871986668977255E-3</v>
      </c>
      <c r="J61" s="164">
        <f>中航光电!H66+东方国信!H66+积成电子!H66+洲际油气!H66+老板电器!H66+德润电子!H66</f>
        <v>10443006.28550308</v>
      </c>
      <c r="K61" s="180">
        <f>中航光电!F66+东方国信!F66+积成电子!F66+洲际油气!F66+老板电器!F66+德润电子!F66</f>
        <v>10193272.689999999</v>
      </c>
      <c r="L61" s="180">
        <f t="shared" si="4"/>
        <v>-20298.44117334098</v>
      </c>
      <c r="M61" s="1">
        <f t="shared" si="5"/>
        <v>-2.005827629056765E-3</v>
      </c>
      <c r="N61" s="158">
        <f t="shared" si="6"/>
        <v>-41244.521001778194</v>
      </c>
      <c r="O61" s="1">
        <f t="shared" si="3"/>
        <v>-4.0756528575815777E-3</v>
      </c>
    </row>
    <row r="62" spans="1:21" x14ac:dyDescent="0.15">
      <c r="A62" s="101">
        <v>42510</v>
      </c>
      <c r="B62" s="164">
        <f>中航光电!E67+东方国信!E67+积成电子!E67+洲际油气!E67+老板电器!E67+德润电子!E67</f>
        <v>10119733.560000001</v>
      </c>
      <c r="C62" s="38">
        <f>中航光电!R67+东方国信!R67+积成电子!R67+洲际油气!R67+老板电器!R67+德润电子!R67</f>
        <v>-19299.306003589052</v>
      </c>
      <c r="D62" s="164">
        <f>中航光电!G67+东方国信!G67+积成电子!G67+洲际油气!G67+老板电器!G67+德润电子!G67</f>
        <v>10443006.28550308</v>
      </c>
      <c r="E62" s="168">
        <f t="shared" si="0"/>
        <v>-1.8480603646078653E-3</v>
      </c>
      <c r="F62" s="38">
        <f>中航光电!V67+东方国信!V67+积成电子!V67+洲际油气!V67+老板电器!V67+德润电子!V67</f>
        <v>260928.68763164501</v>
      </c>
      <c r="G62" s="164">
        <f>中航光电!W67+东方国信!W67+积成电子!W67+洲际油气!W67+老板电器!W67+德润电子!W67</f>
        <v>153171.05723500656</v>
      </c>
      <c r="H62" s="168">
        <f t="shared" si="1"/>
        <v>2.5784146003903781E-2</v>
      </c>
      <c r="I62" s="168">
        <f t="shared" si="2"/>
        <v>1.5135878462298819E-2</v>
      </c>
      <c r="J62" s="164">
        <f>中航光电!H67+东方国信!H67+积成电子!H67+洲际油气!H67+老板电器!H67+德润电子!H67</f>
        <v>10423706.979499491</v>
      </c>
      <c r="K62" s="180">
        <f>中航光电!F67+东方国信!F67+积成电子!F67+洲际油气!F67+老板电器!F67+德润电子!F67</f>
        <v>10242684.1</v>
      </c>
      <c r="L62" s="180">
        <f t="shared" si="4"/>
        <v>52103.267715214388</v>
      </c>
      <c r="M62" s="1">
        <f t="shared" si="5"/>
        <v>5.1486797954010937E-3</v>
      </c>
      <c r="N62" s="158">
        <f t="shared" si="6"/>
        <v>-14669.166916444665</v>
      </c>
      <c r="O62" s="1">
        <f t="shared" si="3"/>
        <v>-1.4495605866963817E-3</v>
      </c>
    </row>
    <row r="63" spans="1:21" ht="18" customHeight="1" x14ac:dyDescent="0.15">
      <c r="A63" s="172">
        <v>42513</v>
      </c>
      <c r="B63" s="180">
        <f>中航光电!E68+东方国信!E68+积成电子!E68+洲际油气!E68+老板电器!E68+德润电子!E68</f>
        <v>10119733.560000001</v>
      </c>
      <c r="C63" s="38">
        <f>中航光电!R68+东方国信!R68+积成电子!R68+洲际油气!R68+老板电器!R68+德润电子!R68</f>
        <v>300181.40350343974</v>
      </c>
      <c r="D63" s="180">
        <f>中航光电!G68+东方国信!G68+积成电子!G68+洲际油气!G68+老板电器!G68+德润电子!G68</f>
        <v>10423706.979499491</v>
      </c>
      <c r="E63" s="168">
        <f t="shared" ref="E63:E64" si="7">C63/D63</f>
        <v>2.8797951064224312E-2</v>
      </c>
      <c r="F63" s="38">
        <f>中航光电!V68+东方国信!V68+积成电子!V68+洲际油气!V68+老板电器!V68+德润电子!V68</f>
        <v>563103.24785327492</v>
      </c>
      <c r="G63" s="180">
        <f>中航光电!W68+东方国信!W68+积成电子!W68+洲际油气!W68+老板电器!W68+德润电子!W68</f>
        <v>517468.61803829204</v>
      </c>
      <c r="H63" s="168">
        <f t="shared" ref="H63:H64" si="8">F63/B63</f>
        <v>5.5644078425052416E-2</v>
      </c>
      <c r="I63" s="168">
        <f t="shared" ref="I63:I64" si="9">G63/B63</f>
        <v>5.1134608927222783E-2</v>
      </c>
      <c r="J63" s="180">
        <f>中航光电!H68+东方国信!H68+积成电子!H68+洲际油气!H68+老板电器!H68+德润电子!H68</f>
        <v>10723888.383002931</v>
      </c>
      <c r="K63" s="180">
        <f>中航光电!F68+东方国信!F68+积成电子!F68+洲际油气!F68+老板电器!F68+德润电子!F68</f>
        <v>10606218.449999999</v>
      </c>
      <c r="L63" s="180">
        <f t="shared" si="4"/>
        <v>364297.56080328545</v>
      </c>
      <c r="M63" s="1">
        <f t="shared" si="5"/>
        <v>3.5998730464923967E-2</v>
      </c>
      <c r="N63" s="158">
        <f t="shared" si="6"/>
        <v>302174.56022162992</v>
      </c>
      <c r="O63" s="1">
        <f t="shared" si="3"/>
        <v>2.9859932421148636E-2</v>
      </c>
    </row>
    <row r="64" spans="1:21" ht="102" customHeight="1" x14ac:dyDescent="0.15">
      <c r="A64" s="147">
        <v>42514</v>
      </c>
      <c r="B64" s="180">
        <f>中航光电!E69+东方国信!E69+积成电子!E69+洲际油气!E69+老板电器!E69+德润电子!E69</f>
        <v>11127155.560000001</v>
      </c>
      <c r="C64" s="38">
        <f>中航光电!R69+东方国信!R69+积成电子!R69+洲际油气!R69+老板电器!R69+德润电子!R69</f>
        <v>-213974.09135607275</v>
      </c>
      <c r="D64" s="180">
        <f>中航光电!G69+东方国信!G69+积成电子!G69+洲际油气!G69+老板电器!G69+德润电子!G69</f>
        <v>11833312.498679973</v>
      </c>
      <c r="E64" s="168">
        <f t="shared" si="7"/>
        <v>-1.8082349416525756E-2</v>
      </c>
      <c r="F64" s="38">
        <f>中航光电!V69+东方国信!V69+积成电子!V69+洲际油气!V69+老板电器!V69+德润电子!V69</f>
        <v>445059.6985506143</v>
      </c>
      <c r="G64" s="180">
        <f>中航光电!W69+东方国信!W69+积成电子!W69+洲际油气!W69+老板电器!W69+德润电子!W69</f>
        <v>321016.13523072202</v>
      </c>
      <c r="H64" s="168">
        <f t="shared" si="8"/>
        <v>3.9997616295625357E-2</v>
      </c>
      <c r="I64" s="168">
        <f t="shared" si="9"/>
        <v>2.8849793058049241E-2</v>
      </c>
      <c r="J64" s="180">
        <f>中航光电!H69+东方国信!H69+积成电子!H69+洲际油气!H69+老板电器!H69+德润电子!H69</f>
        <v>11559704.956535295</v>
      </c>
      <c r="K64" s="180">
        <f>中航光电!F69+东方国信!F69+积成电子!F69+洲际油气!F69+老板电器!F69+德润电子!F69</f>
        <v>11421066.300000001</v>
      </c>
      <c r="L64" s="180">
        <f t="shared" si="4"/>
        <v>-196452.48280757002</v>
      </c>
      <c r="M64" s="1">
        <f t="shared" si="5"/>
        <v>-2.2284815869173542E-2</v>
      </c>
      <c r="N64" s="158">
        <f t="shared" si="6"/>
        <v>-118043.54930266063</v>
      </c>
      <c r="O64" s="1">
        <f t="shared" si="3"/>
        <v>-1.0608600613709818E-2</v>
      </c>
      <c r="P64" s="176"/>
      <c r="Q64" s="176"/>
      <c r="R64" s="176"/>
      <c r="S64" s="176"/>
      <c r="T64" s="176"/>
      <c r="U64" s="176"/>
    </row>
    <row r="65" spans="1:21" x14ac:dyDescent="0.15">
      <c r="A65" s="147">
        <v>42515</v>
      </c>
      <c r="B65" s="180">
        <f>中航光电!E70+东方国信!E70+积成电子!E70+洲际油气!E70+老板电器!E70+德润电子!E70</f>
        <v>11127155.560000001</v>
      </c>
      <c r="C65" s="38">
        <f>中航光电!R70+东方国信!R70+积成电子!R70+洲际油气!R70+老板电器!R70+德润电子!R70</f>
        <v>7294.3895361675059</v>
      </c>
      <c r="D65" s="180">
        <f>中航光电!G70+东方国信!G70+积成电子!G70+洲际油气!G70+老板电器!G70+德润电子!G70</f>
        <v>11559704.956535295</v>
      </c>
      <c r="E65" s="168">
        <f t="shared" ref="E65" si="10">C65/D65</f>
        <v>6.3101866038921804E-4</v>
      </c>
      <c r="F65" s="38">
        <f>中航光电!V70+东方国信!V70+积成电子!V70+洲际油气!V70+老板电器!V70+德润电子!V70</f>
        <v>449857.08719199686</v>
      </c>
      <c r="G65" s="180">
        <f>中航光电!W70+东方国信!W70+积成电子!W70+洲际油气!W70+老板电器!W70+德润电子!W70</f>
        <v>296580.04790980392</v>
      </c>
      <c r="H65" s="168">
        <f t="shared" ref="H65" si="11">F65/B65</f>
        <v>4.0428758703540298E-2</v>
      </c>
      <c r="I65" s="168">
        <f t="shared" ref="I65" si="12">G65/B65</f>
        <v>2.6653716334833367E-2</v>
      </c>
      <c r="J65" s="180">
        <f>中航光电!H70+东方国信!H70+积成电子!H70+洲际油气!H70+老板电器!H70+德润电子!H70</f>
        <v>11563147.936877158</v>
      </c>
      <c r="K65" s="180">
        <f>中航光电!F70+东方国信!F70+积成电子!F70+洲际油气!F70+老板电器!F70+德润电子!F70</f>
        <v>11400983.640000001</v>
      </c>
      <c r="L65" s="180">
        <f t="shared" si="4"/>
        <v>-24436.087320918101</v>
      </c>
      <c r="M65" s="1">
        <f t="shared" si="5"/>
        <v>-2.1960767232158743E-3</v>
      </c>
      <c r="N65" s="158">
        <f t="shared" si="6"/>
        <v>4797.3886413825676</v>
      </c>
      <c r="O65" s="1">
        <f t="shared" si="3"/>
        <v>4.311424079149449E-4</v>
      </c>
      <c r="P65" s="176"/>
      <c r="Q65" s="176"/>
      <c r="R65" s="176"/>
      <c r="S65" s="176"/>
      <c r="T65" s="176"/>
      <c r="U65" s="176"/>
    </row>
    <row r="66" spans="1:21" ht="156" customHeight="1" x14ac:dyDescent="0.15">
      <c r="A66" s="147">
        <v>42516</v>
      </c>
      <c r="B66" s="180">
        <f>中航光电!E71+东方国信!E71+积成电子!E71+洲际油气!E71+老板电器!E71+德润电子!E71</f>
        <v>11127155.560000001</v>
      </c>
      <c r="C66" s="38">
        <f>中航光电!R71+东方国信!R71+积成电子!R71+洲际油气!R71+老板电器!R71+德润电子!R71</f>
        <v>347784.52078878909</v>
      </c>
      <c r="D66" s="180">
        <f>中航光电!G71+东方国信!G71+积成电子!G71+洲际油气!G71+老板电器!G71+德润电子!G71</f>
        <v>11563147.936877158</v>
      </c>
      <c r="E66" s="168">
        <f t="shared" ref="E66" si="13">C66/D66</f>
        <v>3.0076975810335842E-2</v>
      </c>
      <c r="F66" s="38">
        <f>中航光电!V71+东方国信!V71+积成电子!V71+洲际油气!V71+老板电器!V71+德润电子!V71</f>
        <v>794901.66317230498</v>
      </c>
      <c r="G66" s="180">
        <f>中航光电!W71+东方国信!W71+积成电子!W71+洲际油气!W71+老板电器!W71+德润电子!W71</f>
        <v>671995.73429987079</v>
      </c>
      <c r="H66" s="168">
        <f t="shared" ref="H66" si="14">F66/B66</f>
        <v>7.143799319475902E-2</v>
      </c>
      <c r="I66" s="168">
        <f t="shared" ref="I66" si="15">G66/B66</f>
        <v>6.0392409423623693E-2</v>
      </c>
      <c r="J66" s="180">
        <f>中航光电!H71+东方国信!H71+积成电子!H71+洲际油气!H71+老板电器!H71+德润电子!H71</f>
        <v>11915333.821831781</v>
      </c>
      <c r="K66" s="180">
        <f>中航光电!F71+东方国信!F71+积成电子!F71+洲际油气!F71+老板电器!F71+德润电子!F71</f>
        <v>11772734.689999999</v>
      </c>
      <c r="L66" s="180">
        <f t="shared" si="4"/>
        <v>375415.68639006687</v>
      </c>
      <c r="M66" s="1">
        <f t="shared" si="5"/>
        <v>3.3738693088790322E-2</v>
      </c>
      <c r="N66" s="158">
        <f t="shared" si="6"/>
        <v>345044.57598030812</v>
      </c>
      <c r="O66" s="1">
        <f t="shared" si="3"/>
        <v>3.1009234491218715E-2</v>
      </c>
      <c r="P66" s="176"/>
      <c r="Q66" s="176"/>
      <c r="R66" s="176"/>
      <c r="S66" s="176"/>
      <c r="T66" s="176"/>
      <c r="U66" s="176"/>
    </row>
    <row r="67" spans="1:21" x14ac:dyDescent="0.15">
      <c r="A67" s="147">
        <v>42517</v>
      </c>
      <c r="B67" s="180">
        <f>中航光电!E72+东方国信!E72+积成电子!E72+洲际油气!E72+老板电器!E72+德润电子!E72</f>
        <v>11127155.560000001</v>
      </c>
      <c r="C67" s="38">
        <f>中航光电!R72+东方国信!R72+积成电子!R72+洲际油气!R72+老板电器!R72+德润电子!R72</f>
        <v>-157428.10019737942</v>
      </c>
      <c r="D67" s="180">
        <f>中航光电!G72+东方国信!G72+积成电子!G72+洲际油气!G72+老板电器!G72+德润电子!G72</f>
        <v>11915333.821831781</v>
      </c>
      <c r="E67" s="168">
        <f t="shared" ref="E67" si="16">C67/D67</f>
        <v>-1.3212227416485214E-2</v>
      </c>
      <c r="F67" s="38">
        <f>中航光电!V72+东方国信!V72+积成电子!V72+洲际油气!V72+老板电器!V72+德润电子!V72</f>
        <v>638226.42237836646</v>
      </c>
      <c r="G67" s="180">
        <f>中航光电!W72+东方国信!W72+积成电子!W72+洲际油气!W72+老板电器!W72+德润电子!W72</f>
        <v>513407.47827549733</v>
      </c>
      <c r="H67" s="168">
        <f t="shared" ref="H67" si="17">F67/B67</f>
        <v>5.7357553683590849E-2</v>
      </c>
      <c r="I67" s="168">
        <f t="shared" ref="I67" si="18">G67/B67</f>
        <v>4.6140046798761325E-2</v>
      </c>
      <c r="J67" s="180">
        <f>中航光电!H72+东方国信!H72+积成电子!H72+洲际油气!H72+老板电器!H72+德润电子!H72</f>
        <v>11756361.103808295</v>
      </c>
      <c r="K67" s="180">
        <f>中航光电!F72+东方国信!F72+积成电子!F72+洲际油气!F72+老板电器!F72+德润电子!F72</f>
        <v>11610223.710000001</v>
      </c>
      <c r="L67" s="180">
        <f t="shared" ref="L67" si="19">G67-G66</f>
        <v>-158588.25602437346</v>
      </c>
      <c r="M67" s="1">
        <f t="shared" ref="M67" si="20">I67-I66</f>
        <v>-1.4252362624862368E-2</v>
      </c>
      <c r="N67" s="158">
        <f t="shared" si="6"/>
        <v>-156675.24079393852</v>
      </c>
      <c r="O67" s="1">
        <f t="shared" ref="O67:O69" si="21">N67/B67</f>
        <v>-1.4080439511168164E-2</v>
      </c>
      <c r="P67" s="176"/>
      <c r="Q67" s="176"/>
      <c r="R67" s="176"/>
      <c r="S67" s="176"/>
      <c r="T67" s="176"/>
      <c r="U67" s="176"/>
    </row>
    <row r="68" spans="1:21" x14ac:dyDescent="0.15">
      <c r="A68" s="147">
        <v>42520</v>
      </c>
      <c r="B68" s="180">
        <f>中航光电!E73+东方国信!E73+积成电子!E73+洲际油气!E73+老板电器!E73+德润电子!E73</f>
        <v>9237875.5600000005</v>
      </c>
      <c r="C68" s="38">
        <f>中航光电!R73+东方国信!R73+积成电子!R73+洲际油气!R73+老板电器!R73+德润电子!R73</f>
        <v>373318.76823961729</v>
      </c>
      <c r="D68" s="180">
        <f>中航光电!G73+东方国信!G73+积成电子!G73+洲际油气!G73+老板电器!G73+德润电子!G73</f>
        <v>9374878.332130082</v>
      </c>
      <c r="E68" s="168">
        <f t="shared" ref="E68" si="22">C68/D68</f>
        <v>3.982118540783184E-2</v>
      </c>
      <c r="F68" s="38">
        <f>中航光电!V73+东方国信!V73+积成电子!V73+洲际油气!V73+老板电器!V73+德润电子!V73</f>
        <v>530049.75006936898</v>
      </c>
      <c r="G68" s="180">
        <f>中航光电!W73+东方国信!W73+积成电子!W73+洲际油气!W73+老板电器!W73+德润电子!W73</f>
        <v>381414.96673977817</v>
      </c>
      <c r="H68" s="168">
        <f t="shared" ref="H68" si="23">F68/B68</f>
        <v>5.7377883759820746E-2</v>
      </c>
      <c r="I68" s="168">
        <f t="shared" ref="I68" si="24">G68/B68</f>
        <v>4.1288168936947464E-2</v>
      </c>
      <c r="J68" s="180">
        <f>中航光电!H73+东方国信!H73+积成电子!H73+洲际油气!H73+老板电器!H73+德润电子!H73</f>
        <v>9751991.3301134929</v>
      </c>
      <c r="K68" s="180">
        <f>中航光电!F73+东方国信!F73+积成电子!F73+洲际油气!F73+老板电器!F73+德润电子!F73</f>
        <v>9594826</v>
      </c>
      <c r="L68" s="180">
        <f t="shared" ref="L68" si="25">G68-G67</f>
        <v>-131992.51153571915</v>
      </c>
      <c r="M68" s="1">
        <f t="shared" ref="M68" si="26">I68-I67</f>
        <v>-4.8518778618138608E-3</v>
      </c>
      <c r="N68" s="158">
        <f t="shared" ref="N68:N69" si="27">F68-F67</f>
        <v>-108176.67230899748</v>
      </c>
      <c r="O68" s="1">
        <f t="shared" si="21"/>
        <v>-1.1710124433522623E-2</v>
      </c>
      <c r="P68" s="176"/>
      <c r="Q68" s="176"/>
      <c r="R68" s="176"/>
      <c r="S68" s="176"/>
      <c r="T68" s="176"/>
      <c r="U68" s="176"/>
    </row>
    <row r="69" spans="1:21" ht="148.5" x14ac:dyDescent="0.15">
      <c r="A69" s="147">
        <v>42521</v>
      </c>
      <c r="B69" s="180">
        <f>中航光电!E74+东方国信!E74+积成电子!E74+洲际油气!E74+老板电器!E74+德润电子!E74</f>
        <v>9237875.5600000005</v>
      </c>
      <c r="C69" s="38">
        <f>中航光电!R74+东方国信!R74+积成电子!R74+洲际油气!R74+老板电器!R74+德润电子!R74</f>
        <v>92223.918884390921</v>
      </c>
      <c r="D69" s="180">
        <f>中航光电!G74+东方国信!G74+积成电子!G74+洲际油气!G74+老板电器!G74+德润电子!G74</f>
        <v>9751991.3301134929</v>
      </c>
      <c r="E69" s="168">
        <f t="shared" ref="E69" si="28">C69/D69</f>
        <v>9.4569320011195727E-3</v>
      </c>
      <c r="F69" s="38">
        <f>中航光电!V74+东方国信!V74+积成电子!V74+洲际油气!V74+老板电器!V74+德润电子!V74</f>
        <v>641529.6947110024</v>
      </c>
      <c r="G69" s="180">
        <f>中航光电!W74+东方国信!W74+积成电子!W74+洲际油气!W74+老板电器!W74+德润电子!W74</f>
        <v>730903.6998404545</v>
      </c>
      <c r="H69" s="168">
        <f t="shared" ref="H69" si="29">F69/B69</f>
        <v>6.9445587412849105E-2</v>
      </c>
      <c r="I69" s="168">
        <f t="shared" ref="I69" si="30">G69/B69</f>
        <v>7.9120323183965308E-2</v>
      </c>
      <c r="J69" s="180">
        <f>中航光电!H74+东方国信!H74+积成电子!H74+洲际油气!H74+老板电器!H74+德润电子!H74</f>
        <v>9937659.1345462389</v>
      </c>
      <c r="K69" s="180">
        <f>中航光电!F74+东方国信!F74+积成电子!F74+洲际油气!F74+老板电器!F74+德润电子!F74</f>
        <v>9965953.2599999998</v>
      </c>
      <c r="L69" s="180">
        <f t="shared" ref="L69" si="31">G69-G68</f>
        <v>349488.73310067633</v>
      </c>
      <c r="M69" s="1">
        <f t="shared" ref="M69" si="32">I69-I68</f>
        <v>3.7832154247017843E-2</v>
      </c>
      <c r="N69" s="158">
        <f t="shared" si="27"/>
        <v>111479.94464163342</v>
      </c>
      <c r="O69" s="1">
        <f t="shared" si="21"/>
        <v>1.2067703653028361E-2</v>
      </c>
      <c r="P69" s="176" t="str">
        <f>"5月31日"&amp;CHAR(10)&amp;"今日相对收益："&amp;ROUND(C69/10000,0)&amp;"万"&amp;CHAR(10)&amp;"今日相对收益率:"&amp;ROUND(E69*100,2)&amp;"%"&amp;CHAR(10)&amp;"今日绝对收益："&amp;ROUND(L69/10000,2)&amp;"万"&amp;CHAR(10)&amp;"今日绝对收益率："&amp;ROUND(M69*100,2)&amp;"%"&amp;CHAR(10)&amp;"累计相对收益额:"&amp;ROUND(F69/10000,2)&amp;"万"&amp;CHAR(10)&amp;"累计相对收益率："&amp;ROUND(H69*100,2)&amp;"%"&amp;CHAR(10)&amp;"累计绝对收益额："&amp;ROUND(G69/10000,2)&amp;"万"&amp;CHAR(10)&amp;"累计绝对收益率："&amp;ROUND(I69*100,2)&amp;"%"&amp;CHAR(10)&amp;"股票名称：合计"&amp;CHAR(10)&amp;"累计投入:"&amp;ROUND(B69/10000,0)&amp;"万"</f>
        <v>5月31日
今日相对收益：9万
今日相对收益率:0.95%
今日绝对收益：34.95万
今日绝对收益率：3.78%
累计相对收益额:64.15万
累计相对收益率：6.94%
累计绝对收益额：73.09万
累计绝对收益率：7.91%
股票名称：合计
累计投入:924万</v>
      </c>
      <c r="Q69" s="176" t="str">
        <f>"5月31日"&amp;CHAR(10)&amp;"今日目标收益："&amp;ROUND(中航光电!AB74,0)&amp;"元"&amp;CHAR(10)&amp;"累计目标收益："&amp;ROUND(中航光电!V74,0)&amp;"元"&amp;CHAR(10)&amp;"今日收益率:"&amp;ROUND(中航光电!AA74*100,2)&amp;"%"&amp;CHAR(10)&amp;"累计收益率："&amp;ROUND(中航光电!U74*100,2)&amp;"%"&amp;CHAR(10)&amp;"股票名称：中航光电"&amp;CHAR(10)&amp;"持仓金额:"&amp;ROUND(中航光电!H74/10000,0)&amp;"万"</f>
        <v>5月31日
今日目标收益：10841元
累计目标收益：186645元
今日收益率:0.88%
累计收益率：17.37%
股票名称：中航光电
持仓金额:124万</v>
      </c>
      <c r="R69" s="176" t="str">
        <f>"5月31日"&amp;CHAR(10)&amp;"今日目标收益："&amp;ROUND(东方国信!AB74,0)&amp;"元"&amp;CHAR(10)&amp;"累计目标收益："&amp;ROUND(东方国信!V74,0)&amp;"元"&amp;CHAR(10)&amp;"今日收益率:"&amp;ROUND(东方国信!AA74*100,2)&amp;"%"&amp;CHAR(10)&amp;"累计收益率："&amp;ROUND(东方国信!U74*100,2)&amp;"%"&amp;CHAR(10)&amp;"股票名称：东方国信"&amp;CHAR(10)&amp;"持仓金额:"&amp;ROUND(东方国信!H74/10000,0)&amp;"万"</f>
        <v>5月31日
今日目标收益：57887元
累计目标收益：445836元
今日收益率:4.55%
累计收益率：51.83%
股票名称：东方国信
持仓金额:133万</v>
      </c>
      <c r="S69" s="176" t="str">
        <f>"5月31日"&amp;CHAR(10)&amp;"今日目标收益："&amp;ROUND(积成电子!AB74,0)&amp;"元"&amp;CHAR(10)&amp;"累计目标收益："&amp;ROUND(积成电子!V74,0)&amp;"元"&amp;CHAR(10)&amp;"今日收益率:"&amp;ROUND(积成电子!AA74*100,2)&amp;"%"&amp;CHAR(10)&amp;"累计收益率："&amp;ROUND(积成电子!U74*100,2)&amp;"%"&amp;CHAR(10)&amp;"股票名称：积成电子"&amp;CHAR(10)&amp;"持仓金额:"&amp;ROUND(积成电子!H74/10000,0)&amp;"万"</f>
        <v>5月31日
今日目标收益：28657元
累计目标收益：-23263元
今日收益率:2.99%
累计收益率：-2.31%
股票名称：积成电子
持仓金额:99万</v>
      </c>
      <c r="T69" s="176" t="str">
        <f>"5月31日"&amp;CHAR(10)&amp;"今日目标收益："&amp;ROUND(洲际油气!AB74,0)&amp;"元"&amp;CHAR(10)&amp;"累计目标收益："&amp;ROUND(洲际油气!V74,0)&amp;"元"&amp;CHAR(10)&amp;"今日收益率:"&amp;ROUND(洲际油气!AA74*100,2)&amp;"%"&amp;CHAR(10)&amp;"累计收益率："&amp;ROUND(洲际油气!U74*100,2)&amp;"%"&amp;CHAR(10)&amp;"股票名称：洲际油气"&amp;CHAR(10)&amp;"持仓金额:"&amp;ROUND(洲际油气!H74/10000,0)&amp;"万"</f>
        <v>5月31日
今日目标收益：-5654元
累计目标收益：43991元
今日收益率:-0.24%
累计收益率：1.94%
股票名称：洲际油气
持仓金额:231万</v>
      </c>
      <c r="U69" s="176" t="str">
        <f>"5月31日"&amp;CHAR(10)&amp;"今日目标收益："&amp;ROUND(老板电器!AB74,0)&amp;"元"&amp;CHAR(10)&amp;"累计目标收益："&amp;ROUND(老板电器!V74,0)&amp;"元"&amp;CHAR(10)&amp;"今日收益率:"&amp;ROUND(老板电器!AA74*100,2)&amp;"%"&amp;CHAR(10)&amp;"累计收益率："&amp;ROUND(老板电器!U74*100,2)&amp;"%"&amp;CHAR(10)&amp;"股票名称：老板电器"&amp;CHAR(10)&amp;"持仓金额:"&amp;ROUND(老板电器!H74/10000,0)&amp;"万"</f>
        <v>5月31日
今日目标收益：492元
累计目标收益：-11680元
今日收益率:0.01%
累计收益率：-0.29%
股票名称：老板电器
持仓金额:407万</v>
      </c>
    </row>
    <row r="70" spans="1:21" ht="148.5" x14ac:dyDescent="0.15">
      <c r="A70" s="147">
        <v>42522</v>
      </c>
      <c r="B70" s="180">
        <f>中航光电!E75+东方国信!E75+积成电子!E75+洲际油气!E75+老板电器!E75+德润电子!E75</f>
        <v>9237875.5600000005</v>
      </c>
      <c r="C70" s="38">
        <f>中航光电!R75+东方国信!R75+积成电子!R75+洲际油气!R75+老板电器!R75+德润电子!R75</f>
        <v>90443.610866767995</v>
      </c>
      <c r="D70" s="180">
        <f>中航光电!G75+东方国信!G75+积成电子!G75+洲际油气!G75+老板电器!G75+德润电子!G75</f>
        <v>9937659.1345462389</v>
      </c>
      <c r="E70" s="168">
        <f t="shared" ref="E70" si="33">C70/D70</f>
        <v>9.1010981200149322E-3</v>
      </c>
      <c r="F70" s="38">
        <f>中航光电!V75+东方国信!V75+积成电子!V75+洲际油气!V75+老板电器!V75+德润电子!V75</f>
        <v>734736.27214024297</v>
      </c>
      <c r="G70" s="180">
        <f>中航光电!W75+东方国信!W75+积成电子!W75+洲际油气!W75+老板电器!W75+德润电子!W75</f>
        <v>820199.53983944748</v>
      </c>
      <c r="H70" s="168">
        <f t="shared" ref="H70" si="34">F70/B70</f>
        <v>7.9535199123232495E-2</v>
      </c>
      <c r="I70" s="168">
        <f t="shared" ref="I70" si="35">G70/B70</f>
        <v>8.8786597579957813E-2</v>
      </c>
      <c r="J70" s="180">
        <f>中航光电!H75+东方国信!H75+积成电子!H75+洲际油气!H75+老板电器!H75+德润电子!H75</f>
        <v>10019995.461297289</v>
      </c>
      <c r="K70" s="180">
        <f>中航光电!F75+东方国信!F75+积成电子!F75+洲际油气!F75+老板电器!F75+德润电子!F75</f>
        <v>10055249.1</v>
      </c>
      <c r="L70" s="180">
        <f t="shared" ref="L70" si="36">G70-G69</f>
        <v>89295.839998992975</v>
      </c>
      <c r="M70" s="1">
        <f t="shared" ref="M70" si="37">I70-I69</f>
        <v>9.6662743959925052E-3</v>
      </c>
      <c r="N70" s="158">
        <f t="shared" ref="N70" si="38">F70-F69</f>
        <v>93206.577429240569</v>
      </c>
      <c r="O70" s="1">
        <f t="shared" ref="O70" si="39">N70/B70</f>
        <v>1.0089611710383395E-2</v>
      </c>
      <c r="P70" s="176" t="str">
        <f>"6月1日"&amp;CHAR(10)&amp;"今日相对收益："&amp;ROUND(C70/10000,0)&amp;"万"&amp;CHAR(10)&amp;"今日相对收益率:"&amp;ROUND(O70*100,2)&amp;"%"&amp;CHAR(10)&amp;"今日绝对收益："&amp;ROUND(L70/10000,2)&amp;"万"&amp;CHAR(10)&amp;"今日绝对收益率："&amp;ROUND(M70*100,2)&amp;"%"&amp;CHAR(10)&amp;"累计相对收益额:"&amp;ROUND(F70/10000,2)&amp;"万"&amp;CHAR(10)&amp;"累计相对收益率："&amp;ROUND(H70*100,2)&amp;"%"&amp;CHAR(10)&amp;"累计绝对收益额："&amp;ROUND(G70/10000,2)&amp;"万"&amp;CHAR(10)&amp;"累计绝对收益率："&amp;ROUND(I70*100,2)&amp;"%"&amp;CHAR(10)&amp;"股票名称：合计"&amp;CHAR(10)&amp;"累计投入:"&amp;ROUND(B70/10000,0)&amp;"万"</f>
        <v>6月1日
今日相对收益：9万
今日相对收益率:1.01%
今日绝对收益：8.93万
今日绝对收益率：0.97%
累计相对收益额:73.47万
累计相对收益率：7.95%
累计绝对收益额：82.02万
累计绝对收益率：8.88%
股票名称：合计
累计投入:924万</v>
      </c>
      <c r="Q70" s="176" t="str">
        <f>"6月1日"&amp;CHAR(10)&amp;"今日目标收益："&amp;ROUND(中航光电!AB75,0)&amp;"元"&amp;CHAR(10)&amp;"累计目标收益："&amp;ROUND(中航光电!V75,0)&amp;"元"&amp;CHAR(10)&amp;"今日收益率:"&amp;ROUND(中航光电!AA75*100,2)&amp;"%"&amp;CHAR(10)&amp;"累计收益率："&amp;ROUND(中航光电!U75*100,2)&amp;"%"&amp;CHAR(10)&amp;"股票名称：中航光电"&amp;CHAR(10)&amp;"持仓金额:"&amp;ROUND(中航光电!H75/10000,0)&amp;"万"</f>
        <v>6月1日
今日目标收益：35569元
累计目标收益：223353元
今日收益率:2.87%
累计收益率：20.84%
股票名称：中航光电
持仓金额:127万</v>
      </c>
      <c r="R70" s="176" t="str">
        <f>"6月1日"&amp;CHAR(10)&amp;"今日目标收益："&amp;ROUND(东方国信!AB75,0)&amp;"元"&amp;CHAR(10)&amp;"累计目标收益："&amp;ROUND(东方国信!V75,0)&amp;"元"&amp;CHAR(10)&amp;"今日收益率:"&amp;ROUND(东方国信!AA75*100,2)&amp;"%"&amp;CHAR(10)&amp;"累计收益率："&amp;ROUND(东方国信!AC75*100,2)&amp;"%"&amp;CHAR(10)&amp;"股票名称：东方国信"&amp;CHAR(10)&amp;"持仓金额:"&amp;ROUND(东方国信!H75/10000,0)&amp;"万"</f>
        <v>6月1日
今日目标收益：41417元
累计目标收益：489064元
今日收益率:3.11%
累计收益率：21.31%
股票名称：东方国信
持仓金额:137万</v>
      </c>
      <c r="S70" s="176" t="str">
        <f>"6月1日"&amp;CHAR(10)&amp;"今日目标收益："&amp;ROUND(积成电子!AB75,0)&amp;"元"&amp;CHAR(10)&amp;"累计目标收益："&amp;ROUND(积成电子!V75,0)&amp;"元"&amp;CHAR(10)&amp;"今日收益率:"&amp;ROUND(积成电子!AA75*100,2)&amp;"%"&amp;CHAR(10)&amp;"累计收益率："&amp;ROUND(积成电子!U75*100,2)&amp;"%"&amp;CHAR(10)&amp;"股票名称：积成电子"&amp;CHAR(10)&amp;"持仓金额:"&amp;ROUND(积成电子!H75/10000,0)&amp;"万"</f>
        <v>6月1日
今日目标收益：3158元
累计目标收益：-20193元
今日收益率:0.32%
累计收益率：-2%
股票名称：积成电子
持仓金额:99万</v>
      </c>
      <c r="T70" s="176" t="str">
        <f>"6月1日"&amp;CHAR(10)&amp;"今日目标收益："&amp;ROUND(洲际油气!AB75,0)&amp;"元"&amp;CHAR(10)&amp;"累计目标收益："&amp;ROUND(洲际油气!V75,0)&amp;"元"&amp;CHAR(10)&amp;"今日收益率:"&amp;ROUND(洲际油气!AA75*100,2)&amp;"%"&amp;CHAR(10)&amp;"累计收益率："&amp;ROUND(洲际油气!U75*100,2)&amp;"%"&amp;CHAR(10)&amp;"股票名称：洲际油气"&amp;CHAR(10)&amp;"持仓金额:"&amp;ROUND(洲际油气!H75/10000,0)&amp;"万"</f>
        <v>6月1日
今日目标收益：-7361元
累计目标收益：36478元
今日收益率:-0.32%
累计收益率：1.61%
股票名称：洲际油气
持仓金额:230万</v>
      </c>
      <c r="U70" s="176" t="str">
        <f>"6月1日"&amp;CHAR(10)&amp;"今日目标收益："&amp;ROUND(老板电器!AB75,0)&amp;"元"&amp;CHAR(10)&amp;"累计目标收益："&amp;ROUND(老板电器!V75,0)&amp;"元"&amp;CHAR(10)&amp;"今日收益率:"&amp;ROUND(老板电器!AA75*100,2)&amp;"%"&amp;CHAR(10)&amp;"累计收益率："&amp;ROUND(老板电器!U75*100,2)&amp;"%"&amp;CHAR(10)&amp;"股票名称：老板电器"&amp;CHAR(10)&amp;"持仓金额:"&amp;ROUND(老板电器!H75/10000,0)&amp;"万"</f>
        <v>6月1日
今日目标收益：17660元
累计目标收益：6034元
今日收益率:0.43%
累计收益率：0.15%
股票名称：老板电器
持仓金额:408万</v>
      </c>
    </row>
    <row r="71" spans="1:21" ht="148.5" x14ac:dyDescent="0.15">
      <c r="A71" s="147">
        <v>42523</v>
      </c>
      <c r="B71" s="180">
        <f>中航光电!E76+东方国信!E76+积成电子!E76+洲际油气!E76+老板电器!E76+德润电子!E76</f>
        <v>9237875.5600000005</v>
      </c>
      <c r="C71" s="38">
        <f>中航光电!R76+东方国信!R76+积成电子!R76+洲际油气!R76+老板电器!R76+德润电子!R76</f>
        <v>-84284.545571181108</v>
      </c>
      <c r="D71" s="180">
        <f>中航光电!G76+东方国信!G76+积成电子!G76+洲际油气!G76+老板电器!G76+德润电子!G76</f>
        <v>9972231.2612972893</v>
      </c>
      <c r="E71" s="168">
        <f t="shared" ref="E71" si="40">C71/D71</f>
        <v>-8.4519244853750539E-3</v>
      </c>
      <c r="F71" s="38">
        <f>中航光电!V76+东方国信!V76+积成电子!V76+洲际油气!V76+老板电器!V76+德润电子!V76</f>
        <v>644367.6849779312</v>
      </c>
      <c r="G71" s="180">
        <f>中航光电!W76+东方国信!W76+积成电子!W76+洲际油气!W76+老板电器!W76+德润电子!W76</f>
        <v>756829.08983763389</v>
      </c>
      <c r="H71" s="168">
        <f t="shared" ref="H71" si="41">F71/B71</f>
        <v>6.9752799850221314E-2</v>
      </c>
      <c r="I71" s="168">
        <f t="shared" ref="I71" si="42">G71/B71</f>
        <v>8.1926746568735317E-2</v>
      </c>
      <c r="J71" s="180">
        <f>中航光电!H76+东方国信!H76+积成电子!H76+洲际油气!H76+老板电器!H76+德润电子!H76</f>
        <v>9893801.8369602263</v>
      </c>
      <c r="K71" s="180">
        <f>中航光电!F76+东方国信!F76+积成电子!F76+洲际油气!F76+老板电器!F76+德润电子!F76</f>
        <v>9953667.6499999985</v>
      </c>
      <c r="L71" s="180">
        <f t="shared" ref="L71" si="43">G71-G70</f>
        <v>-63370.450001813588</v>
      </c>
      <c r="M71" s="1">
        <f t="shared" ref="M71" si="44">I71-I70</f>
        <v>-6.8598510112224953E-3</v>
      </c>
      <c r="N71" s="180">
        <f>中航光电!AB76+东方国信!AB76+积成电子!AB76+洲际油气!AB76+老板电器!AB76+德润电子!AB76</f>
        <v>-84284.545571181108</v>
      </c>
      <c r="O71" s="1">
        <f t="shared" ref="O71" si="45">N71/B71</f>
        <v>-9.123801790114296E-3</v>
      </c>
      <c r="P71" s="176" t="str">
        <f>"6月1日"&amp;CHAR(10)&amp;"今日相对收益："&amp;ROUND(C71/10000,0)&amp;"万"&amp;CHAR(10)&amp;"今日相对收益率:"&amp;ROUND(O71*100,2)&amp;"%"&amp;CHAR(10)&amp;"今日绝对收益："&amp;ROUND(L71/10000,2)&amp;"万"&amp;CHAR(10)&amp;"今日绝对收益率："&amp;ROUND(M71*100,2)&amp;"%"&amp;CHAR(10)&amp;"累计相对收益额:"&amp;ROUND(F71/10000,2)&amp;"万"&amp;CHAR(10)&amp;"累计相对收益率："&amp;ROUND(H71*100,2)&amp;"%"&amp;CHAR(10)&amp;"累计绝对收益额："&amp;ROUND(G71/10000,2)&amp;"万"&amp;CHAR(10)&amp;"累计绝对收益率："&amp;ROUND(I71*100,2)&amp;"%"&amp;CHAR(10)&amp;"股票名称：合计"&amp;CHAR(10)&amp;"累计投入:"&amp;ROUND(B71/10000,0)&amp;"万"</f>
        <v>6月1日
今日相对收益：-8万
今日相对收益率:-0.91%
今日绝对收益：-6.34万
今日绝对收益率：-0.69%
累计相对收益额:64.44万
累计相对收益率：6.98%
累计绝对收益额：75.68万
累计绝对收益率：8.19%
股票名称：合计
累计投入:924万</v>
      </c>
      <c r="Q71" s="176" t="str">
        <f>"6月1日"&amp;CHAR(10)&amp;"今日目标收益："&amp;ROUND(中航光电!AB76,0)&amp;"元"&amp;CHAR(10)&amp;"累计目标收益："&amp;ROUND(中航光电!V76,0)&amp;"元"&amp;CHAR(10)&amp;"今日收益率:"&amp;ROUND(中航光电!AA76*100,2)&amp;"%"&amp;CHAR(10)&amp;"累计收益率："&amp;ROUND(中航光电!U76*100,2)&amp;"%"&amp;CHAR(10)&amp;"股票名称：中航光电"&amp;CHAR(10)&amp;"持仓金额:"&amp;ROUND(中航光电!H76/10000,0)&amp;"万"</f>
        <v>6月1日
今日目标收益：-13971元
累计目标收益：210702元
今日收益率:-1.1%
累计收益率：19.64%
股票名称：中航光电
持仓金额:126万</v>
      </c>
      <c r="R71" s="176" t="str">
        <f>"6月1日"&amp;CHAR(10)&amp;"今日目标收益："&amp;ROUND(东方国信!AB76,0)&amp;"元"&amp;CHAR(10)&amp;"累计目标收益："&amp;ROUND(东方国信!V76,0)&amp;"元"&amp;CHAR(10)&amp;"今日收益率:"&amp;ROUND(东方国信!AA76*100,2)&amp;"%"&amp;CHAR(10)&amp;"累计收益率："&amp;ROUND(东方国信!AC76*100,2)&amp;"%"&amp;CHAR(10)&amp;"股票名称：东方国信"&amp;CHAR(10)&amp;"持仓金额:"&amp;ROUND(东方国信!H76/10000,0)&amp;"万"</f>
        <v>6月1日
今日目标收益：4658元
累计目标收益：496004元
今日收益率:0.34%
累计收益率：21.65%
股票名称：东方国信
持仓金额:138万</v>
      </c>
      <c r="S71" s="176" t="str">
        <f>"6月1日"&amp;CHAR(10)&amp;"今日目标收益："&amp;ROUND(积成电子!AB76,0)&amp;"元"&amp;CHAR(10)&amp;"累计目标收益："&amp;ROUND(积成电子!V76,0)&amp;"元"&amp;CHAR(10)&amp;"今日收益率:"&amp;ROUND(积成电子!AA76*100,2)&amp;"%"&amp;CHAR(10)&amp;"累计收益率："&amp;ROUND(积成电子!U76*100,2)&amp;"%"&amp;CHAR(10)&amp;"股票名称：积成电子"&amp;CHAR(10)&amp;"持仓金额:"&amp;ROUND(积成电子!H76/10000,0)&amp;"万"</f>
        <v>6月1日
今日目标收益：6528元
累计目标收益：-13782元
今日收益率:0.66%
累计收益率：-1.37%
股票名称：积成电子
持仓金额:100万</v>
      </c>
      <c r="T71" s="176" t="str">
        <f>"6月1日"&amp;CHAR(10)&amp;"今日目标收益："&amp;ROUND(洲际油气!AB76,0)&amp;"元"&amp;CHAR(10)&amp;"累计目标收益："&amp;ROUND(洲际油气!V76,0)&amp;"元"&amp;CHAR(10)&amp;"今日收益率:"&amp;ROUND(洲际油气!AA76*100,2)&amp;"%"&amp;CHAR(10)&amp;"累计收益率："&amp;ROUND(洲际油气!U76*100,2)&amp;"%"&amp;CHAR(10)&amp;"股票名称：洲际油气"&amp;CHAR(10)&amp;"持仓金额:"&amp;ROUND(洲际油气!H76/10000,0)&amp;"万"</f>
        <v>6月1日
今日目标收益：-15939元
累计目标收益：20600元
今日收益率:-0.69%
累计收益率：0.91%
股票名称：洲际油气
持仓金额:229万</v>
      </c>
      <c r="U71" s="176" t="str">
        <f>"6月1日"&amp;CHAR(10)&amp;"今日目标收益："&amp;ROUND(老板电器!AB76,0)&amp;"元"&amp;CHAR(10)&amp;"累计目标收益："&amp;ROUND(老板电器!V76,0)&amp;"元"&amp;CHAR(10)&amp;"今日收益率:"&amp;ROUND(老板电器!AA76*100,2)&amp;"%"&amp;CHAR(10)&amp;"累计收益率："&amp;ROUND(老板电器!U76*100,2)&amp;"%"&amp;CHAR(10)&amp;"股票名称：老板电器"&amp;CHAR(10)&amp;"持仓金额:"&amp;ROUND(老板电器!H76/10000,0)&amp;"万"</f>
        <v>6月1日
今日目标收益：-65560元
累计目标收益：-69157元
今日收益率:-1.62%
累计收益率：-2.65%
股票名称：老板电器
持仓金额:398万</v>
      </c>
    </row>
    <row r="72" spans="1:21" ht="148.5" x14ac:dyDescent="0.15">
      <c r="A72" s="147">
        <v>42524</v>
      </c>
      <c r="B72" s="180">
        <f>中航光电!E77+东方国信!E77+积成电子!E77+洲际油气!E77+老板电器!E77+德润电子!E77</f>
        <v>9237875.5600000005</v>
      </c>
      <c r="C72" s="38">
        <f>中航光电!R77+东方国信!R77+积成电子!R77+洲际油气!R77+老板电器!R77+德润电子!R77</f>
        <v>4723.9328790860163</v>
      </c>
      <c r="D72" s="180">
        <f>中航光电!G77+东方国信!G77+积成电子!G77+洲际油气!G77+老板电器!G77+德润电子!G77</f>
        <v>9893801.8369602263</v>
      </c>
      <c r="E72" s="168">
        <f t="shared" ref="E72" si="46">C72/D72</f>
        <v>4.7746386646221715E-4</v>
      </c>
      <c r="F72" s="38">
        <f>中航光电!V77+东方国信!V77+积成电子!V77+洲际油气!V77+老板电器!V77+德润电子!V77</f>
        <v>649988.59016463789</v>
      </c>
      <c r="G72" s="180">
        <f>中航光电!W77+东方国信!W77+积成电子!W77+洲际油气!W77+老板电器!W77+德润电子!W77</f>
        <v>805974.81483572035</v>
      </c>
      <c r="H72" s="168">
        <f t="shared" ref="H72" si="47">F72/B72</f>
        <v>7.0361262818811762E-2</v>
      </c>
      <c r="I72" s="168">
        <f t="shared" ref="I72" si="48">G72/B72</f>
        <v>8.724677114352905E-2</v>
      </c>
      <c r="J72" s="180">
        <f>中航光电!H77+东方国信!H77+积成电子!H77+洲际油气!H77+老板电器!H77+德润电子!H77</f>
        <v>9918062.9767868835</v>
      </c>
      <c r="K72" s="180">
        <f>中航光电!F77+东方国信!F77+积成电子!F77+洲际油气!F77+老板电器!F77+德润电子!F77</f>
        <v>10002813.375</v>
      </c>
      <c r="L72" s="180">
        <f t="shared" ref="L72" si="49">G72-G71</f>
        <v>49145.724998086458</v>
      </c>
      <c r="M72" s="1">
        <f t="shared" ref="M72" si="50">I72-I71</f>
        <v>5.320024574793733E-3</v>
      </c>
      <c r="N72" s="180">
        <f>中航光电!AB77+东方国信!AB77+积成电子!AB77+洲际油气!AB77+老板电器!AB77+德润电子!AB77</f>
        <v>4723.9328790860163</v>
      </c>
      <c r="O72" s="1">
        <f t="shared" ref="O72" si="51">N72/B72</f>
        <v>5.1136571914225004E-4</v>
      </c>
      <c r="P72" s="176" t="str">
        <f>"6月1日"&amp;CHAR(10)&amp;"今日相对收益："&amp;ROUND(C72/10000,2)&amp;"万"&amp;CHAR(10)&amp;"今日相对收益率:"&amp;ROUND(O72*100,2)&amp;"%"&amp;CHAR(10)&amp;"今日绝对收益："&amp;ROUND(L72/10000,2)&amp;"万"&amp;CHAR(10)&amp;"今日绝对收益率："&amp;ROUND(M72*100,2)&amp;"%"&amp;CHAR(10)&amp;"累计相对收益额:"&amp;ROUND(F72/10000,2)&amp;"万"&amp;CHAR(10)&amp;"累计相对收益率："&amp;ROUND(H72*100,2)&amp;"%"&amp;CHAR(10)&amp;"累计绝对收益额："&amp;ROUND(G72/10000,2)&amp;"万"&amp;CHAR(10)&amp;"累计绝对收益率："&amp;ROUND(I72*100,2)&amp;"%"&amp;CHAR(10)&amp;"股票名称：合计"&amp;CHAR(10)&amp;"累计投入:"&amp;ROUND(B72/10000,0)&amp;"万"</f>
        <v>6月1日
今日相对收益：0.47万
今日相对收益率:0.05%
今日绝对收益：4.91万
今日绝对收益率：0.53%
累计相对收益额:65万
累计相对收益率：7.04%
累计绝对收益额：80.6万
累计绝对收益率：8.72%
股票名称：合计
累计投入:924万</v>
      </c>
      <c r="Q72" s="176" t="str">
        <f>"6月1日"&amp;CHAR(10)&amp;"今日目标收益："&amp;ROUND(中航光电!AB77,0)&amp;"元"&amp;CHAR(10)&amp;"累计目标收益："&amp;ROUND(中航光电!V77,0)&amp;"元"&amp;CHAR(10)&amp;"今日收益率:"&amp;ROUND(中航光电!AA77*100,2)&amp;"%"&amp;CHAR(10)&amp;"累计收益率："&amp;ROUND(中航光电!U77*100,2)&amp;"%"&amp;CHAR(10)&amp;"股票名称：中航光电"&amp;CHAR(10)&amp;"持仓金额:"&amp;ROUND(中航光电!H77/10000,0)&amp;"万"</f>
        <v>6月1日
今日目标收益：21774元
累计目标收益：233542元
今日收益率:1.73%
累计收益率：21.8%
股票名称：中航光电
持仓金额:128万</v>
      </c>
      <c r="R72" s="176" t="str">
        <f>"6月1日"&amp;CHAR(10)&amp;"今日目标收益："&amp;ROUND(东方国信!AB77,0)&amp;"元"&amp;CHAR(10)&amp;"累计目标收益："&amp;ROUND(东方国信!V77,0)&amp;"元"&amp;CHAR(10)&amp;"今日收益率:"&amp;ROUND(东方国信!AA77*100,2)&amp;"%"&amp;CHAR(10)&amp;"累计收益率："&amp;ROUND(东方国信!AC77*100,2)&amp;"%"&amp;CHAR(10)&amp;"股票名称：东方国信"&amp;CHAR(10)&amp;"持仓金额:"&amp;ROUND(东方国信!H77/10000,0)&amp;"万"</f>
        <v>6月1日
今日目标收益：-33639元
累计目标收益：462755元
今日收益率:-2.44%
累计收益率：19.21%
股票名称：东方国信
持仓金额:134万</v>
      </c>
      <c r="S72" s="176" t="str">
        <f>"6月1日"&amp;CHAR(10)&amp;"今日目标收益："&amp;ROUND(积成电子!AB77,0)&amp;"元"&amp;CHAR(10)&amp;"累计目标收益："&amp;ROUND(积成电子!V77,0)&amp;"元"&amp;CHAR(10)&amp;"今日收益率:"&amp;ROUND(积成电子!AA77*100,2)&amp;"%"&amp;CHAR(10)&amp;"累计收益率："&amp;ROUND(积成电子!U77*100,2)&amp;"%"&amp;CHAR(10)&amp;"股票名称：积成电子"&amp;CHAR(10)&amp;"持仓金额:"&amp;ROUND(积成电子!H77/10000,0)&amp;"万"</f>
        <v>6月1日
今日目标收益：9579元
累计目标收益：-4227元
今日收益率:0.96%
累计收益率：-0.42%
股票名称：积成电子
持仓金额:101万</v>
      </c>
      <c r="T72" s="176" t="str">
        <f>"6月1日"&amp;CHAR(10)&amp;"今日目标收益："&amp;ROUND(洲际油气!AB77,0)&amp;"元"&amp;CHAR(10)&amp;"累计目标收益："&amp;ROUND(洲际油气!V77,0)&amp;"元"&amp;CHAR(10)&amp;"今日收益率:"&amp;ROUND(洲际油气!AA77*100,2)&amp;"%"&amp;CHAR(10)&amp;"累计收益率："&amp;ROUND(洲际油气!U77*100,2)&amp;"%"&amp;CHAR(10)&amp;"股票名称：洲际油气"&amp;CHAR(10)&amp;"持仓金额:"&amp;ROUND(洲际油气!H77/10000,0)&amp;"万"</f>
        <v>6月1日
今日目标收益：-27187元
累计目标收益：-6522元
今日收益率:-1.19%
累计收益率：-0.29%
股票名称：洲际油气
持仓金额:226万</v>
      </c>
      <c r="U72" s="176" t="str">
        <f>"6月1日"&amp;CHAR(10)&amp;"今日目标收益："&amp;ROUND(老板电器!AB77,0)&amp;"元"&amp;CHAR(10)&amp;"累计目标收益："&amp;ROUND(老板电器!V77,0)&amp;"元"&amp;CHAR(10)&amp;"今日收益率:"&amp;ROUND(老板电器!AA77*100,2)&amp;"%"&amp;CHAR(10)&amp;"累计收益率："&amp;ROUND(老板电器!U77*100,2)&amp;"%"&amp;CHAR(10)&amp;"股票名称：老板电器"&amp;CHAR(10)&amp;"持仓金额:"&amp;ROUND(老板电器!H77/10000,0)&amp;"万"</f>
        <v>6月1日
今日目标收益：34198元
累计目标收益：-35559元
今日收益率:0.86%
累计收益率：-1.82%
股票名称：老板电器
持仓金额:403万</v>
      </c>
    </row>
    <row r="73" spans="1:21" ht="148.5" x14ac:dyDescent="0.15">
      <c r="A73" s="147">
        <v>42527</v>
      </c>
      <c r="B73" s="180">
        <f>中航光电!E78+东方国信!E78+积成电子!E78+洲际油气!E78+老板电器!E78+德润电子!E78</f>
        <v>9237875.5600000005</v>
      </c>
      <c r="C73" s="38">
        <f>中航光电!R78+东方国信!R78+积成电子!R78+洲际油气!R78+老板电器!R78+德润电子!R78</f>
        <v>125522.79068509313</v>
      </c>
      <c r="D73" s="180">
        <f>中航光电!G78+东方国信!G78+积成电子!G78+洲际油气!G78+老板电器!G78+德润电子!G78</f>
        <v>9918062.9767868835</v>
      </c>
      <c r="E73" s="168">
        <f t="shared" ref="E73" si="52">C73/D73</f>
        <v>1.2655978388005584E-2</v>
      </c>
      <c r="F73" s="38">
        <f>中航光电!V78+东方国信!V78+积成电子!V78+洲际油气!V78+老板电器!V78+德润电子!V78</f>
        <v>777943.36808230705</v>
      </c>
      <c r="G73" s="180">
        <f>中航光电!W78+东方国信!W78+积成电子!W78+洲际油气!W78+老板电器!W78+德润电子!W78</f>
        <v>925526.58483662724</v>
      </c>
      <c r="H73" s="168">
        <f t="shared" ref="H73" si="53">F73/B73</f>
        <v>8.421236712159251E-2</v>
      </c>
      <c r="I73" s="168">
        <f t="shared" ref="I73" si="54">G73/B73</f>
        <v>0.100188249866036</v>
      </c>
      <c r="J73" s="180">
        <f>中航光电!H78+东方国信!H78+积成电子!H78+洲际油气!H78+老板电器!H78+德润电子!H78</f>
        <v>10035147.306410797</v>
      </c>
      <c r="K73" s="180">
        <f>中航光电!F78+东方国信!F78+积成电子!F78+洲际油气!F78+老板电器!F78+德润电子!F78</f>
        <v>10122365.145</v>
      </c>
      <c r="L73" s="180">
        <f t="shared" ref="L73" si="55">G73-G72</f>
        <v>119551.77000090689</v>
      </c>
      <c r="M73" s="1">
        <f t="shared" ref="M73" si="56">I73-I72</f>
        <v>1.2941478722506949E-2</v>
      </c>
      <c r="N73" s="180">
        <f>中航光电!AB78+东方国信!AB78+积成电子!AB78+洲际油气!AB78+老板电器!AB78+德润电子!AB78</f>
        <v>125522.79068509313</v>
      </c>
      <c r="O73" s="1">
        <f t="shared" ref="O73" si="57">N73/B73</f>
        <v>1.358784169258642E-2</v>
      </c>
      <c r="P73" s="176" t="str">
        <f>"6月1日"&amp;CHAR(10)&amp;"今日相对收益："&amp;ROUND(C73/10000,2)&amp;"万"&amp;CHAR(10)&amp;"今日相对收益率:"&amp;ROUND(O73*100,2)&amp;"%"&amp;CHAR(10)&amp;"今日绝对收益："&amp;ROUND(L73/10000,2)&amp;"万"&amp;CHAR(10)&amp;"今日绝对收益率："&amp;ROUND(M73*100,2)&amp;"%"&amp;CHAR(10)&amp;"累计相对收益额:"&amp;ROUND(F73/10000,2)&amp;"万"&amp;CHAR(10)&amp;"累计相对收益率："&amp;ROUND(H73*100,2)&amp;"%"&amp;CHAR(10)&amp;"累计绝对收益额："&amp;ROUND(G73/10000,2)&amp;"万"&amp;CHAR(10)&amp;"累计绝对收益率："&amp;ROUND(I73*100,2)&amp;"%"&amp;CHAR(10)&amp;"股票名称：合计"&amp;CHAR(10)&amp;"累计投入:"&amp;ROUND(B73/10000,0)&amp;"万"</f>
        <v>6月1日
今日相对收益：12.55万
今日相对收益率:1.36%
今日绝对收益：11.96万
今日绝对收益率：1.29%
累计相对收益额:77.79万
累计相对收益率：8.42%
累计绝对收益额：92.55万
累计绝对收益率：10.02%
股票名称：合计
累计投入:924万</v>
      </c>
      <c r="Q73" s="176" t="str">
        <f>"6月1日"&amp;CHAR(10)&amp;"今日目标收益："&amp;ROUND(中航光电!AB78,0)&amp;"元"&amp;CHAR(10)&amp;"累计目标收益："&amp;ROUND(中航光电!V78,0)&amp;"元"&amp;CHAR(10)&amp;"今日收益率:"&amp;ROUND(中航光电!AA78*100,2)&amp;"%"&amp;CHAR(10)&amp;"累计收益率："&amp;ROUND(中航光电!U78*100,2)&amp;"%"&amp;CHAR(10)&amp;"股票名称：中航光电"&amp;CHAR(10)&amp;"持仓金额:"&amp;ROUND(中航光电!H78/10000,0)&amp;"万"</f>
        <v>6月1日
今日目标收益：23216元
累计目标收益：258038元
今日收益率:1.81%
累计收益率：24.11%
股票名称：中航光电
持仓金额:130万</v>
      </c>
      <c r="R73" s="176" t="str">
        <f>"6月1日"&amp;CHAR(10)&amp;"今日目标收益："&amp;ROUND(东方国信!AB78,0)&amp;"元"&amp;CHAR(10)&amp;"累计目标收益："&amp;ROUND(东方国信!V78,0)&amp;"元"&amp;CHAR(10)&amp;"今日收益率:"&amp;ROUND(东方国信!AA78*100,2)&amp;"%"&amp;CHAR(10)&amp;"累计收益率："&amp;ROUND(东方国信!AC78*100,2)&amp;"%"&amp;CHAR(10)&amp;"股票名称：东方国信"&amp;CHAR(10)&amp;"持仓金额:"&amp;ROUND(东方国信!H78/10000,0)&amp;"万"</f>
        <v>6月1日
今日目标收益：-13525元
累计目标收益：449927元
今日收益率:-1.01%
累计收益率：18.2%
股票名称：东方国信
持仓金额:133万</v>
      </c>
      <c r="S73" s="176" t="str">
        <f>"6月1日"&amp;CHAR(10)&amp;"今日目标收益："&amp;ROUND(积成电子!AB78,0)&amp;"元"&amp;CHAR(10)&amp;"累计目标收益："&amp;ROUND(积成电子!V78,0)&amp;"元"&amp;CHAR(10)&amp;"今日收益率:"&amp;ROUND(积成电子!AA78*100,2)&amp;"%"&amp;CHAR(10)&amp;"累计收益率："&amp;ROUND(积成电子!U78*100,2)&amp;"%"&amp;CHAR(10)&amp;"股票名称：积成电子"&amp;CHAR(10)&amp;"持仓金额:"&amp;ROUND(积成电子!H78/10000,0)&amp;"万"</f>
        <v>6月1日
今日目标收益：-7803元
累计目标收益：-12070元
今日收益率:-0.78%
累计收益率：-1.2%
股票名称：积成电子
持仓金额:100万</v>
      </c>
      <c r="T73" s="176" t="str">
        <f>"6月1日"&amp;CHAR(10)&amp;"今日目标收益："&amp;ROUND(洲际油气!AB78,0)&amp;"元"&amp;CHAR(10)&amp;"累计目标收益："&amp;ROUND(洲际油气!V78,0)&amp;"元"&amp;CHAR(10)&amp;"今日收益率:"&amp;ROUND(洲际油气!AA78*100,2)&amp;"%"&amp;CHAR(10)&amp;"累计收益率："&amp;ROUND(洲际油气!U78*100,2)&amp;"%"&amp;CHAR(10)&amp;"股票名称：洲际油气"&amp;CHAR(10)&amp;"持仓金额:"&amp;ROUND(洲际油气!H78/10000,0)&amp;"万"</f>
        <v>6月1日
今日目标收益：26832元
累计目标收益：20602元
今日收益率:1.19%
累计收益率：0.91%
股票名称：洲际油气
持仓金额:228万</v>
      </c>
      <c r="U73" s="176" t="str">
        <f>"6月1日"&amp;CHAR(10)&amp;"今日目标收益："&amp;ROUND(老板电器!AB78,0)&amp;"元"&amp;CHAR(10)&amp;"累计目标收益："&amp;ROUND(老板电器!V78,0)&amp;"元"&amp;CHAR(10)&amp;"今日收益率:"&amp;ROUND(老板电器!AA78*100,2)&amp;"%"&amp;CHAR(10)&amp;"累计收益率："&amp;ROUND(老板电器!U78*100,2)&amp;"%"&amp;CHAR(10)&amp;"股票名称：老板电器"&amp;CHAR(10)&amp;"持仓金额:"&amp;ROUND(老板电器!H78/10000,0)&amp;"万"</f>
        <v>6月1日
今日目标收益：96802元
累计目标收益：61446元
今日收益率:2.4%
累计收益率：0.57%
股票名称：老板电器
持仓金额:412万</v>
      </c>
    </row>
    <row r="74" spans="1:21" ht="148.5" x14ac:dyDescent="0.15">
      <c r="A74" s="147">
        <v>42528</v>
      </c>
      <c r="B74" s="180">
        <f>中航光电!E79+东方国信!E79+积成电子!E79+洲际油气!E79+老板电器!E79+德润电子!E79</f>
        <v>9237875.5600000005</v>
      </c>
      <c r="C74" s="38">
        <f>中航光电!R79+东方国信!R79+积成电子!R79+洲际油气!R79+老板电器!R79+德润电子!R79</f>
        <v>20007.070726158563</v>
      </c>
      <c r="D74" s="180">
        <f>中航光电!G79+东方国信!G79+积成电子!G79+洲际油气!G79+老板电器!G79+德润电子!G79</f>
        <v>10035147.306410797</v>
      </c>
      <c r="E74" s="168">
        <f t="shared" ref="E74" si="58">C74/D74</f>
        <v>1.9936997549978522E-3</v>
      </c>
      <c r="F74" s="38">
        <f>中航光电!V79+东方国信!V79+积成电子!V79+洲际油气!V79+老板电器!V79+德润电子!V79</f>
        <v>798520.79558689718</v>
      </c>
      <c r="G74" s="180">
        <f>中航光电!W79+东方国信!W79+积成电子!W79+洲际油气!W79+老板电器!W79+德润电子!W79</f>
        <v>939742.64483733196</v>
      </c>
      <c r="H74" s="168">
        <f t="shared" ref="H74" si="59">F74/B74</f>
        <v>8.6439873583542534E-2</v>
      </c>
      <c r="I74" s="168">
        <f t="shared" ref="I74" si="60">G74/B74</f>
        <v>0.10172713831591512</v>
      </c>
      <c r="J74" s="180">
        <f>中航光电!H79+东方国信!H79+积成电子!H79+洲际油气!H79+老板电器!H79+德润电子!H79</f>
        <v>10052670.181041583</v>
      </c>
      <c r="K74" s="180">
        <f>中航光电!F79+东方国信!F79+积成电子!F79+洲际油气!F79+老板电器!F79+德润电子!F79</f>
        <v>10136581.205</v>
      </c>
      <c r="L74" s="180">
        <f t="shared" ref="L74" si="61">G74-G73</f>
        <v>14216.060000704718</v>
      </c>
      <c r="M74" s="1">
        <f t="shared" ref="M74" si="62">I74-I73</f>
        <v>1.5388884498791222E-3</v>
      </c>
      <c r="N74" s="180">
        <f>中航光电!AB79+东方国信!AB79+积成电子!AB79+洲际油气!AB79+老板电器!AB79+德润电子!AB79</f>
        <v>20007.070726158563</v>
      </c>
      <c r="O74" s="1">
        <f t="shared" ref="O74" si="63">N74/B74</f>
        <v>2.1657653424981362E-3</v>
      </c>
      <c r="P74" s="176" t="str">
        <f>"6月7日"&amp;CHAR(10)&amp;"今日相对收益："&amp;ROUND(C74/10000,2)&amp;"万"&amp;CHAR(10)&amp;"今日相对收益率:"&amp;ROUND(O74*100,2)&amp;"%"&amp;CHAR(10)&amp;"今日绝对收益："&amp;ROUND(L74/10000,2)&amp;"万"&amp;CHAR(10)&amp;"今日绝对收益率："&amp;ROUND(M74*100,2)&amp;"%"&amp;CHAR(10)&amp;"累计相对收益额:"&amp;ROUND(F74/10000,2)&amp;"万"&amp;CHAR(10)&amp;"累计相对收益率："&amp;ROUND(H74*100,2)&amp;"%"&amp;CHAR(10)&amp;"累计绝对收益额："&amp;ROUND(G74/10000,2)&amp;"万"&amp;CHAR(10)&amp;"累计绝对收益率："&amp;ROUND(I74*100,2)&amp;"%"&amp;CHAR(10)&amp;"股票名称：合计"&amp;CHAR(10)&amp;"累计投入:"&amp;ROUND(B74/10000,0)&amp;"万"</f>
        <v>6月7日
今日相对收益：2万
今日相对收益率:0.22%
今日绝对收益：1.42万
今日绝对收益率：0.15%
累计相对收益额:79.85万
累计相对收益率：8.64%
累计绝对收益额：93.97万
累计绝对收益率：10.17%
股票名称：合计
累计投入:924万</v>
      </c>
      <c r="Q74" s="176" t="str">
        <f>"6月7日"&amp;CHAR(10)&amp;"今日目标收益："&amp;ROUND(中航光电!AB79,0)&amp;"元"&amp;CHAR(10)&amp;"累计目标收益："&amp;ROUND(中航光电!V79,0)&amp;"元"&amp;CHAR(10)&amp;"今日收益率:"&amp;ROUND(中航光电!AA79*100,2)&amp;"%"&amp;CHAR(10)&amp;"累计收益率："&amp;ROUND(中航光电!U79*100,2)&amp;"%"&amp;CHAR(10)&amp;"股票名称：中航光电"&amp;CHAR(10)&amp;"持仓金额:"&amp;ROUND(中航光电!H79/10000,0)&amp;"万"</f>
        <v>6月7日
今日目标收益：1707元
累计目标收益：259516元
今日收益率:0.13%
累计收益率：24.25%
股票名称：中航光电
持仓金额:131万</v>
      </c>
      <c r="R74" s="176" t="str">
        <f>"6月7日"&amp;CHAR(10)&amp;"今日目标收益："&amp;ROUND(东方国信!AB79,0)&amp;"元"&amp;CHAR(10)&amp;"累计目标收益："&amp;ROUND(东方国信!V79,0)&amp;"元"&amp;CHAR(10)&amp;"今日收益率:"&amp;ROUND(东方国信!AA79*100,2)&amp;"%"&amp;CHAR(10)&amp;"累计收益率："&amp;ROUND(东方国信!AC79*100,2)&amp;"%"&amp;CHAR(10)&amp;"股票名称：东方国信"&amp;CHAR(10)&amp;"持仓金额:"&amp;ROUND(东方国信!H79/10000,0)&amp;"万"</f>
        <v>6月7日
今日目标收益：46007元
累计目标收益：496708元
今日收益率:3.46%
累计收益率：21.66%
股票名称：东方国信
持仓金额:137万</v>
      </c>
      <c r="S74" s="176" t="str">
        <f>"6月7日"&amp;CHAR(10)&amp;"今日目标收益："&amp;ROUND(积成电子!AB79,0)&amp;"元"&amp;CHAR(10)&amp;"累计目标收益："&amp;ROUND(积成电子!V79,0)&amp;"元"&amp;CHAR(10)&amp;"今日收益率:"&amp;ROUND(积成电子!AA79*100,2)&amp;"%"&amp;CHAR(10)&amp;"累计收益率："&amp;ROUND(积成电子!U79*100,2)&amp;"%"&amp;CHAR(10)&amp;"股票名称：积成电子"&amp;CHAR(10)&amp;"持仓金额:"&amp;ROUND(积成电子!H79/10000,0)&amp;"万"</f>
        <v>6月7日
今日目标收益：-3559元
累计目标收益：-15636元
今日收益率:-0.36%
累计收益率：-1.55%
股票名称：积成电子
持仓金额:100万</v>
      </c>
      <c r="T74" s="176" t="str">
        <f>"6月7日"&amp;CHAR(10)&amp;"今日目标收益："&amp;ROUND(洲际油气!AB79,0)&amp;"元"&amp;CHAR(10)&amp;"累计目标收益："&amp;ROUND(洲际油气!V79,0)&amp;"元"&amp;CHAR(10)&amp;"今日收益率:"&amp;ROUND(洲际油气!AA79*100,2)&amp;"%"&amp;CHAR(10)&amp;"累计收益率："&amp;ROUND(洲际油气!U79*100,2)&amp;"%"&amp;CHAR(10)&amp;"股票名称：洲际油气"&amp;CHAR(10)&amp;"持仓金额:"&amp;ROUND(洲际油气!H79/10000,0)&amp;"万"</f>
        <v>6月7日
今日目标收益：6803元
累计目标收益：27440元
今日收益率:0.3%
累计收益率：1.21%
股票名称：洲际油气
持仓金额:229万</v>
      </c>
      <c r="U74" s="176" t="str">
        <f>"6月7日"&amp;CHAR(10)&amp;"今日目标收益："&amp;ROUND(老板电器!AB79,0)&amp;"元"&amp;CHAR(10)&amp;"累计目标收益："&amp;ROUND(老板电器!V79,0)&amp;"元"&amp;CHAR(10)&amp;"今日收益率:"&amp;ROUND(老板电器!AA79*100,2)&amp;"%"&amp;CHAR(10)&amp;"累计收益率："&amp;ROUND(老板电器!U79*100,2)&amp;"%"&amp;CHAR(10)&amp;"股票名称：老板电器"&amp;CHAR(10)&amp;"持仓金额:"&amp;ROUND(老板电器!H79/10000,0)&amp;"万"</f>
        <v>6月7日
今日目标收益：-30951元
累计目标收益：30493元
今日收益率:-0.75%
累计收益率：-0.19%
股票名称：老板电器
持仓金额:409万</v>
      </c>
    </row>
    <row r="75" spans="1:21" ht="148.5" x14ac:dyDescent="0.15">
      <c r="A75" s="147">
        <v>42529</v>
      </c>
      <c r="B75" s="180">
        <f>中航光电!E80+东方国信!E80+积成电子!E80+洲际油气!E80+老板电器!E80+德润电子!E80</f>
        <v>9237875.5600000005</v>
      </c>
      <c r="C75" s="38">
        <f>中航光电!R80+东方国信!R80+积成电子!R80+洲际油气!R80+老板电器!R80+德润电子!R80</f>
        <v>229955.20192435361</v>
      </c>
      <c r="D75" s="180">
        <f>中航光电!G80+东方国信!G80+积成电子!G80+洲际油气!G80+老板电器!G80+德润电子!G80</f>
        <v>10052670.181041583</v>
      </c>
      <c r="E75" s="168">
        <f t="shared" ref="E75" si="64">C75/D75</f>
        <v>2.2875036958640908E-2</v>
      </c>
      <c r="F75" s="38">
        <f>中航光电!V80+东方国信!V80+积成电子!V80+洲际油气!V80+老板电器!V80+德润电子!V80</f>
        <v>1027967.1153621783</v>
      </c>
      <c r="G75" s="180">
        <f>中航光电!W80+东方国信!W80+积成电子!W80+洲际油气!W80+老板电器!W80+德润电子!W80</f>
        <v>1141608.4648338063</v>
      </c>
      <c r="H75" s="168">
        <f t="shared" ref="H75" si="65">F75/B75</f>
        <v>0.11127743696973746</v>
      </c>
      <c r="I75" s="168">
        <f t="shared" ref="I75" si="66">G75/B75</f>
        <v>0.12357911268874099</v>
      </c>
      <c r="J75" s="180">
        <f>中航光电!H80+东方国信!H80+积成电子!H80+洲际油气!H80+老板电器!H80+德润电子!H80</f>
        <v>10270870.650254738</v>
      </c>
      <c r="K75" s="180">
        <f>中航光电!F80+东方国信!F80+积成电子!F80+洲际油气!F80+老板电器!F80+德润电子!F80</f>
        <v>10338447.024999999</v>
      </c>
      <c r="L75" s="180">
        <f t="shared" ref="L75" si="67">G75-G74</f>
        <v>201865.81999647431</v>
      </c>
      <c r="M75" s="1">
        <f t="shared" ref="M75" si="68">I75-I74</f>
        <v>2.1851974372825864E-2</v>
      </c>
      <c r="N75" s="180">
        <f>中航光电!AB80+东方国信!AB80+积成电子!AB80+洲际油气!AB80+老板电器!AB80+德润电子!AB80</f>
        <v>229955.20192435361</v>
      </c>
      <c r="O75" s="1">
        <f t="shared" ref="O75" si="69">N75/B75</f>
        <v>2.4892649877214148E-2</v>
      </c>
      <c r="P75" s="176" t="str">
        <f>"6月8日"&amp;CHAR(10)&amp;"今日相对收益："&amp;ROUND(C75/10000,2)&amp;"万"&amp;CHAR(10)&amp;"今日相对收益率:"&amp;ROUND(O75*100,2)&amp;"%"&amp;CHAR(10)&amp;"今日绝对收益："&amp;ROUND(L75/10000,2)&amp;"万"&amp;CHAR(10)&amp;"今日绝对收益率："&amp;ROUND(M75*100,2)&amp;"%"&amp;CHAR(10)&amp;"累计相对收益额:"&amp;ROUND(F75/10000,2)&amp;"万"&amp;CHAR(10)&amp;"累计相对收益率："&amp;ROUND(H75*100,2)&amp;"%"&amp;CHAR(10)&amp;"累计绝对收益额："&amp;ROUND(G75/10000,2)&amp;"万"&amp;CHAR(10)&amp;"累计绝对收益率："&amp;ROUND(I75*100,2)&amp;"%"&amp;CHAR(10)&amp;"股票名称：合计"&amp;CHAR(10)&amp;"累计投入:"&amp;ROUND(B75/10000,0)&amp;"万"</f>
        <v>6月8日
今日相对收益：23万
今日相对收益率:2.49%
今日绝对收益：20.19万
今日绝对收益率：2.19%
累计相对收益额:102.8万
累计相对收益率：11.13%
累计绝对收益额：114.16万
累计绝对收益率：12.36%
股票名称：合计
累计投入:924万</v>
      </c>
      <c r="Q75" s="176" t="str">
        <f>"6月8日"&amp;CHAR(10)&amp;"今日目标收益："&amp;ROUND(中航光电!AB80,0)&amp;"元"&amp;CHAR(10)&amp;"累计目标收益："&amp;ROUND(中航光电!V80,0)&amp;"元"&amp;CHAR(10)&amp;"今日收益率:"&amp;ROUND(中航光电!AA80*100,2)&amp;"%"&amp;CHAR(10)&amp;"累计收益率："&amp;ROUND(中航光电!U80*100,2)&amp;"%"&amp;CHAR(10)&amp;"股票名称：中航光电"&amp;CHAR(10)&amp;"持仓金额:"&amp;ROUND(中航光电!H80/10000,0)&amp;"万"</f>
        <v>6月8日
今日目标收益：-15563元
累计目标收益：242643元
今日收益率:-1.19%
累计收益率：22.66%
股票名称：中航光电
持仓金额:129万</v>
      </c>
      <c r="R75" s="176" t="str">
        <f>"6月8日"&amp;CHAR(10)&amp;"今日目标收益："&amp;ROUND(东方国信!AB80,0)&amp;"元"&amp;CHAR(10)&amp;"累计目标收益："&amp;ROUND(东方国信!V80,0)&amp;"元"&amp;CHAR(10)&amp;"今日收益率:"&amp;ROUND(东方国信!AA80*100,2)&amp;"%"&amp;CHAR(10)&amp;"累计收益率："&amp;ROUND(东方国信!AC80*100,2)&amp;"%"&amp;CHAR(10)&amp;"股票名称：东方国信"&amp;CHAR(10)&amp;"持仓金额:"&amp;ROUND(东方国信!H80/10000,0)&amp;"万"</f>
        <v>6月8日
今日目标收益：0元
累计目标收益：496708元
今日收益率:0%
累计收益率：21.66%
股票名称：东方国信
持仓金额:137万</v>
      </c>
      <c r="S75" s="176" t="str">
        <f>"6月8日"&amp;CHAR(10)&amp;"今日目标收益："&amp;ROUND(积成电子!AB80,0)&amp;"元"&amp;CHAR(10)&amp;"累计目标收益："&amp;ROUND(积成电子!V80,0)&amp;"元"&amp;CHAR(10)&amp;"今日收益率:"&amp;ROUND(积成电子!AA80*100,2)&amp;"%"&amp;CHAR(10)&amp;"累计收益率："&amp;ROUND(积成电子!U80*100,2)&amp;"%"&amp;CHAR(10)&amp;"股票名称：积成电子"&amp;CHAR(10)&amp;"持仓金额:"&amp;ROUND(积成电子!H80/10000,0)&amp;"万"</f>
        <v>6月8日
今日目标收益：24040元
累计目标收益：8562元
今日收益率:2.42%
累计收益率：0.85%
股票名称：积成电子
持仓金额:102万</v>
      </c>
      <c r="T75" s="176" t="str">
        <f>"6月8日"&amp;CHAR(10)&amp;"今日目标收益："&amp;ROUND(洲际油气!AB80,0)&amp;"元"&amp;CHAR(10)&amp;"累计目标收益："&amp;ROUND(洲际油气!V80,0)&amp;"元"&amp;CHAR(10)&amp;"今日收益率:"&amp;ROUND(洲际油气!AA80*100,2)&amp;"%"&amp;CHAR(10)&amp;"累计收益率："&amp;ROUND(洲际油气!U80*100,2)&amp;"%"&amp;CHAR(10)&amp;"股票名称：洲际油气"&amp;CHAR(10)&amp;"持仓金额:"&amp;ROUND(洲际油气!H80/10000,0)&amp;"万"</f>
        <v>6月8日
今日目标收益：109419元
累计目标收益：137426元
今日收益率:4.77%
累计收益率：6.08%
股票名称：洲际油气
持仓金额:240万</v>
      </c>
      <c r="U75" s="176" t="str">
        <f>"6月8日"&amp;CHAR(10)&amp;"今日目标收益："&amp;ROUND(老板电器!AB80,0)&amp;"元"&amp;CHAR(10)&amp;"累计目标收益："&amp;ROUND(老板电器!V80,0)&amp;"元"&amp;CHAR(10)&amp;"今日收益率:"&amp;ROUND(老板电器!AA80*100,2)&amp;"%"&amp;CHAR(10)&amp;"累计收益率："&amp;ROUND(老板电器!U80*100,2)&amp;"%"&amp;CHAR(10)&amp;"股票名称：老板电器"&amp;CHAR(10)&amp;"持仓金额:"&amp;ROUND(老板电器!H80/10000,0)&amp;"万"</f>
        <v>6月8日
今日目标收益：112060元
累计目标收益：142628元
今日收益率:2.74%
累计收益率：2.58%
股票名称：老板电器
持仓金额:419万</v>
      </c>
    </row>
    <row r="76" spans="1:21" ht="148.5" x14ac:dyDescent="0.15">
      <c r="A76" s="147">
        <v>42534</v>
      </c>
      <c r="B76" s="180">
        <f>中航光电!E81+东方国信!E81+积成电子!E81+洲际油气!E81+老板电器!E81+德润电子!E81</f>
        <v>9237875.5600000005</v>
      </c>
      <c r="C76" s="38">
        <f>中航光电!R81+东方国信!R81+积成电子!R81+洲际油气!R81+老板电器!R81+德润电子!R81</f>
        <v>81450.626774743796</v>
      </c>
      <c r="D76" s="180">
        <f>中航光电!G81+东方国信!G81+积成电子!G81+洲际油气!G81+老板电器!G81+德润电子!G81</f>
        <v>10270870.650254738</v>
      </c>
      <c r="E76" s="168">
        <f t="shared" ref="E76" si="70">C76/D76</f>
        <v>7.9302553355322086E-3</v>
      </c>
      <c r="F76" s="38">
        <f>中航光电!V81+东方国信!V81+积成电子!V81+洲际油气!V81+老板电器!V81+德润电子!V81</f>
        <v>1092371.6506569693</v>
      </c>
      <c r="G76" s="180">
        <f>中航光电!W81+东方国信!W81+积成电子!W81+洲际油气!W81+老板电器!W81+德润电子!W81</f>
        <v>965038.61483753391</v>
      </c>
      <c r="H76" s="168">
        <f t="shared" ref="H76" si="71">F76/B76</f>
        <v>0.1182492277106371</v>
      </c>
      <c r="I76" s="168">
        <f t="shared" ref="I76" si="72">G76/B76</f>
        <v>0.10446542698801345</v>
      </c>
      <c r="J76" s="180">
        <f>中航光电!H81+东方国信!H81+积成电子!H81+洲际油气!H81+老板电器!H81+德润电子!H81</f>
        <v>10261901.022635859</v>
      </c>
      <c r="K76" s="180">
        <f>中航光电!F81+东方国信!F81+积成电子!F81+洲际油气!F81+老板电器!F81+德润电子!F81</f>
        <v>10161877.175000001</v>
      </c>
      <c r="L76" s="180">
        <f t="shared" ref="L76" si="73">G76-G75</f>
        <v>-176569.84999627236</v>
      </c>
      <c r="M76" s="1">
        <f t="shared" ref="M76" si="74">I76-I75</f>
        <v>-1.9113685700727537E-2</v>
      </c>
      <c r="N76" s="180">
        <f>中航光电!AB81+东方国信!AB81+积成电子!AB81+洲际油气!AB81+老板电器!AB81+德润电子!AB81</f>
        <v>81450.626774743796</v>
      </c>
      <c r="O76" s="1">
        <f t="shared" ref="O76" si="75">N76/B76</f>
        <v>8.8170300894098424E-3</v>
      </c>
      <c r="P76" s="176" t="str">
        <f>"6月13日"&amp;CHAR(10)&amp;"今日相对收益："&amp;ROUND(C76/10000,2)&amp;"万"&amp;CHAR(10)&amp;"今日相对收益率:"&amp;ROUND(O76*100,2)&amp;"%"&amp;CHAR(10)&amp;"今日绝对收益："&amp;ROUND(L76/10000,2)&amp;"万"&amp;CHAR(10)&amp;"今日绝对收益率："&amp;ROUND(M76*100,2)&amp;"%"&amp;CHAR(10)&amp;"累计相对收益额:"&amp;ROUND(F76/10000,2)&amp;"万"&amp;CHAR(10)&amp;"累计相对收益率："&amp;ROUND(H76*100,2)&amp;"%"&amp;CHAR(10)&amp;"累计绝对收益额："&amp;ROUND(G76/10000,2)&amp;"万"&amp;CHAR(10)&amp;"累计绝对收益率："&amp;ROUND(I76*100,2)&amp;"%"&amp;CHAR(10)&amp;"股票名称：合计"&amp;CHAR(10)&amp;"累计投入:"&amp;ROUND(B76/10000,0)&amp;"万"</f>
        <v>6月13日
今日相对收益：8.15万
今日相对收益率:0.88%
今日绝对收益：-17.66万
今日绝对收益率：-1.91%
累计相对收益额:109.24万
累计相对收益率：11.82%
累计绝对收益额：96.5万
累计绝对收益率：10.45%
股票名称：合计
累计投入:924万</v>
      </c>
      <c r="Q76" s="176" t="str">
        <f>"6月13日"&amp;CHAR(10)&amp;"今日目标收益："&amp;ROUND(中航光电!AB81,0)&amp;"元"&amp;CHAR(10)&amp;"累计目标收益："&amp;ROUND(中航光电!V81,0)&amp;"元"&amp;CHAR(10)&amp;"今日收益率:"&amp;ROUND(中航光电!AA81*100,2)&amp;"%"&amp;CHAR(10)&amp;"累计收益率："&amp;ROUND(中航光电!U81*100,2)&amp;"%"&amp;CHAR(10)&amp;"股票名称：中航光电"&amp;CHAR(10)&amp;"持仓金额:"&amp;ROUND(中航光电!H81/10000,0)&amp;"万"</f>
        <v>6月13日
今日目标收益：27267元
累计目标收益：259443元
今日收益率:2.11%
累计收益率：24.25%
股票名称：中航光电
持仓金额:132万</v>
      </c>
      <c r="R76" s="176" t="str">
        <f>"6月13日"&amp;CHAR(10)&amp;"今日目标收益："&amp;ROUND(东方国信!AB81,0)&amp;"元"&amp;CHAR(10)&amp;"累计目标收益："&amp;ROUND(东方国信!V81,0)&amp;"元"&amp;CHAR(10)&amp;"今日收益率:"&amp;ROUND(东方国信!AA81*100,2)&amp;"%"&amp;CHAR(10)&amp;"累计收益率："&amp;ROUND(东方国信!AC81*100,2)&amp;"%"&amp;CHAR(10)&amp;"股票名称：东方国信"&amp;CHAR(10)&amp;"持仓金额:"&amp;ROUND(东方国信!H81/10000,0)&amp;"万"</f>
        <v>6月13日
今日目标收益：0元
累计目标收益：496708元
今日收益率:0%
累计收益率：21.66%
股票名称：东方国信
持仓金额:137万</v>
      </c>
      <c r="S76" s="176" t="str">
        <f>"6月13日"&amp;CHAR(10)&amp;"今日目标收益："&amp;ROUND(积成电子!AB81,0)&amp;"元"&amp;CHAR(10)&amp;"累计目标收益："&amp;ROUND(积成电子!V81,0)&amp;"元"&amp;CHAR(10)&amp;"今日收益率:"&amp;ROUND(积成电子!AA81*100,2)&amp;"%"&amp;CHAR(10)&amp;"累计收益率："&amp;ROUND(积成电子!U81*100,2)&amp;"%"&amp;CHAR(10)&amp;"股票名称：积成电子"&amp;CHAR(10)&amp;"持仓金额:"&amp;ROUND(积成电子!H81/10000,0)&amp;"万"</f>
        <v>6月13日
今日目标收益：10003元
累计目标收益：18379元
今日收益率:0.98%
累计收益率：1.82%
股票名称：积成电子
持仓金额:103万</v>
      </c>
      <c r="T76" s="176" t="str">
        <f>"6月13日"&amp;CHAR(10)&amp;"今日目标收益："&amp;ROUND(洲际油气!AB81,0)&amp;"元"&amp;CHAR(10)&amp;"累计目标收益："&amp;ROUND(洲际油气!V81,0)&amp;"元"&amp;CHAR(10)&amp;"今日收益率:"&amp;ROUND(洲际油气!AA81*100,2)&amp;"%"&amp;CHAR(10)&amp;"累计收益率："&amp;ROUND(洲际油气!U81*100,2)&amp;"%"&amp;CHAR(10)&amp;"股票名称：洲际油气"&amp;CHAR(10)&amp;"持仓金额:"&amp;ROUND(洲际油气!H81/10000,0)&amp;"万"</f>
        <v>6月13日
今日目标收益：-82063元
累计目标收益：50936元
今日收益率:-3.42%
累计收益率：2.25%
股票名称：洲际油气
持仓金额:232万</v>
      </c>
      <c r="U76" s="176" t="str">
        <f>"6月13日"&amp;CHAR(10)&amp;"今日目标收益："&amp;ROUND(老板电器!AB81,0)&amp;"元"&amp;CHAR(10)&amp;"累计目标收益："&amp;ROUND(老板电器!V81,0)&amp;"元"&amp;CHAR(10)&amp;"今日收益率:"&amp;ROUND(老板电器!AA81*100,2)&amp;"%"&amp;CHAR(10)&amp;"累计收益率："&amp;ROUND(老板电器!U81*100,2)&amp;"%"&amp;CHAR(10)&amp;"股票名称：老板电器"&amp;CHAR(10)&amp;"持仓金额:"&amp;ROUND(老板电器!H81/10000,0)&amp;"万"</f>
        <v>6月13日
今日目标收益：126243元
累计目标收益：266906元
今日收益率:3.02%
累计收益率：5.65%
股票名称：老板电器
持仓金额:422万</v>
      </c>
    </row>
    <row r="77" spans="1:21" ht="148.5" x14ac:dyDescent="0.15">
      <c r="A77" s="147">
        <v>42535</v>
      </c>
      <c r="B77" s="180">
        <f>中航光电!E82+东方国信!E82+积成电子!E82+洲际油气!E82+老板电器!E82+德润电子!E82</f>
        <v>8733715.5600000005</v>
      </c>
      <c r="C77" s="38">
        <f>中航光电!R82+东方国信!R82+积成电子!R82+洲际油气!R82+老板电器!R82+德润电子!R82</f>
        <v>62259.210595019686</v>
      </c>
      <c r="D77" s="180">
        <f>中航光电!G82+东方国信!G82+积成电子!G82+洲际油气!G82+老板电器!G82+德润电子!G82</f>
        <v>9777606.0226358604</v>
      </c>
      <c r="E77" s="168">
        <f t="shared" ref="E77" si="76">C77/D77</f>
        <v>6.367531116603097E-3</v>
      </c>
      <c r="F77" s="38">
        <f>中航光电!V82+东方国信!V82+积成电子!V82+洲际油气!V82+老板电器!V82+德润电子!V82</f>
        <v>1177932.5886948695</v>
      </c>
      <c r="G77" s="180">
        <f>中航光电!W82+东方国信!W82+积成电子!W82+洲际油气!W82+老板电器!W82+德润电子!W82</f>
        <v>1067550.5658037059</v>
      </c>
      <c r="H77" s="168">
        <f t="shared" ref="H77" si="77">F77/B77</f>
        <v>0.13487187447341936</v>
      </c>
      <c r="I77" s="168">
        <f t="shared" ref="I77" si="78">G77/B77</f>
        <v>0.12223326469355568</v>
      </c>
      <c r="J77" s="180">
        <f>中航光电!H82+东方国信!H82+积成电子!H82+洲际油气!H82+老板电器!H82+德润电子!H82</f>
        <v>9848088.8395331502</v>
      </c>
      <c r="K77" s="180">
        <f>中航光电!F82+东方国信!F82+积成电子!F82+洲际油气!F82+老板电器!F82+德润电子!F82</f>
        <v>9763681.5549999997</v>
      </c>
      <c r="L77" s="180">
        <f t="shared" ref="L77" si="79">G77-G76</f>
        <v>102511.95096617204</v>
      </c>
      <c r="M77" s="1">
        <f t="shared" ref="M77" si="80">I77-I76</f>
        <v>1.776783770554223E-2</v>
      </c>
      <c r="N77" s="180">
        <f>中航光电!AB82+东方国信!AB82+积成电子!AB82+洲际油气!AB82+老板电器!AB82+德润电子!AB82</f>
        <v>62259.210595019686</v>
      </c>
      <c r="O77" s="1">
        <f t="shared" ref="O77" si="81">N77/B77</f>
        <v>7.1286052502286534E-3</v>
      </c>
      <c r="P77" s="176" t="str">
        <f>"6月14日"&amp;CHAR(10)&amp;"今日相对收益："&amp;ROUND(C77/10000,2)&amp;"万"&amp;CHAR(10)&amp;"今日相对收益率:"&amp;ROUND(O77*100,2)&amp;"%"&amp;CHAR(10)&amp;"今日绝对收益："&amp;ROUND(L77/10000,2)&amp;"万"&amp;CHAR(10)&amp;"今日绝对收益率："&amp;ROUND(M77*100,2)&amp;"%"&amp;CHAR(10)&amp;"累计相对收益额:"&amp;ROUND(F77/10000,2)&amp;"万"&amp;CHAR(10)&amp;"累计相对收益率："&amp;ROUND(H77*100,2)&amp;"%"&amp;CHAR(10)&amp;"累计绝对收益额："&amp;ROUND(G77/10000,2)&amp;"万"&amp;CHAR(10)&amp;"累计绝对收益率："&amp;ROUND(I77*100,2)&amp;"%"&amp;CHAR(10)&amp;"股票名称：合计"&amp;CHAR(10)&amp;"累计投入:"&amp;ROUND(B77/10000,0)&amp;"万"</f>
        <v>6月14日
今日相对收益：6.23万
今日相对收益率:0.71%
今日绝对收益：10.25万
今日绝对收益率：1.78%
累计相对收益额:117.79万
累计相对收益率：13.49%
累计绝对收益额：106.76万
累计绝对收益率：12.22%
股票名称：合计
累计投入:873万</v>
      </c>
      <c r="Q77" s="176" t="str">
        <f>"6月13日"&amp;CHAR(10)&amp;"今日目标收益："&amp;ROUND(中航光电!AB82,0)&amp;"元"&amp;CHAR(10)&amp;"累计目标收益："&amp;ROUND(中航光电!V82,0)&amp;"元"&amp;CHAR(10)&amp;"今日收益率:"&amp;ROUND(中航光电!AA82*100,2)&amp;"%"&amp;CHAR(10)&amp;"累计收益率："&amp;ROUND(中航光电!U82*100,2)&amp;"%"&amp;CHAR(10)&amp;"股票名称：中航光电"&amp;CHAR(10)&amp;"持仓金额:"&amp;ROUND(中航光电!H82/10000,0)&amp;"万"</f>
        <v>6月13日
今日目标收益：-2244元
累计目标收益：258004元
今日收益率:-0.17%
累计收益率：24.11%
股票名称：中航光电
持仓金额:132万</v>
      </c>
      <c r="R77" s="176" t="str">
        <f>"6月13日"&amp;CHAR(10)&amp;"今日目标收益："&amp;ROUND(东方国信!AB82,0)&amp;"元"&amp;CHAR(10)&amp;"累计目标收益："&amp;ROUND(东方国信!V82,0)&amp;"元"&amp;CHAR(10)&amp;"今日收益率:"&amp;ROUND(东方国信!AA82*100,2)&amp;"%"&amp;CHAR(10)&amp;"累计收益率："&amp;ROUND(东方国信!AC82*100,2)&amp;"%"&amp;CHAR(10)&amp;"股票名称：东方国信"&amp;CHAR(10)&amp;"持仓金额:"&amp;ROUND(东方国信!H82/10000,0)&amp;"万"</f>
        <v>6月13日
今日目标收益：0元
累计目标收益：496708元
今日收益率:0%
累计收益率：21.66%
股票名称：东方国信
持仓金额:137万</v>
      </c>
      <c r="S77" s="176" t="str">
        <f>"6月13日"&amp;CHAR(10)&amp;"今日目标收益："&amp;ROUND(积成电子!AB82,0)&amp;"元"&amp;CHAR(10)&amp;"累计目标收益："&amp;ROUND(积成电子!V82,0)&amp;"元"&amp;CHAR(10)&amp;"今日收益率:"&amp;ROUND(积成电子!AA82*100,2)&amp;"%"&amp;CHAR(10)&amp;"累计收益率："&amp;ROUND(积成电子!U82*100,2)&amp;"%"&amp;CHAR(10)&amp;"股票名称：积成电子"&amp;CHAR(10)&amp;"持仓金额:"&amp;ROUND(积成电子!H82/10000,0)&amp;"万"</f>
        <v>6月13日
今日目标收益：-18634元
累计目标收益：360元
今日收益率:-1.81%
累计收益率：0.04%
股票名称：积成电子
持仓金额:101万</v>
      </c>
      <c r="T77" s="176" t="str">
        <f>"6月13日"&amp;CHAR(10)&amp;"今日目标收益："&amp;ROUND(洲际油气!AB82,0)&amp;"元"&amp;CHAR(10)&amp;"累计目标收益："&amp;ROUND(洲际油气!V82,0)&amp;"元"&amp;CHAR(10)&amp;"今日收益率:"&amp;ROUND(洲际油气!AA82*100,2)&amp;"%"&amp;CHAR(10)&amp;"累计收益率："&amp;ROUND(洲际油气!U82*100,2)&amp;"%"&amp;CHAR(10)&amp;"股票名称：洲际油气"&amp;CHAR(10)&amp;"持仓金额:"&amp;ROUND(洲际油气!H82/10000,0)&amp;"万"</f>
        <v>6月13日
今日目标收益：-73547元
累计目标收益：-20262元
今日收益率:-3.17%
累计收益率：-0.9%
股票名称：洲际油气
持仓金额:225万</v>
      </c>
      <c r="U77" s="176" t="str">
        <f>"6月13日"&amp;CHAR(10)&amp;"今日目标收益："&amp;ROUND(老板电器!AB82,0)&amp;"元"&amp;CHAR(10)&amp;"累计目标收益："&amp;ROUND(老板电器!V82,0)&amp;"元"&amp;CHAR(10)&amp;"今日收益率:"&amp;ROUND(老板电器!AA82*100,2)&amp;"%"&amp;CHAR(10)&amp;"累计收益率："&amp;ROUND(老板电器!U82*100,2)&amp;"%"&amp;CHAR(10)&amp;"股票名称：老板电器"&amp;CHAR(10)&amp;"持仓金额:"&amp;ROUND(老板电器!H82/10000,0)&amp;"万"</f>
        <v>6月13日
今日目标收益：156685元
累计目标收益：443123元
今日收益率:4.19%
累计收益率：10.03%
股票名称：老板电器
持仓金额:390万</v>
      </c>
    </row>
    <row r="78" spans="1:21" ht="148.5" x14ac:dyDescent="0.15">
      <c r="A78" s="147">
        <v>42536</v>
      </c>
      <c r="B78" s="180">
        <f>中航光电!E83+东方国信!E83+积成电子!E83+洲际油气!E83+老板电器!E83+德润电子!E83</f>
        <v>8733715.5600000005</v>
      </c>
      <c r="C78" s="38">
        <f>中航光电!R83+东方国信!R83+积成电子!R83+洲际油气!R83+老板电器!R83+德润电子!R83</f>
        <v>86559.222084543057</v>
      </c>
      <c r="D78" s="180">
        <f>中航光电!G83+东方国信!G83+积成电子!G83+洲际油气!G83+老板电器!G83+德润电子!G83</f>
        <v>9848088.8395331502</v>
      </c>
      <c r="E78" s="168">
        <f t="shared" ref="E78" si="82">C78/D78</f>
        <v>8.7894436671883645E-3</v>
      </c>
      <c r="F78" s="38">
        <f>中航光电!V83+东方国信!V83+积成电子!V83+洲际油气!V83+老板电器!V83+德润电子!V83</f>
        <v>1273942.2187955952</v>
      </c>
      <c r="G78" s="180">
        <f>中航光电!W83+东方国信!W83+积成电子!W83+洲际油气!W83+老板电器!W83+德润电子!W83</f>
        <v>1281017.4204448895</v>
      </c>
      <c r="H78" s="168">
        <f t="shared" ref="H78" si="83">F78/B78</f>
        <v>0.14586486244527927</v>
      </c>
      <c r="I78" s="168">
        <f t="shared" ref="I78" si="84">G78/B78</f>
        <v>0.14667496458344578</v>
      </c>
      <c r="J78" s="180">
        <f>中航光电!H83+东方国信!H83+积成电子!H83+洲际油气!H83+老板电器!H83+德润电子!H83</f>
        <v>9970511.3871248532</v>
      </c>
      <c r="K78" s="180">
        <f>中航光电!F83+东方国信!F83+积成电子!F83+洲际油气!F83+老板电器!F83+德润电子!F83</f>
        <v>9977381.6549999993</v>
      </c>
      <c r="L78" s="180">
        <f t="shared" ref="L78" si="85">G78-G77</f>
        <v>213466.85464118351</v>
      </c>
      <c r="M78" s="1">
        <f t="shared" ref="M78" si="86">I78-I77</f>
        <v>2.4441699889890103E-2</v>
      </c>
      <c r="N78" s="180">
        <f>中航光电!AB83+东方国信!AB83+积成电子!AB83+洲际油气!AB83+老板电器!AB83+德润电子!AB83</f>
        <v>86559.222084543057</v>
      </c>
      <c r="O78" s="1">
        <f t="shared" ref="O78" si="87">N78/B78</f>
        <v>9.9109275416502177E-3</v>
      </c>
      <c r="P78" s="176" t="str">
        <f t="shared" ref="P78:P84" si="88">MONTH(A78)&amp;"月"&amp;DAY(A78)&amp;"日"&amp;CHAR(10)&amp;"今日相对收益："&amp;ROUND(C78/10000,2)&amp;"万"&amp;CHAR(10)&amp;"今日相对收益率:"&amp;ROUND(O78*100,2)&amp;"%"&amp;CHAR(10)&amp;"今日绝对收益："&amp;ROUND(L78/10000,2)&amp;"万"&amp;CHAR(10)&amp;"今日绝对收益率："&amp;ROUND(M78*100,2)&amp;"%"&amp;CHAR(10)&amp;"累计相对收益额:"&amp;ROUND(F78/10000,2)&amp;"万"&amp;CHAR(10)&amp;"累计相对收益率："&amp;ROUND(H78*100,2)&amp;"%"&amp;CHAR(10)&amp;"累计绝对收益额："&amp;ROUND(G78/10000,2)&amp;"万"&amp;CHAR(10)&amp;"累计绝对收益率："&amp;ROUND(I78*100,2)&amp;"%"&amp;CHAR(10)&amp;"股票名称：合计"&amp;CHAR(10)&amp;"累计投入:"&amp;ROUND(B78/10000,0)&amp;"万"</f>
        <v>6月15日
今日相对收益：8.66万
今日相对收益率:0.99%
今日绝对收益：21.35万
今日绝对收益率：2.44%
累计相对收益额:127.39万
累计相对收益率：14.59%
累计绝对收益额：128.1万
累计绝对收益率：14.67%
股票名称：合计
累计投入:873万</v>
      </c>
      <c r="Q78" s="176" t="str">
        <f>MONTH(中航光电!B83)&amp;"月"&amp;DAY(中航光电!B83)&amp;"日"&amp;CHAR(10)&amp;"今日目标收益："&amp;ROUND(中航光电!AB83,0)&amp;"元"&amp;CHAR(10)&amp;"累计目标收益："&amp;ROUND(中航光电!V83,0)&amp;"元"&amp;CHAR(10)&amp;"今日收益率:"&amp;ROUND(中航光电!AA83*100,2)&amp;"%"&amp;CHAR(10)&amp;"累计收益率："&amp;ROUND(中航光电!U83*100,2)&amp;"%"&amp;CHAR(10)&amp;"股票名称：中航光电"&amp;CHAR(10)&amp;"持仓金额:"&amp;ROUND(中航光电!H83/10000,0)&amp;"万"</f>
        <v>6月15日
今日目标收益：36193元
累计目标收益：301834元
今日收益率:2.75%
累计收益率：28.25%
股票名称：中航光电
持仓金额:135万</v>
      </c>
      <c r="R78" s="176" t="str">
        <f>MONTH(东方国信!B83)&amp;"月"&amp;DAY(东方国信!B83)&amp;"日"&amp;CHAR(10)&amp;"今日目标收益："&amp;ROUND(东方国信!AB83,0)&amp;"元"&amp;CHAR(10)&amp;"累计目标收益："&amp;ROUND(东方国信!V83,0)&amp;"元"&amp;CHAR(10)&amp;"今日收益率:"&amp;ROUND(东方国信!AA83*100,2)&amp;"%"&amp;CHAR(10)&amp;"累计收益率："&amp;ROUND(东方国信!AC83*100,2)&amp;"%"&amp;CHAR(10)&amp;"股票名称：东方国信"&amp;CHAR(10)&amp;"持仓金额:"&amp;ROUND(东方国信!H83/10000,0)&amp;"万"</f>
        <v>6月15日
今日目标收益：0元
累计目标收益：496708元
今日收益率:0%
累计收益率：21.66%
股票名称：东方国信
持仓金额:137万</v>
      </c>
      <c r="S78" s="176" t="str">
        <f>MONTH(积成电子!B83)&amp;"月"&amp;DAY(积成电子!B83)&amp;"日"&amp;CHAR(10)&amp;"今日目标收益："&amp;ROUND(积成电子!AB83,0)&amp;"元"&amp;CHAR(10)&amp;"累计目标收益："&amp;ROUND(积成电子!V83,0)&amp;"元"&amp;CHAR(10)&amp;"今日收益率:"&amp;ROUND(积成电子!AA83*100,2)&amp;"%"&amp;CHAR(10)&amp;"累计收益率："&amp;ROUND(积成电子!U83*100,2)&amp;"%"&amp;CHAR(10)&amp;"股票名称：积成电子"&amp;CHAR(10)&amp;"持仓金额:"&amp;ROUND(积成电子!H83/10000,0)&amp;"万"</f>
        <v>6月15日
今日目标收益：42887元
累计目标收益：42318元
今日收益率:4.24%
累计收益率：4.2%
股票名称：积成电子
持仓金额:105万</v>
      </c>
      <c r="T78" s="176" t="str">
        <f>MONTH(洲际油气!B83)&amp;"月"&amp;DAY(洲际油气!B83)&amp;"日"&amp;CHAR(10)&amp;"今日目标收益："&amp;ROUND(洲际油气!AB83,0)&amp;"元"&amp;CHAR(10)&amp;"累计目标收益："&amp;ROUND(洲际油气!V83,0)&amp;"元"&amp;CHAR(10)&amp;"今日收益率:"&amp;ROUND(洲际油气!AA83*100,2)&amp;"%"&amp;CHAR(10)&amp;"累计收益率："&amp;ROUND(洲际油气!U83*100,2)&amp;"%"&amp;CHAR(10)&amp;"股票名称：洲际油气"&amp;CHAR(10)&amp;"持仓金额:"&amp;ROUND(洲际油气!H83/10000,0)&amp;"万"</f>
        <v>6月15日
今日目标收益：22201元
累计目标收益：1082元
今日收益率:0.99%
累计收益率：0.05%
股票名称：洲际油气
持仓金额:227万</v>
      </c>
      <c r="U78" s="176" t="str">
        <f>MONTH(老板电器!B83)&amp;"月"&amp;DAY(老板电器!B83)&amp;"日"&amp;CHAR(10)&amp;"今日目标收益："&amp;ROUND(老板电器!AB83,0)&amp;"元"&amp;CHAR(10)&amp;"累计目标收益："&amp;ROUND(老板电器!V83,0)&amp;"元"&amp;CHAR(10)&amp;"今日收益率:"&amp;ROUND(老板电器!AA83*100,2)&amp;"%"&amp;CHAR(10)&amp;"累计收益率："&amp;ROUND(老板电器!U83*100,2)&amp;"%"&amp;CHAR(10)&amp;"股票名称：老板电器"&amp;CHAR(10)&amp;"持仓金额:"&amp;ROUND(老板电器!H83/10000,0)&amp;"万"</f>
        <v>6月15日
今日目标收益：-14721元
累计目标收益：432000元
今日收益率:-0.38%
累计收益率：9.72%
股票名称：老板电器
持仓金额:392万</v>
      </c>
    </row>
    <row r="79" spans="1:21" ht="148.5" x14ac:dyDescent="0.15">
      <c r="A79" s="147">
        <v>42537</v>
      </c>
      <c r="B79" s="180">
        <f>中航光电!E84+东方国信!E84+积成电子!E84+洲际油气!E84+老板电器!E84+德润电子!E84</f>
        <v>8733715.5600000005</v>
      </c>
      <c r="C79" s="38">
        <f>中航光电!R84+东方国信!R84+积成电子!R84+洲际油气!R84+老板电器!R84+德润电子!R84</f>
        <v>-127547.84419827978</v>
      </c>
      <c r="D79" s="180">
        <f>中航光电!G84+东方国信!G84+积成电子!G84+洲际油气!G84+老板电器!G84+德润电子!G84</f>
        <v>9970511.3871248532</v>
      </c>
      <c r="E79" s="168">
        <f t="shared" ref="E79" si="89">C79/D79</f>
        <v>-1.2792507750704261E-2</v>
      </c>
      <c r="F79" s="38">
        <f>中航光电!V84+东方国信!V84+积成电子!V84+洲际油气!V84+老板电器!V84+德润电子!V84</f>
        <v>1144874.5923387161</v>
      </c>
      <c r="G79" s="180">
        <f>中航光电!W84+东方国信!W84+积成电子!W84+洲际油气!W84+老板电器!W84+德润电子!W84</f>
        <v>1112565.9951464678</v>
      </c>
      <c r="H79" s="168">
        <f t="shared" ref="H79" si="90">F79/B79</f>
        <v>0.13108677337537611</v>
      </c>
      <c r="I79" s="168">
        <f t="shared" ref="I79" si="91">G79/B79</f>
        <v>0.12738747758651162</v>
      </c>
      <c r="J79" s="180">
        <f>中航光电!H84+东方国信!H84+积成电子!H84+洲际油气!H84+老板电器!H84+德润电子!H84</f>
        <v>9823851.0358838066</v>
      </c>
      <c r="K79" s="180">
        <f>中航光电!F84+东方国信!F84+积成电子!F84+洲际油气!F84+老板电器!F84+德润电子!F84</f>
        <v>9807285.8499999996</v>
      </c>
      <c r="L79" s="180">
        <f t="shared" ref="L79" si="92">G79-G78</f>
        <v>-168451.42529842164</v>
      </c>
      <c r="M79" s="1">
        <f t="shared" ref="M79" si="93">I79-I78</f>
        <v>-1.9287486996934167E-2</v>
      </c>
      <c r="N79" s="180">
        <f>中航光电!AB84+东方国信!AB84+积成电子!AB84+洲际油气!AB84+老板电器!AB84+德润电子!AB84</f>
        <v>-127547.84419827978</v>
      </c>
      <c r="O79" s="1">
        <f t="shared" ref="O79" si="94">N79/B79</f>
        <v>-1.4604075816533665E-2</v>
      </c>
      <c r="P79" s="176" t="str">
        <f t="shared" si="88"/>
        <v>6月16日
今日相对收益：-12.75万
今日相对收益率:-1.46%
今日绝对收益：-16.85万
今日绝对收益率：-1.93%
累计相对收益额:114.49万
累计相对收益率：13.11%
累计绝对收益额：111.26万
累计绝对收益率：12.74%
股票名称：合计
累计投入:873万</v>
      </c>
      <c r="Q79" s="176" t="str">
        <f>MONTH(中航光电!B84)&amp;"月"&amp;DAY(中航光电!B84)&amp;"日"&amp;CHAR(10)&amp;"今日目标收益："&amp;ROUND(中航光电!AB84,0)&amp;"元"&amp;CHAR(10)&amp;"累计目标收益："&amp;ROUND(中航光电!V84,0)&amp;"元"&amp;CHAR(10)&amp;"今日收益率:"&amp;ROUND(中航光电!AA84*100,2)&amp;"%"&amp;CHAR(10)&amp;"累计收益率："&amp;ROUND(中航光电!U84*100,2)&amp;"%"&amp;CHAR(10)&amp;"股票名称：中航光电"&amp;CHAR(10)&amp;"持仓金额:"&amp;ROUND(中航光电!H84/10000,0)&amp;"万"</f>
        <v>6月16日
今日目标收益：-8303元
累计目标收益：292328元
今日收益率:-0.61%
累计收益率：27.35%
股票名称：中航光电
持仓金额:134万</v>
      </c>
      <c r="R79" s="176" t="str">
        <f>MONTH(东方国信!B84)&amp;"月"&amp;DAY(东方国信!B84)&amp;"日"&amp;CHAR(10)&amp;"今日目标收益："&amp;ROUND(东方国信!AB84,0)&amp;"元"&amp;CHAR(10)&amp;"累计目标收益："&amp;ROUND(东方国信!V84,0)&amp;"元"&amp;CHAR(10)&amp;"今日收益率:"&amp;ROUND(东方国信!AA84*100,2)&amp;"%"&amp;CHAR(10)&amp;"累计收益率："&amp;ROUND(东方国信!AC84*100,2)&amp;"%"&amp;CHAR(10)&amp;"股票名称：东方国信"&amp;CHAR(10)&amp;"持仓金额:"&amp;ROUND(东方国信!H84/10000,0)&amp;"万"</f>
        <v>6月16日
今日目标收益：0元
累计目标收益：496708元
今日收益率:0%
累计收益率：21.66%
股票名称：东方国信
持仓金额:137万</v>
      </c>
      <c r="S79" s="176" t="str">
        <f>MONTH(积成电子!B84)&amp;"月"&amp;DAY(积成电子!B84)&amp;"日"&amp;CHAR(10)&amp;"今日目标收益："&amp;ROUND(积成电子!AB84,0)&amp;"元"&amp;CHAR(10)&amp;"累计目标收益："&amp;ROUND(积成电子!V84,0)&amp;"元"&amp;CHAR(10)&amp;"今日收益率:"&amp;ROUND(积成电子!AA84*100,2)&amp;"%"&amp;CHAR(10)&amp;"累计收益率："&amp;ROUND(积成电子!U84*100,2)&amp;"%"&amp;CHAR(10)&amp;"股票名称：积成电子"&amp;CHAR(10)&amp;"持仓金额:"&amp;ROUND(积成电子!H84/10000,0)&amp;"万"</f>
        <v>6月16日
今日目标收益：28926元
累计目标收益：70947元
今日收益率:2.75%
累计收益率：7.04%
股票名称：积成电子
持仓金额:108万</v>
      </c>
      <c r="T79" s="176" t="str">
        <f>MONTH(洲际油气!B84)&amp;"月"&amp;DAY(洲际油气!B84)&amp;"日"&amp;CHAR(10)&amp;"今日目标收益："&amp;ROUND(洲际油气!AB84,0)&amp;"元"&amp;CHAR(10)&amp;"累计目标收益："&amp;ROUND(洲际油气!V84,0)&amp;"元"&amp;CHAR(10)&amp;"今日收益率:"&amp;ROUND(洲际油气!AA84*100,2)&amp;"%"&amp;CHAR(10)&amp;"累计收益率："&amp;ROUND(洲际油气!U84*100,2)&amp;"%"&amp;CHAR(10)&amp;"股票名称：洲际油气"&amp;CHAR(10)&amp;"持仓金额:"&amp;ROUND(洲际油气!H84/10000,0)&amp;"万"</f>
        <v>6月16日
今日目标收益：-18232元
累计目标收益：-16903元
今日收益率:-0.8%
累计收益率：-0.75%
股票名称：洲际油气
持仓金额:225万</v>
      </c>
      <c r="U79" s="176" t="str">
        <f>MONTH(老板电器!B84)&amp;"月"&amp;DAY(老板电器!B84)&amp;"日"&amp;CHAR(10)&amp;"今日目标收益："&amp;ROUND(老板电器!AB84,0)&amp;"元"&amp;CHAR(10)&amp;"累计目标收益："&amp;ROUND(老板电器!V84,0)&amp;"元"&amp;CHAR(10)&amp;"今日收益率:"&amp;ROUND(老板电器!AA84*100,2)&amp;"%"&amp;CHAR(10)&amp;"累计收益率："&amp;ROUND(老板电器!U84*100,2)&amp;"%"&amp;CHAR(10)&amp;"股票名称：老板电器"&amp;CHAR(10)&amp;"持仓金额:"&amp;ROUND(老板电器!H84/10000,0)&amp;"万"</f>
        <v>6月16日
今日目标收益：-129939元
累计目标收益：301794元
今日收益率:-3.31%
累计收益率：6.05%
股票名称：老板电器
持仓金额:377万</v>
      </c>
    </row>
    <row r="80" spans="1:21" ht="148.5" x14ac:dyDescent="0.15">
      <c r="A80" s="147">
        <v>42538</v>
      </c>
      <c r="B80" s="180">
        <f>中航光电!E85+东方国信!E85+积成电子!E85+洲际油气!E85+老板电器!E85+德润电子!E85</f>
        <v>8733715.5600000005</v>
      </c>
      <c r="C80" s="38">
        <f>中航光电!R85+东方国信!R85+积成电子!R85+洲际油气!R85+老板电器!R85+德润电子!R85</f>
        <v>-58676.917326017661</v>
      </c>
      <c r="D80" s="180">
        <f>中航光电!G85+东方国信!G85+积成电子!G85+洲际油气!G85+老板电器!G85+德润电子!G85</f>
        <v>9823851.0358838066</v>
      </c>
      <c r="E80" s="168">
        <f t="shared" ref="E80" si="95">C80/D80</f>
        <v>-5.9729038145720182E-3</v>
      </c>
      <c r="F80" s="38">
        <f>中航光电!V85+东方国信!V85+积成电子!V85+洲际油气!V85+老板电器!V85+德润电子!V85</f>
        <v>1089643.2592064384</v>
      </c>
      <c r="G80" s="180">
        <f>中航光电!W85+东方国信!W85+积成电子!W85+洲际油气!W85+老板电器!W85+德润电子!W85</f>
        <v>1091034.4224735051</v>
      </c>
      <c r="H80" s="168">
        <f t="shared" ref="H80" si="96">F80/B80</f>
        <v>0.12476285170047814</v>
      </c>
      <c r="I80" s="168">
        <f t="shared" ref="I80" si="97">G80/B80</f>
        <v>0.1249221382329407</v>
      </c>
      <c r="J80" s="180">
        <f>中航光电!H85+东方国信!H85+积成电子!H85+洲际油气!H85+老板电器!H85+德润电子!H85</f>
        <v>9778559.0050706454</v>
      </c>
      <c r="K80" s="180">
        <f>中航光电!F85+东方国信!F85+积成电子!F85+洲际油气!F85+老板电器!F85+德润电子!F85</f>
        <v>9785870.9000000004</v>
      </c>
      <c r="L80" s="180">
        <f t="shared" ref="L80" si="98">G80-G79</f>
        <v>-21531.572672962677</v>
      </c>
      <c r="M80" s="1">
        <f t="shared" ref="M80" si="99">I80-I79</f>
        <v>-2.4653393535709195E-3</v>
      </c>
      <c r="N80" s="180">
        <f>中航光电!AB85+东方国信!AB85+积成电子!AB85+洲际油气!AB85+老板电器!AB85+德润电子!AB85</f>
        <v>-58676.917326017661</v>
      </c>
      <c r="O80" s="1">
        <f t="shared" ref="O80" si="100">N80/B80</f>
        <v>-6.7184369496477688E-3</v>
      </c>
      <c r="P80" s="176" t="str">
        <f t="shared" si="88"/>
        <v>6月17日
今日相对收益：-5.87万
今日相对收益率:-0.67%
今日绝对收益：-2.15万
今日绝对收益率：-0.25%
累计相对收益额:108.96万
累计相对收益率：12.48%
累计绝对收益额：109.1万
累计绝对收益率：12.49%
股票名称：合计
累计投入:873万</v>
      </c>
      <c r="Q80" s="176" t="str">
        <f>MONTH(中航光电!B85)&amp;"月"&amp;DAY(中航光电!B85)&amp;"日"&amp;CHAR(10)&amp;"今日目标收益："&amp;ROUND(中航光电!AB85,0)&amp;"元"&amp;CHAR(10)&amp;"累计目标收益："&amp;ROUND(中航光电!V85,0)&amp;"元"&amp;CHAR(10)&amp;"今日收益率:"&amp;ROUND(中航光电!AA85*100,2)&amp;"%"&amp;CHAR(10)&amp;"累计收益率："&amp;ROUND(中航光电!U85*100,2)&amp;"%"&amp;CHAR(10)&amp;"股票名称：中航光电"&amp;CHAR(10)&amp;"持仓金额:"&amp;ROUND(中航光电!H85/10000,0)&amp;"万"</f>
        <v>6月17日
今日目标收益：-9826元
累计目标收益：284089元
今日收益率:-0.73%
累计收益率：26.57%
股票名称：中航光电
持仓金额:133万</v>
      </c>
      <c r="R80" s="176" t="str">
        <f>MONTH(东方国信!B85)&amp;"月"&amp;DAY(东方国信!B85)&amp;"日"&amp;CHAR(10)&amp;"今日目标收益："&amp;ROUND(东方国信!AB85,0)&amp;"元"&amp;CHAR(10)&amp;"累计目标收益："&amp;ROUND(东方国信!V85,0)&amp;"元"&amp;CHAR(10)&amp;"今日收益率:"&amp;ROUND(东方国信!AA85*100,2)&amp;"%"&amp;CHAR(10)&amp;"累计收益率："&amp;ROUND(东方国信!AC85*100,2)&amp;"%"&amp;CHAR(10)&amp;"股票名称：东方国信"&amp;CHAR(10)&amp;"持仓金额:"&amp;ROUND(东方国信!H85/10000,0)&amp;"万"</f>
        <v>6月17日
今日目标收益：0元
累计目标收益：496708元
今日收益率:0%
累计收益率：21.66%
股票名称：东方国信
持仓金额:137万</v>
      </c>
      <c r="S80" s="176" t="str">
        <f>MONTH(积成电子!B85)&amp;"月"&amp;DAY(积成电子!B85)&amp;"日"&amp;CHAR(10)&amp;"今日目标收益："&amp;ROUND(积成电子!AB85,0)&amp;"元"&amp;CHAR(10)&amp;"累计目标收益："&amp;ROUND(积成电子!V85,0)&amp;"元"&amp;CHAR(10)&amp;"今日收益率:"&amp;ROUND(积成电子!AA85*100,2)&amp;"%"&amp;CHAR(10)&amp;"累计收益率："&amp;ROUND(积成电子!U85*100,2)&amp;"%"&amp;CHAR(10)&amp;"股票名称：积成电子"&amp;CHAR(10)&amp;"持仓金额:"&amp;ROUND(积成电子!H85/10000,0)&amp;"万"</f>
        <v>6月17日
今日目标收益：-11803元
累计目标收益：59541元
今日收益率:-1.09%
累计收益率：5.91%
股票名称：积成电子
持仓金额:107万</v>
      </c>
      <c r="T80" s="176" t="str">
        <f>MONTH(洲际油气!B85)&amp;"月"&amp;DAY(洲际油气!B85)&amp;"日"&amp;CHAR(10)&amp;"今日目标收益："&amp;ROUND(洲际油气!AB85,0)&amp;"元"&amp;CHAR(10)&amp;"累计目标收益："&amp;ROUND(洲际油气!V85,0)&amp;"元"&amp;CHAR(10)&amp;"今日收益率:"&amp;ROUND(洲际油气!AA85*100,2)&amp;"%"&amp;CHAR(10)&amp;"累计收益率："&amp;ROUND(洲际油气!U85*100,2)&amp;"%"&amp;CHAR(10)&amp;"股票名称：洲际油气"&amp;CHAR(10)&amp;"持仓金额:"&amp;ROUND(洲际油气!H85/10000,0)&amp;"万"</f>
        <v>6月17日
今日目标收益：-34234元
累计目标收益：-50508元
今日收益率:-1.52%
累计收益率：-2.23%
股票名称：洲际油气
持仓金额:222万</v>
      </c>
      <c r="U80" s="176" t="str">
        <f>MONTH(老板电器!B85)&amp;"月"&amp;DAY(老板电器!B85)&amp;"日"&amp;CHAR(10)&amp;"今日目标收益："&amp;ROUND(老板电器!AB85,0)&amp;"元"&amp;CHAR(10)&amp;"累计目标收益："&amp;ROUND(老板电器!V85,0)&amp;"元"&amp;CHAR(10)&amp;"今日收益率:"&amp;ROUND(老板电器!AA85*100,2)&amp;"%"&amp;CHAR(10)&amp;"累计收益率："&amp;ROUND(老板电器!U85*100,2)&amp;"%"&amp;CHAR(10)&amp;"股票名称：老板电器"&amp;CHAR(10)&amp;"持仓金额:"&amp;ROUND(老板电器!H85/10000,0)&amp;"万"</f>
        <v>6月17日
今日目标收益：-2814元
累计目标收益：299814元
今日收益率:-0.07%
累计收益率：5.99%
股票名称：老板电器
持仓金额:378万</v>
      </c>
    </row>
    <row r="81" spans="1:22" ht="148.5" x14ac:dyDescent="0.15">
      <c r="A81" s="147">
        <v>42541</v>
      </c>
      <c r="B81" s="180">
        <f>中航光电!E86+东方国信!E86+积成电子!E86+洲际油气!E86+老板电器!E86+德润电子!E86+网宿科技!E86</f>
        <v>9734715.5600000005</v>
      </c>
      <c r="C81" s="38">
        <f>中航光电!R86+东方国信!R86+积成电子!R86+洲际油气!R86+老板电器!R86+德润电子!R86+网宿科技!R86</f>
        <v>147882.59233301861</v>
      </c>
      <c r="D81" s="180">
        <f>中航光电!G86+东方国信!G86+积成电子!G86+洲际油气!G86+老板电器!G86+德润电子!G86+网宿科技!G86</f>
        <v>10779559.005070645</v>
      </c>
      <c r="E81" s="168">
        <f t="shared" ref="E81" si="101">C81/D81</f>
        <v>1.3718797982686996E-2</v>
      </c>
      <c r="F81" s="38">
        <f>中航光电!V86+东方国信!V86+积成电子!V86+洲际油气!V86+老板电器!V86+德润电子!V86+网宿科技!V86</f>
        <v>1238102.4303443118</v>
      </c>
      <c r="G81" s="180">
        <f>中航光电!W86+东方国信!W86+积成电子!W86+洲际油气!W86+老板电器!W86+德润电子!W86+网宿科技!W86</f>
        <v>1253246.1163615067</v>
      </c>
      <c r="H81" s="168">
        <f t="shared" ref="H81" si="102">F81/B81</f>
        <v>0.12718424310533338</v>
      </c>
      <c r="I81" s="168">
        <f t="shared" ref="I81" si="103">G81/B81</f>
        <v>0.12873988034238021</v>
      </c>
      <c r="J81" s="180">
        <f>中航光电!H86+东方国信!H86+积成电子!H86+洲际油气!H86+老板电器!H86+德润电子!H86+网宿科技!H86</f>
        <v>10929409.032957843</v>
      </c>
      <c r="K81" s="180">
        <f>中航光电!F86+东方国信!F86+积成电子!F86+洲际油气!F86+老板电器!F86+德润电子!F86+网宿科技!F86</f>
        <v>10949654.045</v>
      </c>
      <c r="L81" s="180">
        <f t="shared" ref="L81" si="104">G81-G80</f>
        <v>162211.69388800161</v>
      </c>
      <c r="M81" s="1">
        <f t="shared" ref="M81" si="105">I81-I80</f>
        <v>3.817742109439512E-3</v>
      </c>
      <c r="N81" s="180">
        <f>中航光电!AB86+东方国信!AB86+积成电子!AB86+洲际油气!AB86+老板电器!AB86+德润电子!AB86+网宿科技!AB86</f>
        <v>147882.59233301861</v>
      </c>
      <c r="O81" s="1">
        <f t="shared" ref="O81" si="106">N81/B81</f>
        <v>1.5191259715966328E-2</v>
      </c>
      <c r="P81" s="176" t="str">
        <f t="shared" si="88"/>
        <v>6月20日
今日相对收益：14.79万
今日相对收益率:1.52%
今日绝对收益：16.22万
今日绝对收益率：0.38%
累计相对收益额:123.81万
累计相对收益率：12.72%
累计绝对收益额：125.32万
累计绝对收益率：12.87%
股票名称：合计
累计投入:973万</v>
      </c>
      <c r="Q81" s="176" t="str">
        <f>MONTH(中航光电!B86)&amp;"月"&amp;DAY(中航光电!B86)&amp;"日"&amp;CHAR(10)&amp;"今日目标收益："&amp;ROUND(中航光电!AB86,0)&amp;"元"&amp;CHAR(10)&amp;"累计目标收益："&amp;ROUND(中航光电!V86,0)&amp;"元"&amp;CHAR(10)&amp;"今日收益率:"&amp;ROUND(中航光电!AA86*100,2)&amp;"%"&amp;CHAR(10)&amp;"累计收益率："&amp;ROUND(中航光电!U86*100,2)&amp;"%"&amp;CHAR(10)&amp;"股票名称：中航光电"&amp;CHAR(10)&amp;"持仓金额:"&amp;ROUND(中航光电!H86/10000,0)&amp;"万"</f>
        <v>6月20日
今日目标收益：16959元
累计目标收益：302253元
今日收益率:1.27%
累计收益率：28.29%
股票名称：中航光电
持仓金额:135万</v>
      </c>
      <c r="R81" s="176" t="str">
        <f>MONTH(东方国信!B86)&amp;"月"&amp;DAY(东方国信!B86)&amp;"日"&amp;CHAR(10)&amp;"今日目标收益："&amp;ROUND(东方国信!AB86,0)&amp;"元"&amp;CHAR(10)&amp;"累计目标收益："&amp;ROUND(东方国信!V86,0)&amp;"元"&amp;CHAR(10)&amp;"今日收益率:"&amp;ROUND(东方国信!AA86*100,2)&amp;"%"&amp;CHAR(10)&amp;"累计收益率："&amp;ROUND(东方国信!AC86*100,2)&amp;"%"&amp;CHAR(10)&amp;"股票名称：东方国信"&amp;CHAR(10)&amp;"持仓金额:"&amp;ROUND(东方国信!H86/10000,0)&amp;"万"</f>
        <v>6月20日
今日目标收益：0元
累计目标收益：496708元
今日收益率:0%
累计收益率：21.66%
股票名称：东方国信
持仓金额:137万</v>
      </c>
      <c r="S81" s="176" t="str">
        <f>MONTH(积成电子!B86)&amp;"月"&amp;DAY(积成电子!B86)&amp;"日"&amp;CHAR(10)&amp;"今日目标收益："&amp;ROUND(积成电子!AB86,0)&amp;"元"&amp;CHAR(10)&amp;"累计目标收益："&amp;ROUND(积成电子!V86,0)&amp;"元"&amp;CHAR(10)&amp;"今日收益率:"&amp;ROUND(积成电子!AA86*100,2)&amp;"%"&amp;CHAR(10)&amp;"累计收益率："&amp;ROUND(积成电子!U86*100,2)&amp;"%"&amp;CHAR(10)&amp;"股票名称：积成电子"&amp;CHAR(10)&amp;"持仓金额:"&amp;ROUND(积成电子!H86/10000,0)&amp;"万"</f>
        <v>6月20日
今日目标收益：50195元
累计目标收益：109644元
今日收益率:4.69%
累计收益率：10.88%
股票名称：积成电子
持仓金额:112万</v>
      </c>
      <c r="T81" s="176" t="str">
        <f>MONTH(洲际油气!B86)&amp;"月"&amp;DAY(洲际油气!B86)&amp;"日"&amp;CHAR(10)&amp;"今日目标收益："&amp;ROUND(洲际油气!AB86,0)&amp;"元"&amp;CHAR(10)&amp;"累计目标收益："&amp;ROUND(洲际油气!V86,0)&amp;"元"&amp;CHAR(10)&amp;"今日收益率:"&amp;ROUND(洲际油气!AA86*100,2)&amp;"%"&amp;CHAR(10)&amp;"累计收益率："&amp;ROUND(洲际油气!U86*100,2)&amp;"%"&amp;CHAR(10)&amp;"股票名称：洲际油气"&amp;CHAR(10)&amp;"持仓金额:"&amp;ROUND(洲际油气!H86/10000,0)&amp;"万"</f>
        <v>6月20日
今日目标收益：4035元
累计目标收益：-46575元
今日收益率:0.18%
累计收益率：-2.06%
股票名称：洲际油气
持仓金额:222万</v>
      </c>
      <c r="U81" s="176" t="str">
        <f>MONTH(老板电器!B86)&amp;"月"&amp;DAY(老板电器!B86)&amp;"日"&amp;CHAR(10)&amp;"今日目标收益："&amp;ROUND(老板电器!AB86,0)&amp;"元"&amp;CHAR(10)&amp;"累计目标收益："&amp;ROUND(老板电器!V86,0)&amp;"元"&amp;CHAR(10)&amp;"今日收益率:"&amp;ROUND(老板电器!AA86*100,2)&amp;"%"&amp;CHAR(10)&amp;"累计收益率："&amp;ROUND(老板电器!U86*100,2)&amp;"%"&amp;CHAR(10)&amp;"股票名称：老板电器"&amp;CHAR(10)&amp;"持仓金额:"&amp;ROUND(老板电器!H86/10000,0)&amp;"万"</f>
        <v>6月20日
今日目标收益：49831元
累计目标收益：349208元
今日收益率:1.32%
累计收益率：7.38%
股票名称：老板电器
持仓金额:384万</v>
      </c>
      <c r="V81" s="176" t="str">
        <f>MONTH(网宿科技!B86)&amp;"月"&amp;DAY(网宿科技!B86)&amp;"日"&amp;CHAR(10)&amp;"今日目标收益："&amp;ROUND(网宿科技!AB86,0)&amp;"元"&amp;CHAR(10)&amp;"累计目标收益："&amp;ROUND(网宿科技!V86,0)&amp;"元"&amp;CHAR(10)&amp;"今日收益率:"&amp;ROUND(网宿科技!AA86*100,2)&amp;"%"&amp;CHAR(10)&amp;"累计收益率："&amp;ROUND(网宿科技!U86*100,2)&amp;"%"&amp;CHAR(10)&amp;"股票名称：网宿科技"&amp;CHAR(10)&amp;"持仓金额:"&amp;ROUND(网宿科技!H86/10000,0)&amp;"万"</f>
        <v>6月20日
今日目标收益：26863元
累计目标收益：26863元
今日收益率:2.68%
累计收益率：2.68%
股票名称：网宿科技
持仓金额:103万</v>
      </c>
    </row>
    <row r="82" spans="1:22" ht="148.5" x14ac:dyDescent="0.15">
      <c r="A82" s="147">
        <v>42542</v>
      </c>
      <c r="B82" s="180">
        <f>中航光电!E87+东方国信!E88+积成电子!E87+洲际油气!E87+老板电器!E87+德润电子!E87+网宿科技!E87</f>
        <v>9734715.5600000005</v>
      </c>
      <c r="C82" s="38">
        <f>中航光电!R87+东方国信!R88+积成电子!R87+洲际油气!R87+老板电器!R87+德润电子!R87+网宿科技!R87</f>
        <v>-42809.132068469873</v>
      </c>
      <c r="D82" s="180">
        <f>中航光电!G87+东方国信!G88+积成电子!G87+洲际油气!G87+老板电器!G87+德润电子!G87+网宿科技!G87</f>
        <v>10929409.032957843</v>
      </c>
      <c r="E82" s="168">
        <f t="shared" ref="E82" si="107">C82/D82</f>
        <v>-3.9168752802075683E-3</v>
      </c>
      <c r="F82" s="38">
        <f>中航光电!V87+东方国信!V88+积成电子!V87+洲际油气!V87+老板电器!V87+德润电子!V87+网宿科技!V87</f>
        <v>1190462.1856818995</v>
      </c>
      <c r="G82" s="180">
        <f>中航光电!W87+东方国信!W88+积成电子!W87+洲际油气!W87+老板电器!W87+德润电子!W87+网宿科技!W87</f>
        <v>1174230.77276053</v>
      </c>
      <c r="H82" s="168">
        <f t="shared" ref="H82" si="108">F82/B82</f>
        <v>0.12229039239456725</v>
      </c>
      <c r="I82" s="168">
        <f t="shared" ref="I82" si="109">G82/B82</f>
        <v>0.12062301826110366</v>
      </c>
      <c r="J82" s="180">
        <f>中航光电!H87+东方国信!H88+积成电子!H87+洲际油气!H87+老板电器!H87+德润电子!H87+网宿科技!H87</f>
        <v>10881121.62650435</v>
      </c>
      <c r="K82" s="180">
        <f>中航光电!F87+东方国信!F88+积成电子!F87+洲际油气!F87+老板电器!F87+德润电子!F87+网宿科技!F87</f>
        <v>10870708.675000001</v>
      </c>
      <c r="L82" s="180">
        <f t="shared" ref="L82" si="110">G82-G81</f>
        <v>-79015.343600976747</v>
      </c>
      <c r="M82" s="1">
        <f t="shared" ref="M82" si="111">I82-I81</f>
        <v>-8.1168620812765435E-3</v>
      </c>
      <c r="N82" s="180">
        <f>中航光电!AB87+东方国信!AB88+积成电子!AB87+洲际油气!AB87+老板电器!AB87+德润电子!AB87+网宿科技!AB87</f>
        <v>-42809.132068469873</v>
      </c>
      <c r="O82" s="1">
        <f t="shared" ref="O82" si="112">N82/B82</f>
        <v>-4.3975740025083863E-3</v>
      </c>
      <c r="P82" s="176" t="str">
        <f t="shared" si="88"/>
        <v>6月21日
今日相对收益：-4.28万
今日相对收益率:-0.44%
今日绝对收益：-7.9万
今日绝对收益率：-0.81%
累计相对收益额:119.05万
累计相对收益率：12.23%
累计绝对收益额：117.42万
累计绝对收益率：12.06%
股票名称：合计
累计投入:973万</v>
      </c>
      <c r="Q82" s="176" t="str">
        <f>MONTH(中航光电!B87)&amp;"月"&amp;DAY(中航光电!B87)&amp;"日"&amp;CHAR(10)&amp;"今日目标收益："&amp;ROUND(中航光电!AB87,0)&amp;"元"&amp;CHAR(10)&amp;"累计目标收益："&amp;ROUND(中航光电!V87,0)&amp;"元"&amp;CHAR(10)&amp;"今日收益率:"&amp;ROUND(中航光电!AA87*100,2)&amp;"%"&amp;CHAR(10)&amp;"累计收益率："&amp;ROUND(中航光电!U87*100,2)&amp;"%"&amp;CHAR(10)&amp;"股票名称：中航光电"&amp;CHAR(10)&amp;"持仓金额:"&amp;ROUND(中航光电!H87/10000,0)&amp;"万"</f>
        <v>6月21日
今日目标收益：-11486元
累计目标收益：287173元
今日收益率:-0.85%
累计收益率：26.87%
股票名称：中航光电
持仓金额:134万</v>
      </c>
      <c r="R82" s="176" t="str">
        <f>MONTH(东方国信!B87)&amp;"月"&amp;DAY(东方国信!B87)&amp;"日"&amp;CHAR(10)&amp;"今日目标收益："&amp;ROUND(东方国信!AB88,0)&amp;"元"&amp;CHAR(10)&amp;"累计目标收益："&amp;ROUND(东方国信!V88,0)&amp;"元"&amp;CHAR(10)&amp;"今日收益率:"&amp;ROUND(东方国信!AA88*100,2)&amp;"%"&amp;CHAR(10)&amp;"累计收益率："&amp;ROUND(东方国信!AC88*100,2)&amp;"%"&amp;CHAR(10)&amp;"股票名称：东方国信"&amp;CHAR(10)&amp;"持仓金额:"&amp;ROUND(东方国信!H88/10000,0)&amp;"万"</f>
        <v>6月21日
今日目标收益：0元
累计目标收益：496708元
今日收益率:0%
累计收益率：21.66%
股票名称：东方国信
持仓金额:137万</v>
      </c>
      <c r="S82" s="176" t="str">
        <f>MONTH(积成电子!B87)&amp;"月"&amp;DAY(积成电子!B87)&amp;"日"&amp;CHAR(10)&amp;"今日目标收益："&amp;ROUND(积成电子!AB87,0)&amp;"元"&amp;CHAR(10)&amp;"累计目标收益："&amp;ROUND(积成电子!V87,0)&amp;"元"&amp;CHAR(10)&amp;"今日收益率:"&amp;ROUND(积成电子!AA87*100,2)&amp;"%"&amp;CHAR(10)&amp;"累计收益率："&amp;ROUND(积成电子!U87*100,2)&amp;"%"&amp;CHAR(10)&amp;"股票名称：积成电子"&amp;CHAR(10)&amp;"持仓金额:"&amp;ROUND(积成电子!H87/10000,0)&amp;"万"</f>
        <v>6月21日
今日目标收益：-12706元
累计目标收益：96090元
今日收益率:-1.13%
累计收益率：9.53%
股票名称：积成电子
持仓金额:111万</v>
      </c>
      <c r="T82" s="176" t="str">
        <f>MONTH(洲际油气!B87)&amp;"月"&amp;DAY(洲际油气!B87)&amp;"日"&amp;CHAR(10)&amp;"今日目标收益："&amp;ROUND(洲际油气!AB87,0)&amp;"元"&amp;CHAR(10)&amp;"累计目标收益："&amp;ROUND(洲际油气!V87,0)&amp;"元"&amp;CHAR(10)&amp;"今日收益率:"&amp;ROUND(洲际油气!AA87*100,2)&amp;"%"&amp;CHAR(10)&amp;"累计收益率："&amp;ROUND(洲际油气!U87*100,2)&amp;"%"&amp;CHAR(10)&amp;"股票名称：洲际油气"&amp;CHAR(10)&amp;"持仓金额:"&amp;ROUND(洲际油气!H87/10000,0)&amp;"万"</f>
        <v>6月21日
今日目标收益：-9662元
累计目标收益：-55996元
今日收益率:-0.44%
累计收益率：-2.48%
股票名称：洲际油气
持仓金额:221万</v>
      </c>
      <c r="U82" s="176" t="str">
        <f>MONTH(老板电器!B87)&amp;"月"&amp;DAY(老板电器!B87)&amp;"日"&amp;CHAR(10)&amp;"今日目标收益："&amp;ROUND(老板电器!AB87,0)&amp;"元"&amp;CHAR(10)&amp;"累计目标收益："&amp;ROUND(老板电器!V87,0)&amp;"元"&amp;CHAR(10)&amp;"今日收益率:"&amp;ROUND(老板电器!AA87*100,2)&amp;"%"&amp;CHAR(10)&amp;"累计收益率："&amp;ROUND(老板电器!U87*100,2)&amp;"%"&amp;CHAR(10)&amp;"股票名称：老板电器"&amp;CHAR(10)&amp;"持仓金额:"&amp;ROUND(老板电器!H87/10000,0)&amp;"万"</f>
        <v>6月21日
今日目标收益：11821元
累计目标收益：360517元
今日收益率:0.31%
累计收益率：7.7%
股票名称：老板电器
持仓金额:384万</v>
      </c>
      <c r="V82" s="176" t="str">
        <f>MONTH(网宿科技!B87)&amp;"月"&amp;DAY(网宿科技!B87)&amp;"日"&amp;CHAR(10)&amp;"今日目标收益："&amp;ROUND(网宿科技!AB87,0)&amp;"元"&amp;CHAR(10)&amp;"累计目标收益："&amp;ROUND(网宿科技!V87,0)&amp;"元"&amp;CHAR(10)&amp;"今日收益率:"&amp;ROUND(网宿科技!AA87*100,2)&amp;"%"&amp;CHAR(10)&amp;"累计收益率："&amp;ROUND(网宿科技!U87*100,2)&amp;"%"&amp;CHAR(10)&amp;"股票名称：网宿科技"&amp;CHAR(10)&amp;"持仓金额:"&amp;ROUND(网宿科技!H87/10000,0)&amp;"万"</f>
        <v>6月21日
今日目标收益：-20777元
累计目标收益：5971元
今日收益率:-2.02%
累计收益率：0.6%
股票名称：网宿科技
持仓金额:101万</v>
      </c>
    </row>
    <row r="83" spans="1:22" ht="148.5" x14ac:dyDescent="0.15">
      <c r="A83" s="147">
        <v>42543</v>
      </c>
      <c r="B83" s="180">
        <f>中航光电!E88+东方国信!E89+积成电子!E88+洲际油气!E88+老板电器!E88+德润电子!E88+网宿科技!E88</f>
        <v>10233987.560000001</v>
      </c>
      <c r="C83" s="38">
        <f>中航光电!R88+东方国信!R89+积成电子!R88+洲际油气!R88+老板电器!R88+德润电子!R88+网宿科技!R88</f>
        <v>283239.38010418433</v>
      </c>
      <c r="D83" s="180">
        <f>中航光电!G88+东方国信!G89+积成电子!G88+洲际油气!G88+老板电器!G88+德润电子!G88+网宿科技!G88</f>
        <v>11083238.51150435</v>
      </c>
      <c r="E83" s="168">
        <f t="shared" ref="E83" si="113">C83/D83</f>
        <v>2.5555651428973866E-2</v>
      </c>
      <c r="F83" s="38">
        <f>中航光电!V88+东方国信!V89+积成电子!V88+洲际油气!V88+老板电器!V88+德润电子!V88+网宿科技!V88</f>
        <v>1176883.0689905589</v>
      </c>
      <c r="G83" s="180">
        <f>中航光电!W88+东方国信!W89+积成电子!W88+洲际油气!W88+老板电器!W88+德润电子!W88+网宿科技!W88</f>
        <v>1236436.1301769628</v>
      </c>
      <c r="H83" s="168">
        <f t="shared" ref="H83" si="114">F83/B83</f>
        <v>0.11499750826261106</v>
      </c>
      <c r="I83" s="168">
        <f t="shared" ref="I83" si="115">G83/B83</f>
        <v>0.1208166536189304</v>
      </c>
      <c r="J83" s="180">
        <f>中航光电!H88+东方国信!H89+积成电子!H88+洲际油气!H88+老板电器!H88+德润电子!H88+网宿科技!H88</f>
        <v>11366169.394592563</v>
      </c>
      <c r="K83" s="180">
        <f>中航光电!F88+东方国信!F89+积成电子!F88+洲际油气!F88+老板电器!F88+德润电子!F88+网宿科技!F88</f>
        <v>11413448.43</v>
      </c>
      <c r="L83" s="180">
        <f t="shared" ref="L83" si="116">G83-G82</f>
        <v>62205.357416432817</v>
      </c>
      <c r="M83" s="1">
        <f t="shared" ref="M83" si="117">I83-I82</f>
        <v>1.9363535782673802E-4</v>
      </c>
      <c r="N83" s="180">
        <f>中航光电!AB88+东方国信!AB89+积成电子!AB88+洲际油气!AB88+老板电器!AB88+德润电子!AB88+网宿科技!AB88</f>
        <v>283239.38010418433</v>
      </c>
      <c r="O83" s="1">
        <f t="shared" ref="O83" si="118">N83/B83</f>
        <v>2.7676345944687108E-2</v>
      </c>
      <c r="P83" s="176" t="str">
        <f t="shared" si="88"/>
        <v>6月22日
今日相对收益：28.32万
今日相对收益率:2.77%
今日绝对收益：6.22万
今日绝对收益率：0.02%
累计相对收益额:117.69万
累计相对收益率：11.5%
累计绝对收益额：123.64万
累计绝对收益率：12.08%
股票名称：合计
累计投入:1023万</v>
      </c>
      <c r="Q83" s="176" t="str">
        <f>MONTH(中航光电!B88)&amp;"月"&amp;DAY(中航光电!B88)&amp;"日"&amp;CHAR(10)&amp;"今日目标收益："&amp;ROUND(中航光电!AB88,0)&amp;"元"&amp;CHAR(10)&amp;"累计目标收益："&amp;ROUND(中航光电!V88,0)&amp;"元"&amp;CHAR(10)&amp;"今日收益率:"&amp;ROUND(中航光电!AA88*100,2)&amp;"%"&amp;CHAR(10)&amp;"累计收益率："&amp;ROUND(中航光电!U88*100,2)&amp;"%"&amp;CHAR(10)&amp;"股票名称：中航光电"&amp;CHAR(10)&amp;"持仓金额:"&amp;ROUND(中航光电!H88/10000,0)&amp;"万"</f>
        <v>6月22日
今日目标收益：-16673元
累计目标收益：274840元
今日收益率:-1.25%
累计收益率：25.7%
股票名称：中航光电
持仓金额:132万</v>
      </c>
      <c r="R83" s="176" t="str">
        <f>MONTH(东方国信!B88)&amp;"月"&amp;DAY(东方国信!B88)&amp;"日"&amp;CHAR(10)&amp;"今日目标收益："&amp;ROUND(东方国信!AB89,0)&amp;"元"&amp;CHAR(10)&amp;"累计目标收益："&amp;ROUND(东方国信!V89,0)&amp;"元"&amp;CHAR(10)&amp;"今日收益率:"&amp;ROUND(东方国信!AA89*100,2)&amp;"%"&amp;CHAR(10)&amp;"累计收益率："&amp;ROUND(东方国信!AC89*100,2)&amp;"%"&amp;CHAR(10)&amp;"股票名称：东方国信"&amp;CHAR(10)&amp;"持仓金额:"&amp;ROUND(东方国信!H89/10000,0)&amp;"万"</f>
        <v>6月22日
今日目标收益：0元
累计目标收益：496708元
今日收益率:0%
累计收益率：21.66%
股票名称：东方国信
持仓金额:137万</v>
      </c>
      <c r="S83" s="176" t="str">
        <f>MONTH(积成电子!B88)&amp;"月"&amp;DAY(积成电子!B88)&amp;"日"&amp;CHAR(10)&amp;"今日目标收益："&amp;ROUND(积成电子!AB88,0)&amp;"元"&amp;CHAR(10)&amp;"累计目标收益："&amp;ROUND(积成电子!V88,0)&amp;"元"&amp;CHAR(10)&amp;"今日收益率:"&amp;ROUND(积成电子!AA88*100,2)&amp;"%"&amp;CHAR(10)&amp;"累计收益率："&amp;ROUND(积成电子!U88*100,2)&amp;"%"&amp;CHAR(10)&amp;"股票名称：积成电子"&amp;CHAR(10)&amp;"持仓金额:"&amp;ROUND(积成电子!H88/10000,0)&amp;"万"</f>
        <v>6月22日
今日目标收益：59875元
累计目标收益：156414元
今日收益率:5.4%
累计收益率：15.52%
股票名称：积成电子
持仓金额:117万</v>
      </c>
      <c r="T83" s="176" t="str">
        <f>MONTH(洲际油气!B88)&amp;"月"&amp;DAY(洲际油气!B88)&amp;"日"&amp;CHAR(10)&amp;"今日目标收益："&amp;ROUND(洲际油气!AB88,0)&amp;"元"&amp;CHAR(10)&amp;"累计目标收益："&amp;ROUND(洲际油气!V88,0)&amp;"元"&amp;CHAR(10)&amp;"今日收益率:"&amp;ROUND(洲际油气!AA88*100,2)&amp;"%"&amp;CHAR(10)&amp;"累计收益率："&amp;ROUND(洲际油气!U88*100,2)&amp;"%"&amp;CHAR(10)&amp;"股票名称：洲际油气"&amp;CHAR(10)&amp;"持仓金额:"&amp;ROUND(洲际油气!H88/10000,0)&amp;"万"</f>
        <v>6月22日
今日目标收益：245元
累计目标收益：-56253元
今日收益率:0.01%
累计收益率：-2.49%
股票名称：洲际油气
持仓金额:221万</v>
      </c>
      <c r="U83" s="176" t="str">
        <f>MONTH(老板电器!B88)&amp;"月"&amp;DAY(老板电器!B88)&amp;"日"&amp;CHAR(10)&amp;"今日目标收益："&amp;ROUND(老板电器!AB88,0)&amp;"元"&amp;CHAR(10)&amp;"累计目标收益："&amp;ROUND(老板电器!V88,0)&amp;"元"&amp;CHAR(10)&amp;"今日收益率:"&amp;ROUND(老板电器!AA88*100,2)&amp;"%"&amp;CHAR(10)&amp;"累计收益率："&amp;ROUND(老板电器!U88*100,2)&amp;"%"&amp;CHAR(10)&amp;"股票名称：老板电器"&amp;CHAR(10)&amp;"持仓金额:"&amp;ROUND(老板电器!H88/10000,0)&amp;"万"</f>
        <v>6月22日
今日目标收益：231623元
累计目标收益：291669元
今日收益率:5.73%
累计收益率：5.05%
股票名称：老板电器
持仓金额:428万</v>
      </c>
      <c r="V83" s="176" t="str">
        <f>MONTH(网宿科技!B88)&amp;"月"&amp;DAY(网宿科技!B88)&amp;"日"&amp;CHAR(10)&amp;"今日目标收益："&amp;ROUND(网宿科技!AB88,0)&amp;"元"&amp;CHAR(10)&amp;"累计目标收益："&amp;ROUND(网宿科技!V88,0)&amp;"元"&amp;CHAR(10)&amp;"今日收益率:"&amp;ROUND(网宿科技!AA88*100,2)&amp;"%"&amp;CHAR(10)&amp;"累计收益率："&amp;ROUND(网宿科技!U88*100,2)&amp;"%"&amp;CHAR(10)&amp;"股票名称：网宿科技"&amp;CHAR(10)&amp;"持仓金额:"&amp;ROUND(网宿科技!H88/10000,0)&amp;"万"</f>
        <v>6月22日
今日目标收益：8169元
累计目标收益：13505元
今日收益率:0.81%
累计收益率：1.35%
股票名称：网宿科技
持仓金额:102万</v>
      </c>
    </row>
    <row r="84" spans="1:22" ht="148.5" x14ac:dyDescent="0.15">
      <c r="A84" s="147">
        <v>42544</v>
      </c>
      <c r="B84" s="180">
        <f>中航光电!E89+东方国信!E89+积成电子!E89+洲际油气!E89+老板电器!E89+德润电子!E89+网宿科技!E89</f>
        <v>10233987.560000001</v>
      </c>
      <c r="C84" s="38">
        <f>中航光电!R89+东方国信!R89+积成电子!R89+洲际油气!R89+老板电器!R89+德润电子!R89+网宿科技!R89</f>
        <v>-7450.4446436568405</v>
      </c>
      <c r="D84" s="180">
        <f>中航光电!G89+东方国信!G89+积成电子!G89+洲际油气!G89+老板电器!G89+德润电子!G89+网宿科技!G89</f>
        <v>11366169.394592563</v>
      </c>
      <c r="E84" s="168">
        <f t="shared" ref="E84" si="119">C84/D84</f>
        <v>-6.554930148411635E-4</v>
      </c>
      <c r="F84" s="38">
        <f>中航光电!V89+东方国信!V89+积成电子!V89+洲际油气!V89+老板电器!V89+德润电子!V89+网宿科技!V89</f>
        <v>1167586.9129293775</v>
      </c>
      <c r="G84" s="180">
        <f>中航光电!W89+东方国信!W89+积成电子!W89+洲际油气!W89+老板电器!W89+德润电子!W89+网宿科技!W89</f>
        <v>1187350.6222341617</v>
      </c>
      <c r="H84" s="168">
        <f t="shared" ref="H84" si="120">F84/B84</f>
        <v>0.11408914717592029</v>
      </c>
      <c r="I84" s="168">
        <f t="shared" ref="I84" si="121">G84/B84</f>
        <v>0.11602033081171359</v>
      </c>
      <c r="J84" s="180">
        <f>中航光电!H89+东方国信!H89+积成电子!H89+洲际油气!H89+老板电器!H89+德润电子!H89+网宿科技!H89</f>
        <v>11342826.294588711</v>
      </c>
      <c r="K84" s="180">
        <f>中航光电!F89+东方国信!F89+积成电子!F89+洲际油气!F89+老板电器!F89+德润电子!F89+网宿科技!F89</f>
        <v>11363696.115</v>
      </c>
      <c r="L84" s="180">
        <f t="shared" ref="L84" si="122">G84-G83</f>
        <v>-49085.507942801109</v>
      </c>
      <c r="M84" s="1">
        <f t="shared" ref="M84" si="123">I84-I83</f>
        <v>-4.7963228072168129E-3</v>
      </c>
      <c r="N84" s="180">
        <f>中航光电!AB89+东方国信!AB89+积成电子!AB89+洲际油气!AB89+老板电器!AB89+德润电子!AB89+网宿科技!AB89</f>
        <v>-7450.4446436568405</v>
      </c>
      <c r="O84" s="1">
        <f t="shared" ref="O84" si="124">N84/B84</f>
        <v>-7.2800993747317391E-4</v>
      </c>
      <c r="P84" s="176" t="str">
        <f t="shared" si="88"/>
        <v>6月23日
今日相对收益：-0.75万
今日相对收益率:-0.07%
今日绝对收益：-4.91万
今日绝对收益率：-0.48%
累计相对收益额:116.76万
累计相对收益率：11.41%
累计绝对收益额：118.74万
累计绝对收益率：11.6%
股票名称：合计
累计投入:1023万</v>
      </c>
      <c r="Q84" s="176" t="str">
        <f>MONTH(中航光电!B89)&amp;"月"&amp;DAY(中航光电!B89)&amp;"日"&amp;CHAR(10)&amp;"今日目标收益："&amp;ROUND(中航光电!AB89,0)&amp;"元"&amp;CHAR(10)&amp;"累计目标收益："&amp;ROUND(中航光电!V89,0)&amp;"元"&amp;CHAR(10)&amp;"今日收益率:"&amp;ROUND(中航光电!AA89*100,2)&amp;"%"&amp;CHAR(10)&amp;"累计收益率："&amp;ROUND(中航光电!U89*100,2)&amp;"%"&amp;CHAR(10)&amp;"股票名称：中航光电"&amp;CHAR(10)&amp;"持仓金额:"&amp;ROUND(中航光电!H89/10000,0)&amp;"万"</f>
        <v>6月23日
今日目标收益：2337元
累计目标收益：275856元
今日收益率:0.18%
累计收益率：25.8%
股票名称：中航光电
持仓金额:132万</v>
      </c>
      <c r="R84" s="176" t="str">
        <f>MONTH(东方国信!B89)&amp;"月"&amp;DAY(东方国信!B89)&amp;"日"&amp;CHAR(10)&amp;"今日目标收益："&amp;ROUND(东方国信!AB89,0)&amp;"元"&amp;CHAR(10)&amp;"累计目标收益："&amp;ROUND(东方国信!V89,0)&amp;"元"&amp;CHAR(10)&amp;"今日收益率:"&amp;ROUND(东方国信!AA89*100,2)&amp;"%"&amp;CHAR(10)&amp;"累计收益率："&amp;ROUND(东方国信!AC89*100,2)&amp;"%"&amp;CHAR(10)&amp;"股票名称：东方国信"&amp;CHAR(10)&amp;"持仓金额:"&amp;ROUND(东方国信!H89/10000,0)&amp;"万"</f>
        <v>6月23日
今日目标收益：0元
累计目标收益：496708元
今日收益率:0%
累计收益率：21.66%
股票名称：东方国信
持仓金额:137万</v>
      </c>
      <c r="S84" s="176" t="str">
        <f>MONTH(积成电子!B89)&amp;"月"&amp;DAY(积成电子!B89)&amp;"日"&amp;CHAR(10)&amp;"今日目标收益："&amp;ROUND(积成电子!AB89,0)&amp;"元"&amp;CHAR(10)&amp;"累计目标收益："&amp;ROUND(积成电子!V89,0)&amp;"元"&amp;CHAR(10)&amp;"今日收益率:"&amp;ROUND(积成电子!AA89*100,2)&amp;"%"&amp;CHAR(10)&amp;"累计收益率："&amp;ROUND(积成电子!U89*100,2)&amp;"%"&amp;CHAR(10)&amp;"股票名称：积成电子"&amp;CHAR(10)&amp;"持仓金额:"&amp;ROUND(积成电子!H89/10000,0)&amp;"万"</f>
        <v>6月23日
今日目标收益：464元
累计目标收益：156323元
今日收益率:0.04%
累计收益率：15.51%
股票名称：积成电子
持仓金额:117万</v>
      </c>
      <c r="T84" s="176" t="str">
        <f>MONTH(洲际油气!B89)&amp;"月"&amp;DAY(洲际油气!B89)&amp;"日"&amp;CHAR(10)&amp;"今日目标收益："&amp;ROUND(洲际油气!AB89,0)&amp;"元"&amp;CHAR(10)&amp;"累计目标收益："&amp;ROUND(洲际油气!V89,0)&amp;"元"&amp;CHAR(10)&amp;"今日收益率:"&amp;ROUND(洲际油气!AA89*100,2)&amp;"%"&amp;CHAR(10)&amp;"累计收益率："&amp;ROUND(洲际油气!U89*100,2)&amp;"%"&amp;CHAR(10)&amp;"股票名称：洲际油气"&amp;CHAR(10)&amp;"持仓金额:"&amp;ROUND(洲际油气!H89/10000,0)&amp;"万"</f>
        <v>6月23日
今日目标收益：-7997元
累计目标收益：-63885元
今日收益率:-0.36%
累计收益率：-2.82%
股票名称：洲际油气
持仓金额:220万</v>
      </c>
      <c r="U84" s="176" t="str">
        <f>MONTH(老板电器!B89)&amp;"月"&amp;DAY(老板电器!B89)&amp;"日"&amp;CHAR(10)&amp;"今日目标收益："&amp;ROUND(老板电器!AB89,0)&amp;"元"&amp;CHAR(10)&amp;"累计目标收益："&amp;ROUND(老板电器!V89,0)&amp;"元"&amp;CHAR(10)&amp;"今日收益率:"&amp;ROUND(老板电器!AA89*100,2)&amp;"%"&amp;CHAR(10)&amp;"累计收益率："&amp;ROUND(老板电器!U89*100,2)&amp;"%"&amp;CHAR(10)&amp;"股票名称：老板电器"&amp;CHAR(10)&amp;"持仓金额:"&amp;ROUND(老板电器!H89/10000,0)&amp;"万"</f>
        <v>6月23日
今日目标收益：12295元
累计目标收益：303146元
今日收益率:0.29%
累计收益率：5.33%
股票名称：老板电器
持仓金额:427万</v>
      </c>
      <c r="V84" s="176" t="str">
        <f>MONTH(网宿科技!B89)&amp;"月"&amp;DAY(网宿科技!B89)&amp;"日"&amp;CHAR(10)&amp;"今日目标收益："&amp;ROUND(网宿科技!AB89,0)&amp;"元"&amp;CHAR(10)&amp;"累计目标收益："&amp;ROUND(网宿科技!V89,0)&amp;"元"&amp;CHAR(10)&amp;"今日收益率:"&amp;ROUND(网宿科技!AA89*100,2)&amp;"%"&amp;CHAR(10)&amp;"累计收益率："&amp;ROUND(网宿科技!U89*100,2)&amp;"%"&amp;CHAR(10)&amp;"股票名称：网宿科技"&amp;CHAR(10)&amp;"持仓金额:"&amp;ROUND(网宿科技!H89/10000,0)&amp;"万"</f>
        <v>6月23日
今日目标收益：-14550元
累计目标收益：-561元
今日收益率:-1.43%
累计收益率：-0.06%
股票名称：网宿科技
持仓金额:100万</v>
      </c>
    </row>
    <row r="85" spans="1:22" ht="148.5" x14ac:dyDescent="0.15">
      <c r="A85" s="147">
        <v>42545</v>
      </c>
      <c r="B85" s="180">
        <f>中航光电!E90+东方国信!E90+积成电子!E90+洲际油气!E90+老板电器!E90+德润电子!E90+网宿科技!E90</f>
        <v>10233987.560000001</v>
      </c>
      <c r="C85" s="38">
        <f>中航光电!R90+东方国信!R90+积成电子!R90+洲际油气!R90+老板电器!R90+德润电子!R90+网宿科技!R90</f>
        <v>474.8759349089396</v>
      </c>
      <c r="D85" s="180">
        <f>中航光电!G90+东方国信!G90+积成电子!G90+洲际油气!G90+老板电器!G90+德润电子!G90+网宿科技!G90</f>
        <v>11342826.294588711</v>
      </c>
      <c r="E85" s="168">
        <f t="shared" ref="E85" si="125">C85/D85</f>
        <v>4.1865750437832873E-5</v>
      </c>
      <c r="F85" s="38">
        <f>中航光电!V90+东方国信!V90+积成电子!V90+洲际油气!V90+老板电器!V90+德润电子!V90+网宿科技!V90</f>
        <v>1162223.2465005317</v>
      </c>
      <c r="G85" s="180">
        <f>中航光电!W90+东方国信!W90+积成电子!W90+洲际油气!W90+老板电器!W90+德润电子!W90+网宿科技!W90</f>
        <v>1085523.729917207</v>
      </c>
      <c r="H85" s="168">
        <f t="shared" ref="H85" si="126">F85/B85</f>
        <v>0.11356504389776018</v>
      </c>
      <c r="I85" s="168">
        <f t="shared" ref="I85" si="127">G85/B85</f>
        <v>0.10607045626672688</v>
      </c>
      <c r="J85" s="180">
        <f>中航光电!H90+东方国信!H90+积成电子!H90+洲际油气!H90+老板电器!H90+德润电子!H90+网宿科技!H90</f>
        <v>11304772.555795299</v>
      </c>
      <c r="K85" s="180">
        <f>中航光电!F90+东方国信!F90+积成电子!F90+洲际油气!F90+老板电器!F90+德润电子!F90+网宿科技!F90</f>
        <v>11261930.899999999</v>
      </c>
      <c r="L85" s="180">
        <f t="shared" ref="L85" si="128">G85-G84</f>
        <v>-101826.89231695468</v>
      </c>
      <c r="M85" s="1">
        <f t="shared" ref="M85" si="129">I85-I84</f>
        <v>-9.949874544986706E-3</v>
      </c>
      <c r="N85" s="180">
        <f>中航光电!AB90+东方国信!AB90+积成电子!AB90+洲际油气!AB90+老板电器!AB90+德润电子!AB90+网宿科技!AB90</f>
        <v>474.8759349089396</v>
      </c>
      <c r="O85" s="1">
        <f t="shared" ref="O85" si="130">N85/B85</f>
        <v>4.6401847972242362E-5</v>
      </c>
      <c r="P85" s="176" t="str">
        <f t="shared" ref="P85" si="131">MONTH(A85)&amp;"月"&amp;DAY(A85)&amp;"日"&amp;CHAR(10)&amp;"今日相对收益："&amp;ROUND(C85/10000,2)&amp;"万"&amp;CHAR(10)&amp;"今日相对收益率:"&amp;ROUND(O85*100,2)&amp;"%"&amp;CHAR(10)&amp;"今日绝对收益："&amp;ROUND(L85/10000,2)&amp;"万"&amp;CHAR(10)&amp;"今日绝对收益率："&amp;ROUND(M85*100,2)&amp;"%"&amp;CHAR(10)&amp;"累计相对收益额:"&amp;ROUND(F85/10000,2)&amp;"万"&amp;CHAR(10)&amp;"累计相对收益率："&amp;ROUND(H85*100,2)&amp;"%"&amp;CHAR(10)&amp;"累计绝对收益额："&amp;ROUND(G85/10000,2)&amp;"万"&amp;CHAR(10)&amp;"累计绝对收益率："&amp;ROUND(I85*100,2)&amp;"%"&amp;CHAR(10)&amp;"股票名称：合计"&amp;CHAR(10)&amp;"累计投入:"&amp;ROUND(B85/10000,0)&amp;"万"</f>
        <v>6月24日
今日相对收益：0.05万
今日相对收益率:0%
今日绝对收益：-10.18万
今日绝对收益率：-0.99%
累计相对收益额:116.22万
累计相对收益率：11.36%
累计绝对收益额：108.55万
累计绝对收益率：10.61%
股票名称：合计
累计投入:1023万</v>
      </c>
      <c r="Q85" s="176" t="str">
        <f>MONTH(中航光电!B90)&amp;"月"&amp;DAY(中航光电!B90)&amp;"日"&amp;CHAR(10)&amp;"今日目标收益："&amp;ROUND(中航光电!AB90,0)&amp;"元"&amp;CHAR(10)&amp;"累计目标收益："&amp;ROUND(中航光电!V90,0)&amp;"元"&amp;CHAR(10)&amp;"今日收益率:"&amp;ROUND(中航光电!AA90*100,2)&amp;"%"&amp;CHAR(10)&amp;"累计收益率："&amp;ROUND(中航光电!U90*100,2)&amp;"%"&amp;CHAR(10)&amp;"股票名称：中航光电"&amp;CHAR(10)&amp;"持仓金额:"&amp;ROUND(中航光电!H90/10000,0)&amp;"万"</f>
        <v>6月24日
今日目标收益：-8131元
累计目标收益：264180元
今日收益率:-0.61%
累计收益率：24.69%
股票名称：中航光电
持仓金额:132万</v>
      </c>
      <c r="R85" s="176" t="str">
        <f>MONTH(东方国信!B90)&amp;"月"&amp;DAY(东方国信!B90)&amp;"日"&amp;CHAR(10)&amp;"今日目标收益："&amp;ROUND(东方国信!AB90,0)&amp;"元"&amp;CHAR(10)&amp;"累计目标收益："&amp;ROUND(东方国信!V90,0)&amp;"元"&amp;CHAR(10)&amp;"今日收益率:"&amp;ROUND(东方国信!AA90*100,2)&amp;"%"&amp;CHAR(10)&amp;"累计收益率："&amp;ROUND(东方国信!AC90*100,2)&amp;"%"&amp;CHAR(10)&amp;"股票名称：东方国信"&amp;CHAR(10)&amp;"持仓金额:"&amp;ROUND(东方国信!H90/10000,0)&amp;"万"</f>
        <v>6月24日
今日目标收益：0元
累计目标收益：496708元
今日收益率:0%
累计收益率：21.66%
股票名称：东方国信
持仓金额:137万</v>
      </c>
      <c r="S85" s="176" t="str">
        <f>MONTH(积成电子!B90)&amp;"月"&amp;DAY(积成电子!B90)&amp;"日"&amp;CHAR(10)&amp;"今日目标收益："&amp;ROUND(积成电子!AB90,0)&amp;"元"&amp;CHAR(10)&amp;"累计目标收益："&amp;ROUND(积成电子!V90,0)&amp;"元"&amp;CHAR(10)&amp;"今日收益率:"&amp;ROUND(积成电子!AA90*100,2)&amp;"%"&amp;CHAR(10)&amp;"累计收益率："&amp;ROUND(积成电子!U90*100,2)&amp;"%"&amp;CHAR(10)&amp;"股票名称：积成电子"&amp;CHAR(10)&amp;"持仓金额:"&amp;ROUND(积成电子!H90/10000,0)&amp;"万"</f>
        <v>6月24日
今日目标收益：-28952元
累计目标收益：126118元
今日收益率:-2.48%
累计收益率：12.51%
股票名称：积成电子
持仓金额:114万</v>
      </c>
      <c r="T85" s="176" t="str">
        <f>MONTH(洲际油气!B90)&amp;"月"&amp;DAY(洲际油气!B90)&amp;"日"&amp;CHAR(10)&amp;"今日目标收益："&amp;ROUND(洲际油气!AB90,0)&amp;"元"&amp;CHAR(10)&amp;"累计目标收益："&amp;ROUND(洲际油气!V90,0)&amp;"元"&amp;CHAR(10)&amp;"今日收益率:"&amp;ROUND(洲际油气!AA90*100,2)&amp;"%"&amp;CHAR(10)&amp;"累计收益率："&amp;ROUND(洲际油气!U90*100,2)&amp;"%"&amp;CHAR(10)&amp;"股票名称：洲际油气"&amp;CHAR(10)&amp;"持仓金额:"&amp;ROUND(洲际油气!H90/10000,0)&amp;"万"</f>
        <v>6月24日
今日目标收益：-25475元
累计目标收益：-88189元
今日收益率:-1.16%
累计收益率：-3.9%
股票名称：洲际油气
持仓金额:218万</v>
      </c>
      <c r="U85" s="176" t="str">
        <f>MONTH(老板电器!B90)&amp;"月"&amp;DAY(老板电器!B90)&amp;"日"&amp;CHAR(10)&amp;"今日目标收益："&amp;ROUND(老板电器!AB90,0)&amp;"元"&amp;CHAR(10)&amp;"累计目标收益："&amp;ROUND(老板电器!V90,0)&amp;"元"&amp;CHAR(10)&amp;"今日收益率:"&amp;ROUND(老板电器!AA90*100,2)&amp;"%"&amp;CHAR(10)&amp;"累计收益率："&amp;ROUND(老板电器!U90*100,2)&amp;"%"&amp;CHAR(10)&amp;"股票名称：老板电器"&amp;CHAR(10)&amp;"持仓金额:"&amp;ROUND(老板电器!H90/10000,0)&amp;"万"</f>
        <v>6月24日
今日目标收益：58913元
累计目标收益：359755元
今日收益率:1.38%
累计收益率：6.73%
股票名称：老板电器
持仓金额:429万</v>
      </c>
      <c r="V85" s="176" t="str">
        <f>MONTH(网宿科技!B90)&amp;"月"&amp;DAY(网宿科技!B90)&amp;"日"&amp;CHAR(10)&amp;"今日目标收益："&amp;ROUND(网宿科技!AB90,0)&amp;"元"&amp;CHAR(10)&amp;"累计目标收益："&amp;ROUND(网宿科技!V90,0)&amp;"元"&amp;CHAR(10)&amp;"今日收益率:"&amp;ROUND(网宿科技!AA90*100,2)&amp;"%"&amp;CHAR(10)&amp;"累计收益率："&amp;ROUND(网宿科技!U90*100,2)&amp;"%"&amp;CHAR(10)&amp;"股票名称：网宿科技"&amp;CHAR(10)&amp;"持仓金额:"&amp;ROUND(网宿科技!H90/10000,0)&amp;"万"</f>
        <v>6月24日
今日目标收益：4120元
累计目标收益：3650元
今日收益率:0.41%
累计收益率：0.36%
股票名称：网宿科技
持仓金额:100万</v>
      </c>
    </row>
    <row r="86" spans="1:22" ht="148.5" x14ac:dyDescent="0.15">
      <c r="A86" s="147">
        <v>42548</v>
      </c>
      <c r="B86" s="180">
        <f>中航光电!E91+东方国信!E91+积成电子!E91+洲际油气!E91+老板电器!E91+德润电子!E91+网宿科技!E91</f>
        <v>10233987.560000001</v>
      </c>
      <c r="C86" s="38">
        <f>中航光电!R91+东方国信!R91+积成电子!R91+洲际油气!R91+老板电器!R91+德润电子!R91+网宿科技!R91</f>
        <v>138117.44448069556</v>
      </c>
      <c r="D86" s="180">
        <f>中航光电!G91+东方国信!G91+积成电子!G91+洲际油气!G91+老板电器!G91+德润电子!G91+网宿科技!G91</f>
        <v>11304772.555795299</v>
      </c>
      <c r="E86" s="168">
        <f t="shared" ref="E86" si="132">C86/D86</f>
        <v>1.2217622583648601E-2</v>
      </c>
      <c r="F86" s="38">
        <f>中航光电!V91+东方国信!V91+积成电子!V91+洲际油气!V91+老板电器!V91+德润电子!V91+网宿科技!V91</f>
        <v>1311021.1816652718</v>
      </c>
      <c r="G86" s="180">
        <f>中航光电!W91+东方国信!W91+积成电子!W91+洲际油气!W91+老板电器!W91+德润电子!W91+网宿科技!W91</f>
        <v>1325155.1822523952</v>
      </c>
      <c r="H86" s="168">
        <f t="shared" ref="H86" si="133">F86/B86</f>
        <v>0.12810462920528229</v>
      </c>
      <c r="I86" s="168">
        <f t="shared" ref="I86" si="134">G86/B86</f>
        <v>0.12948571360706199</v>
      </c>
      <c r="J86" s="180">
        <f>中航光电!H91+东方国信!H91+积成电子!H91+洲际油气!H91+老板电器!H91+德润电子!H91+网宿科技!H91</f>
        <v>11485252.126489583</v>
      </c>
      <c r="K86" s="180">
        <f>中航光电!F91+东方国信!F91+积成电子!F91+洲际油气!F91+老板电器!F91+德润电子!F91+网宿科技!F91</f>
        <v>11502363.504999999</v>
      </c>
      <c r="L86" s="180">
        <f t="shared" ref="L86" si="135">G86-G85</f>
        <v>239631.45233518817</v>
      </c>
      <c r="M86" s="1">
        <f t="shared" ref="M86" si="136">I86-I85</f>
        <v>2.3415257340335102E-2</v>
      </c>
      <c r="N86" s="180">
        <f>中航光电!AB91+东方国信!AB91+积成电子!AB91+洲际油气!AB91+老板电器!AB91+德润电子!AB91+网宿科技!AB91</f>
        <v>138117.44448069556</v>
      </c>
      <c r="O86" s="1">
        <f t="shared" ref="O86" si="137">N86/B86</f>
        <v>1.3495955869687959E-2</v>
      </c>
      <c r="P86" s="176" t="str">
        <f t="shared" ref="P86" si="138">MONTH(A86)&amp;"月"&amp;DAY(A86)&amp;"日"&amp;CHAR(10)&amp;"今日相对收益："&amp;ROUND(C86/10000,2)&amp;"万"&amp;CHAR(10)&amp;"今日相对收益率:"&amp;ROUND(O86*100,2)&amp;"%"&amp;CHAR(10)&amp;"今日绝对收益："&amp;ROUND(L86/10000,2)&amp;"万"&amp;CHAR(10)&amp;"今日绝对收益率："&amp;ROUND(M86*100,2)&amp;"%"&amp;CHAR(10)&amp;"累计相对收益额:"&amp;ROUND(F86/10000,2)&amp;"万"&amp;CHAR(10)&amp;"累计相对收益率："&amp;ROUND(H86*100,2)&amp;"%"&amp;CHAR(10)&amp;"累计绝对收益额："&amp;ROUND(G86/10000,2)&amp;"万"&amp;CHAR(10)&amp;"累计绝对收益率："&amp;ROUND(I86*100,2)&amp;"%"&amp;CHAR(10)&amp;"股票名称：合计"&amp;CHAR(10)&amp;"累计投入:"&amp;ROUND(B86/10000,0)&amp;"万"</f>
        <v>6月27日
今日相对收益：13.81万
今日相对收益率:1.35%
今日绝对收益：23.96万
今日绝对收益率：2.34%
累计相对收益额:131.1万
累计相对收益率：12.81%
累计绝对收益额：132.52万
累计绝对收益率：12.95%
股票名称：合计
累计投入:1023万</v>
      </c>
      <c r="Q86" s="176" t="str">
        <f>MONTH(中航光电!B91)&amp;"月"&amp;DAY(中航光电!B91)&amp;"日"&amp;CHAR(10)&amp;"今日目标收益："&amp;ROUND(中航光电!AB91,0)&amp;"元"&amp;CHAR(10)&amp;"累计目标收益："&amp;ROUND(中航光电!V91,0)&amp;"元"&amp;CHAR(10)&amp;"今日收益率:"&amp;ROUND(中航光电!AA91*100,2)&amp;"%"&amp;CHAR(10)&amp;"累计收益率："&amp;ROUND(中航光电!U91*100,2)&amp;"%"&amp;CHAR(10)&amp;"股票名称：中航光电"&amp;CHAR(10)&amp;"持仓金额:"&amp;ROUND(中航光电!H91/10000,0)&amp;"万"</f>
        <v>6月27日
今日目标收益：34164元
累计目标收益：304622元
今日收益率:2.59%
累计收益率：28.51%
股票名称：中航光电
持仓金额:135万</v>
      </c>
      <c r="R86" s="176" t="str">
        <f>MONTH(东方国信!B91)&amp;"月"&amp;DAY(东方国信!B91)&amp;"日"&amp;CHAR(10)&amp;"今日目标收益："&amp;ROUND(东方国信!AB91,0)&amp;"元"&amp;CHAR(10)&amp;"累计目标收益："&amp;ROUND(东方国信!V91,0)&amp;"元"&amp;CHAR(10)&amp;"今日收益率:"&amp;ROUND(东方国信!AA91*100,2)&amp;"%"&amp;CHAR(10)&amp;"累计收益率："&amp;ROUND(东方国信!AC91*100,2)&amp;"%"&amp;CHAR(10)&amp;"股票名称：东方国信"&amp;CHAR(10)&amp;"持仓金额:"&amp;ROUND(东方国信!H91/10000,0)&amp;"万"</f>
        <v>6月27日
今日目标收益：0元
累计目标收益：496708元
今日收益率:0%
累计收益率：21.66%
股票名称：东方国信
持仓金额:137万</v>
      </c>
      <c r="S86" s="176" t="str">
        <f>MONTH(积成电子!B91)&amp;"月"&amp;DAY(积成电子!B91)&amp;"日"&amp;CHAR(10)&amp;"今日目标收益："&amp;ROUND(积成电子!AB91,0)&amp;"元"&amp;CHAR(10)&amp;"累计目标收益："&amp;ROUND(积成电子!V91,0)&amp;"元"&amp;CHAR(10)&amp;"今日收益率:"&amp;ROUND(积成电子!AA91*100,2)&amp;"%"&amp;CHAR(10)&amp;"累计收益率："&amp;ROUND(积成电子!U91*100,2)&amp;"%"&amp;CHAR(10)&amp;"股票名称：积成电子"&amp;CHAR(10)&amp;"持仓金额:"&amp;ROUND(积成电子!H91/10000,0)&amp;"万"</f>
        <v>6月27日
今日目标收益：2953元
累计目标收益：131201元
今日收益率:0.26%
累计收益率：13.02%
股票名称：积成电子
持仓金额:114万</v>
      </c>
      <c r="T86" s="176" t="str">
        <f>MONTH(洲际油气!B91)&amp;"月"&amp;DAY(洲际油气!B91)&amp;"日"&amp;CHAR(10)&amp;"今日目标收益："&amp;ROUND(洲际油气!AB91,0)&amp;"元"&amp;CHAR(10)&amp;"累计目标收益："&amp;ROUND(洲际油气!V91,0)&amp;"元"&amp;CHAR(10)&amp;"今日收益率:"&amp;ROUND(洲际油气!AA91*100,2)&amp;"%"&amp;CHAR(10)&amp;"累计收益率："&amp;ROUND(洲际油气!U91*100,2)&amp;"%"&amp;CHAR(10)&amp;"股票名称：洲际油气"&amp;CHAR(10)&amp;"持仓金额:"&amp;ROUND(洲际油气!H91/10000,0)&amp;"万"</f>
        <v>6月27日
今日目标收益：0元
累计目标收益：-88189元
今日收益率:0%
累计收益率：-3.9%
股票名称：洲际油气
持仓金额:218万</v>
      </c>
      <c r="U86" s="176" t="str">
        <f>MONTH(老板电器!B91)&amp;"月"&amp;DAY(老板电器!B91)&amp;"日"&amp;CHAR(10)&amp;"今日目标收益："&amp;ROUND(老板电器!AB91,0)&amp;"元"&amp;CHAR(10)&amp;"累计目标收益："&amp;ROUND(老板电器!V91,0)&amp;"元"&amp;CHAR(10)&amp;"今日收益率:"&amp;ROUND(老板电器!AA91*100,2)&amp;"%"&amp;CHAR(10)&amp;"累计收益率："&amp;ROUND(老板电器!U91*100,2)&amp;"%"&amp;CHAR(10)&amp;"股票名称：老板电器"&amp;CHAR(10)&amp;"持仓金额:"&amp;ROUND(老板电器!H91/10000,0)&amp;"万"</f>
        <v>6月27日
今日目标收益：78747元
累计目标收益：440967元
今日收益率:1.83%
累计收益率：8.74%
股票名称：老板电器
持仓金额:441万</v>
      </c>
      <c r="V86" s="176" t="str">
        <f>MONTH(网宿科技!B91)&amp;"月"&amp;DAY(网宿科技!B91)&amp;"日"&amp;CHAR(10)&amp;"今日目标收益："&amp;ROUND(网宿科技!AB91,0)&amp;"元"&amp;CHAR(10)&amp;"累计目标收益："&amp;ROUND(网宿科技!V91,0)&amp;"元"&amp;CHAR(10)&amp;"今日收益率:"&amp;ROUND(网宿科技!AA91*100,2)&amp;"%"&amp;CHAR(10)&amp;"累计收益率："&amp;ROUND(网宿科技!U91*100,2)&amp;"%"&amp;CHAR(10)&amp;"股票名称：网宿科技"&amp;CHAR(10)&amp;"持仓金额:"&amp;ROUND(网宿科技!H91/10000,0)&amp;"万"</f>
        <v>6月27日
今日目标收益：22253元
累计目标收益：25711元
今日收益率:2.21%
累计收益率：2.57%
股票名称：网宿科技
持仓金额:103万</v>
      </c>
    </row>
    <row r="87" spans="1:22" ht="148.5" x14ac:dyDescent="0.15">
      <c r="A87" s="147">
        <v>42549</v>
      </c>
      <c r="B87" s="180">
        <f>中航光电!E92+东方国信!E92+积成电子!E92+洲际油气!E92+老板电器!E92+德润电子!E92+网宿科技!E92</f>
        <v>10233987.560000001</v>
      </c>
      <c r="C87" s="38">
        <f>中航光电!R92+东方国信!R92+积成电子!R92+洲际油气!R92+老板电器!R92+德润电子!R92+网宿科技!R92</f>
        <v>-100787.25053386603</v>
      </c>
      <c r="D87" s="180">
        <f>中航光电!G92+东方国信!G92+积成电子!G92+洲际油气!G92+老板电器!G92+德润电子!G92+网宿科技!G92</f>
        <v>11485252.126489583</v>
      </c>
      <c r="E87" s="168">
        <f t="shared" ref="E87" si="139">C87/D87</f>
        <v>-8.7753624756230064E-3</v>
      </c>
      <c r="F87" s="38">
        <f>中航光电!V92+东方国信!V92+积成电子!V92+洲际油气!V92+老板电器!V92+德润电子!V92+网宿科技!V92</f>
        <v>1215444.8355549159</v>
      </c>
      <c r="G87" s="180">
        <f>中航光电!W92+东方国信!W92+积成电子!W92+洲际油气!W92+老板电器!W92+德润电子!W92+网宿科技!W92</f>
        <v>1266318.842331039</v>
      </c>
      <c r="H87" s="168">
        <f t="shared" ref="H87" si="140">F87/B87</f>
        <v>0.1187655181745126</v>
      </c>
      <c r="I87" s="168">
        <f t="shared" ref="I87" si="141">G87/B87</f>
        <v>0.12373660168207581</v>
      </c>
      <c r="J87" s="180">
        <f>中航光电!H92+东方国信!H92+积成电子!H92+洲际油气!H92+老板电器!H92+德润电子!H92+网宿科技!H92</f>
        <v>11400168.305143137</v>
      </c>
      <c r="K87" s="180">
        <f>中航光电!F92+东方国信!F92+积成电子!F92+洲际油气!F92+老板电器!F92+德润电子!F92+网宿科技!F92</f>
        <v>11443151.934999999</v>
      </c>
      <c r="L87" s="180">
        <f t="shared" ref="L87" si="142">G87-G86</f>
        <v>-58836.339921356179</v>
      </c>
      <c r="M87" s="1">
        <f t="shared" ref="M87" si="143">I87-I86</f>
        <v>-5.7491119249861722E-3</v>
      </c>
      <c r="N87" s="180">
        <f>中航光电!AB92+东方国信!AB92+积成电子!AB92+洲际油气!AB92+老板电器!AB92+德润电子!AB92+网宿科技!AB92</f>
        <v>-100787.25053386603</v>
      </c>
      <c r="O87" s="1">
        <f t="shared" ref="O87" si="144">N87/B87</f>
        <v>-9.8482873799649231E-3</v>
      </c>
      <c r="P87" s="176" t="str">
        <f t="shared" ref="P87" si="145">MONTH(A87)&amp;"月"&amp;DAY(A87)&amp;"日"&amp;CHAR(10)&amp;"今日相对收益："&amp;ROUND(C87/10000,2)&amp;"万"&amp;CHAR(10)&amp;"今日相对收益率:"&amp;ROUND(O87*100,2)&amp;"%"&amp;CHAR(10)&amp;"今日绝对收益："&amp;ROUND(L87/10000,2)&amp;"万"&amp;CHAR(10)&amp;"今日绝对收益率："&amp;ROUND(M87*100,2)&amp;"%"&amp;CHAR(10)&amp;"累计相对收益额:"&amp;ROUND(F87/10000,2)&amp;"万"&amp;CHAR(10)&amp;"累计相对收益率："&amp;ROUND(H87*100,2)&amp;"%"&amp;CHAR(10)&amp;"累计绝对收益额："&amp;ROUND(G87/10000,2)&amp;"万"&amp;CHAR(10)&amp;"累计绝对收益率："&amp;ROUND(I87*100,2)&amp;"%"&amp;CHAR(10)&amp;"股票名称：合计"&amp;CHAR(10)&amp;"累计投入:"&amp;ROUND(B87/10000,0)&amp;"万"</f>
        <v>6月28日
今日相对收益：-10.08万
今日相对收益率:-0.98%
今日绝对收益：-5.88万
今日绝对收益率：-0.57%
累计相对收益额:121.54万
累计相对收益率：11.88%
累计绝对收益额：126.63万
累计绝对收益率：12.37%
股票名称：合计
累计投入:1023万</v>
      </c>
      <c r="Q87" s="176" t="str">
        <f>MONTH(中航光电!B92)&amp;"月"&amp;DAY(中航光电!B92)&amp;"日"&amp;CHAR(10)&amp;"今日目标收益："&amp;ROUND(中航光电!AB92,0)&amp;"元"&amp;CHAR(10)&amp;"累计目标收益："&amp;ROUND(中航光电!V92,0)&amp;"元"&amp;CHAR(10)&amp;"今日收益率:"&amp;ROUND(中航光电!AA92*100,2)&amp;"%"&amp;CHAR(10)&amp;"累计收益率："&amp;ROUND(中航光电!U92*100,2)&amp;"%"&amp;CHAR(10)&amp;"股票名称：中航光电"&amp;CHAR(10)&amp;"持仓金额:"&amp;ROUND(中航光电!H92/10000,0)&amp;"万"</f>
        <v>6月28日
今日目标收益：-25482元
累计目标收益：281668元
今日收益率:-1.89%
累计收益率：26.35%
股票名称：中航光电
持仓金额:133万</v>
      </c>
      <c r="R87" s="176" t="str">
        <f>MONTH(东方国信!B92)&amp;"月"&amp;DAY(东方国信!B92)&amp;"日"&amp;CHAR(10)&amp;"今日目标收益："&amp;ROUND(东方国信!AB92,0)&amp;"元"&amp;CHAR(10)&amp;"累计目标收益："&amp;ROUND(东方国信!V92,0)&amp;"元"&amp;CHAR(10)&amp;"今日收益率:"&amp;ROUND(东方国信!AA92*100,2)&amp;"%"&amp;CHAR(10)&amp;"累计收益率："&amp;ROUND(东方国信!AC92*100,2)&amp;"%"&amp;CHAR(10)&amp;"股票名称：东方国信"&amp;CHAR(10)&amp;"持仓金额:"&amp;ROUND(东方国信!H92/10000,0)&amp;"万"</f>
        <v>6月28日
今日目标收益：0元
累计目标收益：496708元
今日收益率:0%
累计收益率：21.66%
股票名称：东方国信
持仓金额:137万</v>
      </c>
      <c r="S87" s="176" t="str">
        <f>MONTH(积成电子!B92)&amp;"月"&amp;DAY(积成电子!B92)&amp;"日"&amp;CHAR(10)&amp;"今日目标收益："&amp;ROUND(积成电子!AB92,0)&amp;"元"&amp;CHAR(10)&amp;"累计目标收益："&amp;ROUND(积成电子!V92,0)&amp;"元"&amp;CHAR(10)&amp;"今日收益率:"&amp;ROUND(积成电子!AA92*100,2)&amp;"%"&amp;CHAR(10)&amp;"累计收益率："&amp;ROUND(积成电子!U92*100,2)&amp;"%"&amp;CHAR(10)&amp;"股票名称：积成电子"&amp;CHAR(10)&amp;"持仓金额:"&amp;ROUND(积成电子!H92/10000,0)&amp;"万"</f>
        <v>6月28日
今日目标收益：-18242元
累计目标收益：113833元
今日收益率:-1.6%
累计收益率：11.29%
股票名称：积成电子
持仓金额:112万</v>
      </c>
      <c r="T87" s="176" t="str">
        <f>MONTH(洲际油气!B92)&amp;"月"&amp;DAY(洲际油气!B92)&amp;"日"&amp;CHAR(10)&amp;"今日目标收益："&amp;ROUND(洲际油气!AB92,0)&amp;"元"&amp;CHAR(10)&amp;"累计目标收益："&amp;ROUND(洲际油气!V92,0)&amp;"元"&amp;CHAR(10)&amp;"今日收益率:"&amp;ROUND(洲际油气!AA92*100,2)&amp;"%"&amp;CHAR(10)&amp;"累计收益率："&amp;ROUND(洲际油气!U92*100,2)&amp;"%"&amp;CHAR(10)&amp;"股票名称：洲际油气"&amp;CHAR(10)&amp;"持仓金额:"&amp;ROUND(洲际油气!H92/10000,0)&amp;"万"</f>
        <v>6月28日
今日目标收益：0元
累计目标收益：-88189元
今日收益率:0%
累计收益率：-3.9%
股票名称：洲际油气
持仓金额:218万</v>
      </c>
      <c r="U87" s="176" t="str">
        <f>MONTH(老板电器!B92)&amp;"月"&amp;DAY(老板电器!B92)&amp;"日"&amp;CHAR(10)&amp;"今日目标收益："&amp;ROUND(老板电器!AB92,0)&amp;"元"&amp;CHAR(10)&amp;"累计目标收益："&amp;ROUND(老板电器!V92,0)&amp;"元"&amp;CHAR(10)&amp;"今日收益率:"&amp;ROUND(老板电器!AA92*100,2)&amp;"%"&amp;CHAR(10)&amp;"累计收益率："&amp;ROUND(老板电器!U92*100,2)&amp;"%"&amp;CHAR(10)&amp;"股票名称：老板电器"&amp;CHAR(10)&amp;"持仓金额:"&amp;ROUND(老板电器!H92/10000,0)&amp;"万"</f>
        <v>6月28日
今日目标收益：-56473元
累计目标收益：386067元
今日收益率:-1.28%
累计收益率：7.38%
股票名称：老板电器
持仓金额:437万</v>
      </c>
      <c r="V87" s="176" t="str">
        <f>MONTH(网宿科技!B92)&amp;"月"&amp;DAY(网宿科技!B92)&amp;"日"&amp;CHAR(10)&amp;"今日目标收益："&amp;ROUND(网宿科技!AB92,0)&amp;"元"&amp;CHAR(10)&amp;"累计目标收益："&amp;ROUND(网宿科技!V92,0)&amp;"元"&amp;CHAR(10)&amp;"今日收益率:"&amp;ROUND(网宿科技!AA92*100,2)&amp;"%"&amp;CHAR(10)&amp;"累计收益率："&amp;ROUND(网宿科技!U92*100,2)&amp;"%"&amp;CHAR(10)&amp;"股票名称：网宿科技"&amp;CHAR(10)&amp;"持仓金额:"&amp;ROUND(网宿科技!H92/10000,0)&amp;"万"</f>
        <v>6月28日
今日目标收益：-590元
累计目标收益：25357元
今日收益率:-0.06%
累计收益率：2.53%
股票名称：网宿科技
持仓金额:103万</v>
      </c>
    </row>
    <row r="88" spans="1:22" ht="148.5" x14ac:dyDescent="0.15">
      <c r="A88" s="147">
        <v>42550</v>
      </c>
      <c r="B88" s="180">
        <f>中航光电!E93+东方国信!E93+积成电子!E93+洲际油气!E93+老板电器!E93+德润电子!E93+网宿科技!E93</f>
        <v>10233988.560000001</v>
      </c>
      <c r="C88" s="38">
        <f>中航光电!R93+东方国信!R93+积成电子!R93+洲际油气!R93+老板电器!R93+德润电子!R93+网宿科技!R93</f>
        <v>-64777.318816238563</v>
      </c>
      <c r="D88" s="180">
        <f>中航光电!G93+东方国信!G93+积成电子!G93+洲际油气!G93+老板电器!G93+德润电子!G93+网宿科技!G93</f>
        <v>11400168.305143137</v>
      </c>
      <c r="E88" s="168">
        <f t="shared" ref="E88" si="146">C88/D88</f>
        <v>-5.6821370599427516E-3</v>
      </c>
      <c r="F88" s="38">
        <f>中航光电!V93+东方国信!V93+积成电子!V93+洲际油气!V93+老板电器!V93+德润电子!V93+网宿科技!V93</f>
        <v>1150995.3669450798</v>
      </c>
      <c r="G88" s="180">
        <f>中航光电!W93+东方国信!W93+积成电子!W93+洲际油气!W93+老板电器!W93+德润电子!W93+网宿科技!W93</f>
        <v>1222698.2800153042</v>
      </c>
      <c r="H88" s="168">
        <f t="shared" ref="H88" si="147">F88/B88</f>
        <v>0.11246791612058238</v>
      </c>
      <c r="I88" s="168">
        <f t="shared" ref="I88" si="148">G88/B88</f>
        <v>0.11947426683612632</v>
      </c>
      <c r="J88" s="180">
        <f>中航光电!H93+东方国信!H93+积成电子!H93+洲际油气!H93+老板电器!H93+德润电子!H93+网宿科技!H93</f>
        <v>11350021.554929739</v>
      </c>
      <c r="K88" s="180">
        <f>中航光电!F93+东方国信!F93+积成电子!F93+洲际油气!F93+老板电器!F93+德润电子!F93+网宿科技!F93</f>
        <v>11400452.73</v>
      </c>
      <c r="L88" s="180">
        <f t="shared" ref="L88" si="149">G88-G87</f>
        <v>-43620.562315734802</v>
      </c>
      <c r="M88" s="1">
        <f t="shared" ref="M88" si="150">I88-I87</f>
        <v>-4.2623348459494975E-3</v>
      </c>
      <c r="N88" s="180">
        <f>中航光电!AB93+东方国信!AB93+积成电子!AB93+洲际油气!AB93+老板电器!AB93+德润电子!AB93+网宿科技!AB93</f>
        <v>-64777.318816238563</v>
      </c>
      <c r="O88" s="1">
        <f t="shared" ref="O88" si="151">N88/B88</f>
        <v>-6.3296258771896223E-3</v>
      </c>
      <c r="P88" s="176" t="str">
        <f t="shared" ref="P88" si="152">MONTH(A88)&amp;"月"&amp;DAY(A88)&amp;"日"&amp;CHAR(10)&amp;"今日相对收益："&amp;ROUND(C88/10000,2)&amp;"万"&amp;CHAR(10)&amp;"今日相对收益率:"&amp;ROUND(O88*100,2)&amp;"%"&amp;CHAR(10)&amp;"今日绝对收益："&amp;ROUND(L88/10000,2)&amp;"万"&amp;CHAR(10)&amp;"今日绝对收益率："&amp;ROUND(M88*100,2)&amp;"%"&amp;CHAR(10)&amp;"累计相对收益额:"&amp;ROUND(F88/10000,2)&amp;"万"&amp;CHAR(10)&amp;"累计相对收益率："&amp;ROUND(H88*100,2)&amp;"%"&amp;CHAR(10)&amp;"累计绝对收益额："&amp;ROUND(G88/10000,2)&amp;"万"&amp;CHAR(10)&amp;"累计绝对收益率："&amp;ROUND(I88*100,2)&amp;"%"&amp;CHAR(10)&amp;"股票名称：合计"&amp;CHAR(10)&amp;"累计投入:"&amp;ROUND(B88/10000,0)&amp;"万"</f>
        <v>6月29日
今日相对收益：-6.48万
今日相对收益率:-0.63%
今日绝对收益：-4.36万
今日绝对收益率：-0.43%
累计相对收益额:115.1万
累计相对收益率：11.25%
累计绝对收益额：122.27万
累计绝对收益率：11.95%
股票名称：合计
累计投入:1023万</v>
      </c>
      <c r="Q88" s="176" t="str">
        <f>MONTH(中航光电!B93)&amp;"月"&amp;DAY(中航光电!B93)&amp;"日"&amp;CHAR(10)&amp;"今日目标收益："&amp;ROUND(中航光电!AB93,0)&amp;"元"&amp;CHAR(10)&amp;"累计目标收益："&amp;ROUND(中航光电!V93,0)&amp;"元"&amp;CHAR(10)&amp;"今日收益率:"&amp;ROUND(中航光电!AA93*100,2)&amp;"%"&amp;CHAR(10)&amp;"累计收益率："&amp;ROUND(中航光电!U93*100,2)&amp;"%"&amp;CHAR(10)&amp;"股票名称：中航光电"&amp;CHAR(10)&amp;"持仓金额:"&amp;ROUND(中航光电!H93/10000,0)&amp;"万"</f>
        <v>6月29日
今日目标收益：-15612元
累计目标收益：266103元
今日收益率:-1.18%
累计收益率：24.87%
股票名称：中航光电
持仓金额:131万</v>
      </c>
      <c r="R88" s="176" t="str">
        <f>MONTH(东方国信!B93)&amp;"月"&amp;DAY(东方国信!B93)&amp;"日"&amp;CHAR(10)&amp;"今日目标收益："&amp;ROUND(东方国信!AB93,0)&amp;"元"&amp;CHAR(10)&amp;"累计目标收益："&amp;ROUND(东方国信!V93,0)&amp;"元"&amp;CHAR(10)&amp;"今日收益率:"&amp;ROUND(东方国信!AA93*100,2)&amp;"%"&amp;CHAR(10)&amp;"累计收益率："&amp;ROUND(东方国信!AC93*100,2)&amp;"%"&amp;CHAR(10)&amp;"股票名称：东方国信"&amp;CHAR(10)&amp;"持仓金额:"&amp;ROUND(东方国信!H93/10000,0)&amp;"万"</f>
        <v>6月29日
今日目标收益：0元
累计目标收益：496708元
今日收益率:0%
累计收益率：21.66%
股票名称：东方国信
持仓金额:137万</v>
      </c>
      <c r="S88" s="176" t="str">
        <f>MONTH(积成电子!B93)&amp;"月"&amp;DAY(积成电子!B93)&amp;"日"&amp;CHAR(10)&amp;"今日目标收益："&amp;ROUND(积成电子!AB93,0)&amp;"元"&amp;CHAR(10)&amp;"累计目标收益："&amp;ROUND(积成电子!V93,0)&amp;"元"&amp;CHAR(10)&amp;"今日收益率:"&amp;ROUND(积成电子!AA93*100,2)&amp;"%"&amp;CHAR(10)&amp;"累计收益率："&amp;ROUND(积成电子!U93*100,2)&amp;"%"&amp;CHAR(10)&amp;"股票名称：积成电子"&amp;CHAR(10)&amp;"持仓金额:"&amp;ROUND(积成电子!H93/10000,0)&amp;"万"</f>
        <v>6月29日
今日目标收益：-5308元
累计目标收益：108623元
今日收益率:-0.47%
累计收益率：10.78%
股票名称：积成电子
持仓金额:112万</v>
      </c>
      <c r="T88" s="176" t="str">
        <f>MONTH(洲际油气!B93)&amp;"月"&amp;DAY(洲际油气!B93)&amp;"日"&amp;CHAR(10)&amp;"今日目标收益："&amp;ROUND(洲际油气!AB93,0)&amp;"元"&amp;CHAR(10)&amp;"累计目标收益："&amp;ROUND(洲际油气!V93,0)&amp;"元"&amp;CHAR(10)&amp;"今日收益率:"&amp;ROUND(洲际油气!AA93*100,2)&amp;"%"&amp;CHAR(10)&amp;"累计收益率："&amp;ROUND(洲际油气!U93*100,2)&amp;"%"&amp;CHAR(10)&amp;"股票名称：洲际油气"&amp;CHAR(10)&amp;"持仓金额:"&amp;ROUND(洲际油气!H93/10000,0)&amp;"万"</f>
        <v>6月28日
今日目标收益：0元
累计目标收益：-88189元
今日收益率:0%
累计收益率：-3.9%
股票名称：洲际油气
持仓金额:218万</v>
      </c>
      <c r="U88" s="176" t="str">
        <f>MONTH(老板电器!B93)&amp;"月"&amp;DAY(老板电器!B93)&amp;"日"&amp;CHAR(10)&amp;"今日目标收益："&amp;ROUND(老板电器!AB93,0)&amp;"元"&amp;CHAR(10)&amp;"累计目标收益："&amp;ROUND(老板电器!V93,0)&amp;"元"&amp;CHAR(10)&amp;"今日收益率:"&amp;ROUND(老板电器!AA93*100,2)&amp;"%"&amp;CHAR(10)&amp;"累计收益率："&amp;ROUND(老板电器!U93*100,2)&amp;"%"&amp;CHAR(10)&amp;"股票名称：老板电器"&amp;CHAR(10)&amp;"持仓金额:"&amp;ROUND(老板电器!H93/10000,0)&amp;"万"</f>
        <v>6月29日
今日目标收益：-39812元
累计目标收益：347459元
今日收益率:-0.91%
累计收益率：6.43%
股票名称：老板电器
持仓金额:435万</v>
      </c>
      <c r="V88" s="176" t="str">
        <f>MONTH(网宿科技!B93)&amp;"月"&amp;DAY(网宿科技!B93)&amp;"日"&amp;CHAR(10)&amp;"今日目标收益："&amp;ROUND(网宿科技!AB93,0)&amp;"元"&amp;CHAR(10)&amp;"累计目标收益："&amp;ROUND(网宿科技!V93,0)&amp;"元"&amp;CHAR(10)&amp;"今日收益率:"&amp;ROUND(网宿科技!AA93*100,2)&amp;"%"&amp;CHAR(10)&amp;"累计收益率："&amp;ROUND(网宿科技!U93*100,2)&amp;"%"&amp;CHAR(10)&amp;"股票名称：网宿科技"&amp;CHAR(10)&amp;"持仓金额:"&amp;ROUND(网宿科技!H93/10000,0)&amp;"万"</f>
        <v>6月29日
今日目标收益：-4045元
累计目标收益：20291元
今日收益率:-0.39%
累计收益率：2.03%
股票名称：网宿科技
持仓金额:102万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P1" workbookViewId="0">
      <pane ySplit="1" topLeftCell="A68" activePane="bottomLeft" state="frozen"/>
      <selection activeCell="B1" sqref="B1"/>
      <selection pane="bottomLeft" activeCell="AB96" sqref="AB96"/>
    </sheetView>
  </sheetViews>
  <sheetFormatPr defaultRowHeight="13.5" x14ac:dyDescent="0.15"/>
  <cols>
    <col min="2" max="2" width="11.125" customWidth="1"/>
    <col min="6" max="6" width="9.5" style="180" bestFit="1" customWidth="1"/>
    <col min="7" max="7" width="12.75" style="36" bestFit="1" customWidth="1"/>
    <col min="8" max="8" width="12.75" style="164" customWidth="1"/>
    <col min="10" max="10" width="9" style="18"/>
    <col min="13" max="13" width="12.25" style="32" customWidth="1"/>
    <col min="16" max="16" width="13.125" customWidth="1"/>
    <col min="17" max="17" width="13.75" customWidth="1"/>
    <col min="18" max="18" width="13.75" style="43" customWidth="1"/>
    <col min="19" max="19" width="12.375" customWidth="1"/>
    <col min="20" max="20" width="12.5" customWidth="1"/>
    <col min="21" max="21" width="14.125" customWidth="1"/>
    <col min="22" max="22" width="13.25" customWidth="1"/>
    <col min="23" max="23" width="13.75" customWidth="1"/>
    <col min="24" max="24" width="9.5" style="168" bestFit="1" customWidth="1"/>
    <col min="25" max="25" width="9" style="168"/>
    <col min="26" max="26" width="19.125" style="168" customWidth="1"/>
    <col min="27" max="27" width="13.625" style="168" customWidth="1"/>
    <col min="28" max="28" width="15" customWidth="1"/>
  </cols>
  <sheetData>
    <row r="1" spans="1:29" ht="27" x14ac:dyDescent="0.15">
      <c r="A1" s="5"/>
      <c r="B1" s="8" t="s">
        <v>0</v>
      </c>
      <c r="C1" s="9" t="s">
        <v>1</v>
      </c>
      <c r="D1" s="9" t="s">
        <v>2</v>
      </c>
      <c r="E1" s="10" t="s">
        <v>3</v>
      </c>
      <c r="F1" s="162" t="s">
        <v>91</v>
      </c>
      <c r="G1" s="45" t="s">
        <v>24</v>
      </c>
      <c r="H1" s="174" t="s">
        <v>87</v>
      </c>
      <c r="I1" s="8" t="s">
        <v>4</v>
      </c>
      <c r="J1" s="187" t="s">
        <v>13</v>
      </c>
      <c r="K1" s="188" t="s">
        <v>8</v>
      </c>
      <c r="L1" s="15" t="s">
        <v>9</v>
      </c>
      <c r="M1" s="189" t="s">
        <v>14</v>
      </c>
      <c r="N1" s="187" t="s">
        <v>10</v>
      </c>
      <c r="O1" s="20" t="s">
        <v>11</v>
      </c>
      <c r="P1" t="s">
        <v>12</v>
      </c>
      <c r="Q1" t="s">
        <v>22</v>
      </c>
      <c r="R1" s="43" t="s">
        <v>23</v>
      </c>
      <c r="S1" t="s">
        <v>19</v>
      </c>
      <c r="T1" t="s">
        <v>20</v>
      </c>
      <c r="U1" t="s">
        <v>21</v>
      </c>
      <c r="V1" t="s">
        <v>60</v>
      </c>
      <c r="W1" t="s">
        <v>63</v>
      </c>
      <c r="X1" s="168" t="s">
        <v>102</v>
      </c>
      <c r="Y1" s="168" t="s">
        <v>103</v>
      </c>
      <c r="Z1" s="168" t="s">
        <v>12</v>
      </c>
      <c r="AA1" s="168" t="s">
        <v>132</v>
      </c>
      <c r="AB1" s="168" t="s">
        <v>133</v>
      </c>
      <c r="AC1" s="168" t="s">
        <v>109</v>
      </c>
    </row>
    <row r="2" spans="1:29" x14ac:dyDescent="0.15">
      <c r="A2" s="5" t="s">
        <v>5</v>
      </c>
      <c r="B2" s="6">
        <v>42417</v>
      </c>
      <c r="C2" s="3" t="s">
        <v>6</v>
      </c>
      <c r="D2" s="3" t="s">
        <v>7</v>
      </c>
      <c r="E2" s="7">
        <v>487500</v>
      </c>
      <c r="F2" s="7"/>
      <c r="G2" s="44"/>
      <c r="H2" s="166"/>
      <c r="I2" s="5">
        <v>14100</v>
      </c>
      <c r="J2" s="24">
        <v>34.574468085106382</v>
      </c>
      <c r="K2" s="13">
        <v>35.22</v>
      </c>
      <c r="L2" s="14">
        <f>(K2-J2)/J2</f>
        <v>1.867076923076923E-2</v>
      </c>
      <c r="M2" s="36">
        <v>5904.050666666667</v>
      </c>
      <c r="N2" s="17">
        <v>5971.4120000000003</v>
      </c>
      <c r="O2" s="19">
        <f>(N2-M2)/M2</f>
        <v>1.1409342015583416E-2</v>
      </c>
      <c r="P2" s="1">
        <f>L2-O2</f>
        <v>7.2614272151858145E-3</v>
      </c>
    </row>
    <row r="3" spans="1:29" x14ac:dyDescent="0.15">
      <c r="A3" s="5"/>
      <c r="B3" s="6">
        <v>42418</v>
      </c>
      <c r="C3" s="3" t="s">
        <v>6</v>
      </c>
      <c r="D3" s="3" t="s">
        <v>7</v>
      </c>
      <c r="E3" s="7">
        <v>487500</v>
      </c>
      <c r="F3" s="7"/>
      <c r="G3" s="44"/>
      <c r="H3" s="166"/>
      <c r="I3" s="5">
        <v>14100</v>
      </c>
      <c r="J3" s="23">
        <v>35.22</v>
      </c>
      <c r="K3" s="13">
        <v>34.14</v>
      </c>
      <c r="L3" s="173">
        <f t="shared" ref="L3:L66" si="0">(K3-J3)/J3</f>
        <v>-3.0664395229982915E-2</v>
      </c>
      <c r="M3" s="11">
        <v>5971.4120000000003</v>
      </c>
      <c r="N3" s="17">
        <v>5957.1310000000003</v>
      </c>
      <c r="O3" s="171">
        <f t="shared" ref="O3:O66" si="1">(N3-M3)/M3</f>
        <v>-2.3915616607931172E-3</v>
      </c>
      <c r="P3" s="1">
        <f t="shared" ref="P3:P68" si="2">L3-O3</f>
        <v>-2.8272833569189797E-2</v>
      </c>
    </row>
    <row r="4" spans="1:29" x14ac:dyDescent="0.15">
      <c r="A4" s="5"/>
      <c r="B4" s="6">
        <v>42419</v>
      </c>
      <c r="C4" s="3" t="s">
        <v>6</v>
      </c>
      <c r="D4" s="3" t="s">
        <v>7</v>
      </c>
      <c r="E4" s="7">
        <v>487500</v>
      </c>
      <c r="F4" s="7"/>
      <c r="G4" s="44"/>
      <c r="H4" s="166"/>
      <c r="I4" s="5">
        <v>14100</v>
      </c>
      <c r="J4" s="23">
        <v>34.14</v>
      </c>
      <c r="K4" s="13">
        <v>33.9</v>
      </c>
      <c r="L4" s="173">
        <f t="shared" si="0"/>
        <v>-7.0298769771529584E-3</v>
      </c>
      <c r="M4" s="11">
        <v>5957.1310000000003</v>
      </c>
      <c r="N4" s="17">
        <v>5979.5159999999996</v>
      </c>
      <c r="O4" s="171">
        <f t="shared" si="1"/>
        <v>3.7576813402289302E-3</v>
      </c>
      <c r="P4" s="1">
        <f t="shared" si="2"/>
        <v>-1.0787558317381889E-2</v>
      </c>
    </row>
    <row r="5" spans="1:29" x14ac:dyDescent="0.15">
      <c r="A5" s="5"/>
      <c r="B5" s="6">
        <v>42422</v>
      </c>
      <c r="C5" s="3" t="s">
        <v>6</v>
      </c>
      <c r="D5" s="3" t="s">
        <v>7</v>
      </c>
      <c r="E5" s="7">
        <v>487500</v>
      </c>
      <c r="F5" s="7"/>
      <c r="G5" s="44"/>
      <c r="H5" s="166"/>
      <c r="I5" s="5">
        <v>14100</v>
      </c>
      <c r="J5" s="23">
        <v>33.9</v>
      </c>
      <c r="K5" s="13">
        <v>34.35</v>
      </c>
      <c r="L5" s="173">
        <f t="shared" si="0"/>
        <v>1.3274336283185926E-2</v>
      </c>
      <c r="M5" s="11">
        <v>5979.5159999999996</v>
      </c>
      <c r="N5" s="17">
        <v>6103.723</v>
      </c>
      <c r="O5" s="171">
        <f t="shared" si="1"/>
        <v>2.0772082556514665E-2</v>
      </c>
      <c r="P5" s="1">
        <f t="shared" si="2"/>
        <v>-7.4977462733287394E-3</v>
      </c>
    </row>
    <row r="6" spans="1:29" x14ac:dyDescent="0.15">
      <c r="A6" s="5"/>
      <c r="B6" s="6">
        <v>42423</v>
      </c>
      <c r="C6" s="3" t="s">
        <v>6</v>
      </c>
      <c r="D6" s="3" t="s">
        <v>7</v>
      </c>
      <c r="E6" s="7">
        <v>487500</v>
      </c>
      <c r="F6" s="7"/>
      <c r="G6" s="44"/>
      <c r="H6" s="166"/>
      <c r="I6" s="5">
        <v>14100</v>
      </c>
      <c r="J6" s="23">
        <v>34.35</v>
      </c>
      <c r="K6" s="13">
        <v>33.53</v>
      </c>
      <c r="L6" s="173">
        <f t="shared" si="0"/>
        <v>-2.3871906841339163E-2</v>
      </c>
      <c r="M6" s="11">
        <v>6103.723</v>
      </c>
      <c r="N6" s="17">
        <v>6070.5</v>
      </c>
      <c r="O6" s="171">
        <f t="shared" si="1"/>
        <v>-5.4430713844648513E-3</v>
      </c>
      <c r="P6" s="1">
        <f t="shared" si="2"/>
        <v>-1.8428835456874314E-2</v>
      </c>
    </row>
    <row r="7" spans="1:29" s="38" customFormat="1" x14ac:dyDescent="0.15">
      <c r="A7" s="37" t="s">
        <v>18</v>
      </c>
      <c r="B7" s="35">
        <v>42424</v>
      </c>
      <c r="C7" s="33" t="s">
        <v>6</v>
      </c>
      <c r="D7" s="33" t="s">
        <v>7</v>
      </c>
      <c r="E7" s="34">
        <v>1058400</v>
      </c>
      <c r="F7" s="34">
        <f>K7*I7</f>
        <v>1056924</v>
      </c>
      <c r="G7" s="44">
        <f>I7*J7</f>
        <v>1058400</v>
      </c>
      <c r="H7" s="166">
        <f>G7*(1+Q7)</f>
        <v>1020725.00063076</v>
      </c>
      <c r="I7" s="37">
        <v>31400</v>
      </c>
      <c r="J7" s="38">
        <v>33.70700636942675</v>
      </c>
      <c r="K7" s="33">
        <v>33.659999999999997</v>
      </c>
      <c r="L7" s="173">
        <f t="shared" si="0"/>
        <v>-1.3945578231293154E-3</v>
      </c>
      <c r="M7" s="39">
        <v>5908.9473998488284</v>
      </c>
      <c r="N7" s="37">
        <v>6111.0429999999997</v>
      </c>
      <c r="O7" s="171">
        <f t="shared" si="1"/>
        <v>3.4201624498526019E-2</v>
      </c>
      <c r="P7" s="40">
        <f t="shared" si="2"/>
        <v>-3.5596182321655331E-2</v>
      </c>
      <c r="Q7" s="40">
        <f t="shared" ref="Q7:Q38" si="3">P7</f>
        <v>-3.5596182321655331E-2</v>
      </c>
      <c r="R7" s="47">
        <f>G7*Q7</f>
        <v>-37674.999369240002</v>
      </c>
      <c r="S7" s="41">
        <f t="shared" ref="S7:S38" si="4">(K7-$J$7)/$J$7</f>
        <v>-1.3945578231293154E-3</v>
      </c>
      <c r="T7" s="42">
        <f t="shared" ref="T7:T38" si="5">(N7-$M$7)/$M$7</f>
        <v>3.4201624498526019E-2</v>
      </c>
      <c r="U7" s="40">
        <f>S7-T7</f>
        <v>-3.5596182321655331E-2</v>
      </c>
      <c r="V7" s="38">
        <f>E7*U7</f>
        <v>-37674.999369240002</v>
      </c>
      <c r="W7" s="38">
        <f>G7*S7</f>
        <v>-1476.0000000000675</v>
      </c>
      <c r="X7" s="200">
        <v>0</v>
      </c>
      <c r="Y7" s="200">
        <v>0</v>
      </c>
      <c r="Z7" s="200">
        <f>X7-Y7</f>
        <v>0</v>
      </c>
      <c r="AA7" s="200">
        <f>Z7</f>
        <v>0</v>
      </c>
      <c r="AB7" s="38">
        <f>V7</f>
        <v>-37674.999369240002</v>
      </c>
      <c r="AC7" s="40">
        <f>AA7</f>
        <v>0</v>
      </c>
    </row>
    <row r="8" spans="1:29" x14ac:dyDescent="0.15">
      <c r="A8" s="5"/>
      <c r="B8" s="6">
        <v>42425</v>
      </c>
      <c r="C8" s="3" t="s">
        <v>6</v>
      </c>
      <c r="D8" s="3" t="s">
        <v>7</v>
      </c>
      <c r="E8" s="4">
        <v>1058400</v>
      </c>
      <c r="F8" s="34">
        <f t="shared" ref="F8:F72" si="6">K8*I8</f>
        <v>951420</v>
      </c>
      <c r="G8" s="46">
        <f>G7*(1+Q7)</f>
        <v>1020725.00063076</v>
      </c>
      <c r="H8" s="166">
        <f t="shared" ref="H8:H70" si="7">G8*(1+Q8)</f>
        <v>999842.29538019304</v>
      </c>
      <c r="I8" s="5">
        <v>31400</v>
      </c>
      <c r="J8" s="23">
        <v>33.659999999999997</v>
      </c>
      <c r="K8" s="13">
        <v>30.3</v>
      </c>
      <c r="L8" s="173">
        <f t="shared" si="0"/>
        <v>-9.98217468805703E-2</v>
      </c>
      <c r="M8" s="11">
        <v>6111.0429999999997</v>
      </c>
      <c r="N8" s="17">
        <v>5626.0519999999997</v>
      </c>
      <c r="O8" s="171">
        <f t="shared" si="1"/>
        <v>-7.9363048173609646E-2</v>
      </c>
      <c r="P8" s="1">
        <f t="shared" si="2"/>
        <v>-2.0458698706960654E-2</v>
      </c>
      <c r="Q8" s="40">
        <f t="shared" si="3"/>
        <v>-2.0458698706960654E-2</v>
      </c>
      <c r="R8" s="47">
        <f>G8*Q8</f>
        <v>-20882.705250566942</v>
      </c>
      <c r="S8" s="41">
        <f t="shared" si="4"/>
        <v>-0.10107709750566887</v>
      </c>
      <c r="T8" s="42">
        <f t="shared" si="5"/>
        <v>-4.7875768847775856E-2</v>
      </c>
      <c r="U8" s="40">
        <f t="shared" ref="U8:U93" si="8">S8-T8</f>
        <v>-5.3201328657893017E-2</v>
      </c>
      <c r="V8" s="38">
        <f t="shared" ref="V8:V73" si="9">E8*U8</f>
        <v>-56308.286251513971</v>
      </c>
      <c r="W8" s="38">
        <f t="shared" ref="W8:W73" si="10">G8*S8</f>
        <v>-103171.92041522925</v>
      </c>
      <c r="X8" s="200">
        <f t="shared" ref="X8:X39" si="11">(K8-K7)/K7</f>
        <v>-9.98217468805703E-2</v>
      </c>
      <c r="Y8" s="168">
        <f t="shared" ref="Y8:Y39" si="12">(N8-N7)/N7</f>
        <v>-7.9363048173609646E-2</v>
      </c>
      <c r="Z8" s="200">
        <f t="shared" ref="Z8:Z71" si="13">X8-Y8</f>
        <v>-2.0458698706960654E-2</v>
      </c>
      <c r="AA8" s="168">
        <f>Z8</f>
        <v>-2.0458698706960654E-2</v>
      </c>
      <c r="AB8">
        <f t="shared" ref="AB8:AB39" si="14">V8-V7</f>
        <v>-18633.286882273969</v>
      </c>
      <c r="AC8" s="1">
        <f>AA8+AC7</f>
        <v>-2.0458698706960654E-2</v>
      </c>
    </row>
    <row r="9" spans="1:29" x14ac:dyDescent="0.15">
      <c r="A9" s="5"/>
      <c r="B9" s="6">
        <v>42426</v>
      </c>
      <c r="C9" s="3" t="s">
        <v>6</v>
      </c>
      <c r="D9" s="3" t="s">
        <v>7</v>
      </c>
      <c r="E9" s="4">
        <v>1058400</v>
      </c>
      <c r="F9" s="34">
        <f t="shared" si="6"/>
        <v>979680</v>
      </c>
      <c r="G9" s="46">
        <f t="shared" ref="G9:G70" si="15">G8*(1+Q8)</f>
        <v>999842.29538019304</v>
      </c>
      <c r="H9" s="166">
        <f t="shared" si="7"/>
        <v>1025473.3614603913</v>
      </c>
      <c r="I9" s="5">
        <v>31400</v>
      </c>
      <c r="J9" s="23">
        <v>30.3</v>
      </c>
      <c r="K9" s="13">
        <v>31.2</v>
      </c>
      <c r="L9" s="173">
        <f t="shared" si="0"/>
        <v>2.9702970297029656E-2</v>
      </c>
      <c r="M9" s="11">
        <v>5626.0519999999997</v>
      </c>
      <c r="N9" s="17">
        <v>5648.9380000000001</v>
      </c>
      <c r="O9" s="171">
        <f t="shared" si="1"/>
        <v>4.067861441735772E-3</v>
      </c>
      <c r="P9" s="1">
        <f t="shared" si="2"/>
        <v>2.5635108855293885E-2</v>
      </c>
      <c r="Q9" s="40">
        <f t="shared" si="3"/>
        <v>2.5635108855293885E-2</v>
      </c>
      <c r="R9" s="47">
        <f t="shared" ref="R9:R93" si="16">G9*Q9</f>
        <v>25631.06608019815</v>
      </c>
      <c r="S9" s="41">
        <f t="shared" si="4"/>
        <v>-7.4376417233560074E-2</v>
      </c>
      <c r="T9" s="42">
        <f t="shared" si="5"/>
        <v>-4.4002659400129408E-2</v>
      </c>
      <c r="U9" s="40">
        <f t="shared" si="8"/>
        <v>-3.0373757833430666E-2</v>
      </c>
      <c r="V9" s="38">
        <f t="shared" si="9"/>
        <v>-32147.585290903018</v>
      </c>
      <c r="W9" s="38">
        <f t="shared" si="10"/>
        <v>-74364.687728957651</v>
      </c>
      <c r="X9" s="200">
        <f t="shared" si="11"/>
        <v>2.9702970297029656E-2</v>
      </c>
      <c r="Y9" s="168">
        <f t="shared" si="12"/>
        <v>4.067861441735772E-3</v>
      </c>
      <c r="Z9" s="200">
        <f t="shared" si="13"/>
        <v>2.5635108855293885E-2</v>
      </c>
      <c r="AA9" s="200">
        <f t="shared" ref="AA9:AA72" si="17">Z9</f>
        <v>2.5635108855293885E-2</v>
      </c>
      <c r="AB9" s="180">
        <f t="shared" si="14"/>
        <v>24160.700960610953</v>
      </c>
      <c r="AC9" s="1">
        <f t="shared" ref="AC9:AC72" si="18">AA9+AC8</f>
        <v>5.1764101483332305E-3</v>
      </c>
    </row>
    <row r="10" spans="1:29" x14ac:dyDescent="0.15">
      <c r="A10" s="5"/>
      <c r="B10" s="6">
        <v>42429</v>
      </c>
      <c r="C10" s="3" t="s">
        <v>6</v>
      </c>
      <c r="D10" s="3" t="s">
        <v>7</v>
      </c>
      <c r="E10" s="4">
        <v>1058400</v>
      </c>
      <c r="F10" s="34">
        <f t="shared" si="6"/>
        <v>957700</v>
      </c>
      <c r="G10" s="46">
        <f t="shared" si="15"/>
        <v>1025473.3614603913</v>
      </c>
      <c r="H10" s="166">
        <f t="shared" si="7"/>
        <v>1056654.5212650823</v>
      </c>
      <c r="I10" s="5">
        <v>31400</v>
      </c>
      <c r="J10" s="23">
        <v>31.2</v>
      </c>
      <c r="K10" s="13">
        <v>30.5</v>
      </c>
      <c r="L10" s="173">
        <f t="shared" si="0"/>
        <v>-2.2435897435897415E-2</v>
      </c>
      <c r="M10" s="11">
        <v>5648.9380000000001</v>
      </c>
      <c r="N10" s="17">
        <v>5350.4340000000002</v>
      </c>
      <c r="O10" s="171">
        <f t="shared" si="1"/>
        <v>-5.2842498890941961E-2</v>
      </c>
      <c r="P10" s="1">
        <f t="shared" si="2"/>
        <v>3.0406601455044546E-2</v>
      </c>
      <c r="Q10" s="40">
        <f t="shared" si="3"/>
        <v>3.0406601455044546E-2</v>
      </c>
      <c r="R10" s="47">
        <f t="shared" si="16"/>
        <v>31181.159804690957</v>
      </c>
      <c r="S10" s="41">
        <f t="shared" si="4"/>
        <v>-9.5143613000755828E-2</v>
      </c>
      <c r="T10" s="42">
        <f t="shared" si="5"/>
        <v>-9.4519947810521532E-2</v>
      </c>
      <c r="U10" s="40">
        <f t="shared" si="8"/>
        <v>-6.2366519023429601E-4</v>
      </c>
      <c r="V10" s="38">
        <f t="shared" si="9"/>
        <v>-660.08723734397893</v>
      </c>
      <c r="W10" s="38">
        <f t="shared" si="10"/>
        <v>-97567.240645371669</v>
      </c>
      <c r="X10" s="200">
        <f t="shared" si="11"/>
        <v>-2.2435897435897415E-2</v>
      </c>
      <c r="Y10" s="168">
        <f t="shared" si="12"/>
        <v>-5.2842498890941961E-2</v>
      </c>
      <c r="Z10" s="200">
        <f t="shared" si="13"/>
        <v>3.0406601455044546E-2</v>
      </c>
      <c r="AA10" s="168">
        <f t="shared" si="17"/>
        <v>3.0406601455044546E-2</v>
      </c>
      <c r="AB10" s="180">
        <f t="shared" si="14"/>
        <v>31487.49805355904</v>
      </c>
      <c r="AC10" s="1">
        <f t="shared" si="18"/>
        <v>3.5583011603377776E-2</v>
      </c>
    </row>
    <row r="11" spans="1:29" x14ac:dyDescent="0.15">
      <c r="A11" s="5"/>
      <c r="B11" s="6">
        <v>42430</v>
      </c>
      <c r="C11" s="3" t="s">
        <v>6</v>
      </c>
      <c r="D11" s="3" t="s">
        <v>7</v>
      </c>
      <c r="E11" s="4">
        <v>1058400</v>
      </c>
      <c r="F11" s="34">
        <f t="shared" si="6"/>
        <v>984390</v>
      </c>
      <c r="G11" s="46">
        <f t="shared" si="15"/>
        <v>1056654.5212650823</v>
      </c>
      <c r="H11" s="166">
        <f t="shared" si="7"/>
        <v>1061771.3666553374</v>
      </c>
      <c r="I11" s="5">
        <v>31400</v>
      </c>
      <c r="J11" s="23">
        <v>30.5</v>
      </c>
      <c r="K11" s="13">
        <v>31.35</v>
      </c>
      <c r="L11" s="173">
        <f t="shared" si="0"/>
        <v>2.7868852459016439E-2</v>
      </c>
      <c r="M11" s="11">
        <v>5350.4340000000002</v>
      </c>
      <c r="N11" s="17">
        <v>5473.6350000000002</v>
      </c>
      <c r="O11" s="171">
        <f t="shared" si="1"/>
        <v>2.3026356366605029E-2</v>
      </c>
      <c r="P11" s="1">
        <f t="shared" si="2"/>
        <v>4.8424960924114101E-3</v>
      </c>
      <c r="Q11" s="40">
        <f t="shared" si="3"/>
        <v>4.8424960924114101E-3</v>
      </c>
      <c r="R11" s="47">
        <f t="shared" si="16"/>
        <v>5116.84539025501</v>
      </c>
      <c r="S11" s="41">
        <f t="shared" si="4"/>
        <v>-6.9926303854875207E-2</v>
      </c>
      <c r="T11" s="42">
        <f t="shared" si="5"/>
        <v>-7.3670041445954473E-2</v>
      </c>
      <c r="U11" s="40">
        <f t="shared" si="8"/>
        <v>3.7437375910792658E-3</v>
      </c>
      <c r="V11" s="38">
        <f t="shared" si="9"/>
        <v>3962.371866398295</v>
      </c>
      <c r="W11" s="38">
        <f t="shared" si="10"/>
        <v>-73887.945123609839</v>
      </c>
      <c r="X11" s="200">
        <f t="shared" si="11"/>
        <v>2.7868852459016439E-2</v>
      </c>
      <c r="Y11" s="168">
        <f t="shared" si="12"/>
        <v>2.3026356366605029E-2</v>
      </c>
      <c r="Z11" s="200">
        <f t="shared" si="13"/>
        <v>4.8424960924114101E-3</v>
      </c>
      <c r="AA11" s="200">
        <f t="shared" si="17"/>
        <v>4.8424960924114101E-3</v>
      </c>
      <c r="AB11" s="180">
        <f t="shared" si="14"/>
        <v>4622.4591037422742</v>
      </c>
      <c r="AC11" s="1">
        <f t="shared" si="18"/>
        <v>4.042550769578919E-2</v>
      </c>
    </row>
    <row r="12" spans="1:29" x14ac:dyDescent="0.15">
      <c r="A12" s="5"/>
      <c r="B12" s="6">
        <v>42431</v>
      </c>
      <c r="C12" s="3" t="s">
        <v>6</v>
      </c>
      <c r="D12" s="3" t="s">
        <v>7</v>
      </c>
      <c r="E12" s="4">
        <v>1058400</v>
      </c>
      <c r="F12" s="34">
        <f t="shared" si="6"/>
        <v>1033688</v>
      </c>
      <c r="G12" s="46">
        <f t="shared" si="15"/>
        <v>1061771.3666553374</v>
      </c>
      <c r="H12" s="166">
        <f t="shared" si="7"/>
        <v>1060724.8961781187</v>
      </c>
      <c r="I12" s="5">
        <v>31400</v>
      </c>
      <c r="J12" s="23">
        <v>31.35</v>
      </c>
      <c r="K12" s="13">
        <v>32.92</v>
      </c>
      <c r="L12" s="173">
        <f t="shared" si="0"/>
        <v>5.0079744816586926E-2</v>
      </c>
      <c r="M12" s="11">
        <v>5473.6350000000002</v>
      </c>
      <c r="N12" s="17">
        <v>5753.1480000000001</v>
      </c>
      <c r="O12" s="171">
        <f t="shared" si="1"/>
        <v>5.1065334096994028E-2</v>
      </c>
      <c r="P12" s="1">
        <f t="shared" si="2"/>
        <v>-9.8558928040710231E-4</v>
      </c>
      <c r="Q12" s="40">
        <f t="shared" si="3"/>
        <v>-9.8558928040710231E-4</v>
      </c>
      <c r="R12" s="47">
        <f t="shared" si="16"/>
        <v>-1046.4704772186997</v>
      </c>
      <c r="S12" s="41">
        <f t="shared" si="4"/>
        <v>-2.3348450491307546E-2</v>
      </c>
      <c r="T12" s="42">
        <f t="shared" si="5"/>
        <v>-2.6366692628337511E-2</v>
      </c>
      <c r="U12" s="40">
        <f t="shared" si="8"/>
        <v>3.0182421370299646E-3</v>
      </c>
      <c r="V12" s="38">
        <f t="shared" si="9"/>
        <v>3194.5074778325147</v>
      </c>
      <c r="W12" s="38">
        <f t="shared" si="10"/>
        <v>-24790.716187440099</v>
      </c>
      <c r="X12" s="200">
        <f t="shared" si="11"/>
        <v>5.0079744816586926E-2</v>
      </c>
      <c r="Y12" s="168">
        <f t="shared" si="12"/>
        <v>5.1065334096994028E-2</v>
      </c>
      <c r="Z12" s="200">
        <f t="shared" si="13"/>
        <v>-9.8558928040710231E-4</v>
      </c>
      <c r="AA12" s="168">
        <f t="shared" si="17"/>
        <v>-9.8558928040710231E-4</v>
      </c>
      <c r="AB12" s="180">
        <f t="shared" si="14"/>
        <v>-767.86438856578025</v>
      </c>
      <c r="AC12" s="1">
        <f t="shared" si="18"/>
        <v>3.9439918415382087E-2</v>
      </c>
    </row>
    <row r="13" spans="1:29" x14ac:dyDescent="0.15">
      <c r="A13" s="5"/>
      <c r="B13" s="6">
        <v>42432</v>
      </c>
      <c r="C13" s="3" t="s">
        <v>6</v>
      </c>
      <c r="D13" s="3" t="s">
        <v>7</v>
      </c>
      <c r="E13" s="4">
        <v>1058400</v>
      </c>
      <c r="F13" s="34">
        <f t="shared" si="6"/>
        <v>1019871.9999999999</v>
      </c>
      <c r="G13" s="46">
        <f t="shared" si="15"/>
        <v>1060724.8961781187</v>
      </c>
      <c r="H13" s="166">
        <f t="shared" si="7"/>
        <v>1042154.1050454612</v>
      </c>
      <c r="I13" s="5">
        <v>31400</v>
      </c>
      <c r="J13" s="23">
        <v>32.92</v>
      </c>
      <c r="K13" s="13">
        <v>32.479999999999997</v>
      </c>
      <c r="L13" s="173">
        <f t="shared" si="0"/>
        <v>-1.3365735115431494E-2</v>
      </c>
      <c r="M13" s="11">
        <v>5753.1480000000001</v>
      </c>
      <c r="N13" s="17">
        <v>5776.9769999999999</v>
      </c>
      <c r="O13" s="171">
        <f t="shared" si="1"/>
        <v>4.1419063093804855E-3</v>
      </c>
      <c r="P13" s="1">
        <f t="shared" si="2"/>
        <v>-1.7507641424811982E-2</v>
      </c>
      <c r="Q13" s="40">
        <f t="shared" si="3"/>
        <v>-1.7507641424811982E-2</v>
      </c>
      <c r="R13" s="47">
        <f t="shared" si="16"/>
        <v>-18570.791132657418</v>
      </c>
      <c r="S13" s="41">
        <f t="shared" si="4"/>
        <v>-3.6402116402116456E-2</v>
      </c>
      <c r="T13" s="42">
        <f t="shared" si="5"/>
        <v>-2.2333994689511832E-2</v>
      </c>
      <c r="U13" s="40">
        <f t="shared" si="8"/>
        <v>-1.4068121712604624E-2</v>
      </c>
      <c r="V13" s="38">
        <f t="shared" si="9"/>
        <v>-14889.700020620734</v>
      </c>
      <c r="W13" s="38">
        <f t="shared" si="10"/>
        <v>-38612.631141298771</v>
      </c>
      <c r="X13" s="200">
        <f t="shared" si="11"/>
        <v>-1.3365735115431494E-2</v>
      </c>
      <c r="Y13" s="168">
        <f t="shared" si="12"/>
        <v>4.1419063093804855E-3</v>
      </c>
      <c r="Z13" s="200">
        <f t="shared" si="13"/>
        <v>-1.7507641424811982E-2</v>
      </c>
      <c r="AA13" s="200">
        <f t="shared" si="17"/>
        <v>-1.7507641424811982E-2</v>
      </c>
      <c r="AB13" s="180">
        <f t="shared" si="14"/>
        <v>-18084.207498453248</v>
      </c>
      <c r="AC13" s="1">
        <f t="shared" si="18"/>
        <v>2.1932276990570106E-2</v>
      </c>
    </row>
    <row r="14" spans="1:29" x14ac:dyDescent="0.15">
      <c r="A14" s="5"/>
      <c r="B14" s="6">
        <v>42433</v>
      </c>
      <c r="C14" s="3" t="s">
        <v>6</v>
      </c>
      <c r="D14" s="3" t="s">
        <v>7</v>
      </c>
      <c r="E14" s="4">
        <v>1058400</v>
      </c>
      <c r="F14" s="34">
        <f t="shared" si="6"/>
        <v>1003230</v>
      </c>
      <c r="G14" s="46">
        <f t="shared" si="15"/>
        <v>1042154.1050454612</v>
      </c>
      <c r="H14" s="166">
        <f t="shared" si="7"/>
        <v>1053185.2204685244</v>
      </c>
      <c r="I14" s="5">
        <v>31400</v>
      </c>
      <c r="J14" s="23">
        <v>32.479999999999997</v>
      </c>
      <c r="K14" s="13">
        <v>31.95</v>
      </c>
      <c r="L14" s="173">
        <f t="shared" si="0"/>
        <v>-1.6317733990147711E-2</v>
      </c>
      <c r="M14" s="11">
        <v>5776.9769999999999</v>
      </c>
      <c r="N14" s="17">
        <v>5621.5609999999997</v>
      </c>
      <c r="O14" s="171">
        <f t="shared" si="1"/>
        <v>-2.6902651680974353E-2</v>
      </c>
      <c r="P14" s="1">
        <f t="shared" si="2"/>
        <v>1.0584917690826642E-2</v>
      </c>
      <c r="Q14" s="40">
        <f t="shared" si="3"/>
        <v>1.0584917690826642E-2</v>
      </c>
      <c r="R14" s="47">
        <f t="shared" si="16"/>
        <v>11031.115423063309</v>
      </c>
      <c r="S14" s="41">
        <f t="shared" si="4"/>
        <v>-5.2125850340136039E-2</v>
      </c>
      <c r="T14" s="42">
        <f t="shared" si="5"/>
        <v>-4.8635802690709516E-2</v>
      </c>
      <c r="U14" s="40">
        <f t="shared" si="8"/>
        <v>-3.4900476494265226E-3</v>
      </c>
      <c r="V14" s="38">
        <f t="shared" si="9"/>
        <v>-3693.8664321530314</v>
      </c>
      <c r="W14" s="38">
        <f t="shared" si="10"/>
        <v>-54323.16891095812</v>
      </c>
      <c r="X14" s="200">
        <f t="shared" si="11"/>
        <v>-1.6317733990147711E-2</v>
      </c>
      <c r="Y14" s="168">
        <f t="shared" si="12"/>
        <v>-2.6902651680974353E-2</v>
      </c>
      <c r="Z14" s="200">
        <f t="shared" si="13"/>
        <v>1.0584917690826642E-2</v>
      </c>
      <c r="AA14" s="168">
        <f t="shared" si="17"/>
        <v>1.0584917690826642E-2</v>
      </c>
      <c r="AB14" s="180">
        <f t="shared" si="14"/>
        <v>11195.833588467704</v>
      </c>
      <c r="AC14" s="1">
        <f t="shared" si="18"/>
        <v>3.2517194681396744E-2</v>
      </c>
    </row>
    <row r="15" spans="1:29" x14ac:dyDescent="0.15">
      <c r="A15" s="5"/>
      <c r="B15" s="6">
        <v>42436</v>
      </c>
      <c r="C15" s="3" t="s">
        <v>6</v>
      </c>
      <c r="D15" s="3" t="s">
        <v>7</v>
      </c>
      <c r="E15" s="4">
        <v>1058400</v>
      </c>
      <c r="F15" s="34">
        <f t="shared" si="6"/>
        <v>996950</v>
      </c>
      <c r="G15" s="46">
        <f t="shared" si="15"/>
        <v>1053185.2204685244</v>
      </c>
      <c r="H15" s="166">
        <f t="shared" si="7"/>
        <v>1022052.4289210547</v>
      </c>
      <c r="I15" s="5">
        <v>31400</v>
      </c>
      <c r="J15" s="23">
        <v>31.95</v>
      </c>
      <c r="K15" s="13">
        <v>31.75</v>
      </c>
      <c r="L15" s="173">
        <f t="shared" si="0"/>
        <v>-6.2597809076682092E-3</v>
      </c>
      <c r="M15" s="11">
        <v>5621.5609999999997</v>
      </c>
      <c r="N15" s="17">
        <v>5752.5479999999998</v>
      </c>
      <c r="O15" s="171">
        <f t="shared" si="1"/>
        <v>2.3300823383398329E-2</v>
      </c>
      <c r="P15" s="1">
        <f t="shared" si="2"/>
        <v>-2.9560604291066536E-2</v>
      </c>
      <c r="Q15" s="40">
        <f t="shared" si="3"/>
        <v>-2.9560604291066536E-2</v>
      </c>
      <c r="R15" s="47">
        <f t="shared" si="16"/>
        <v>-31132.791547469718</v>
      </c>
      <c r="S15" s="41">
        <f t="shared" si="4"/>
        <v>-5.8059334845049097E-2</v>
      </c>
      <c r="T15" s="42">
        <f t="shared" si="5"/>
        <v>-2.6468233555917223E-2</v>
      </c>
      <c r="U15" s="40">
        <f t="shared" si="8"/>
        <v>-3.1591101289131875E-2</v>
      </c>
      <c r="V15" s="38">
        <f t="shared" si="9"/>
        <v>-33436.021604417176</v>
      </c>
      <c r="W15" s="38">
        <f t="shared" si="10"/>
        <v>-61147.233369038913</v>
      </c>
      <c r="X15" s="200">
        <f t="shared" si="11"/>
        <v>-6.2597809076682092E-3</v>
      </c>
      <c r="Y15" s="168">
        <f t="shared" si="12"/>
        <v>2.3300823383398329E-2</v>
      </c>
      <c r="Z15" s="200">
        <f t="shared" si="13"/>
        <v>-2.9560604291066536E-2</v>
      </c>
      <c r="AA15" s="200">
        <f t="shared" si="17"/>
        <v>-2.9560604291066536E-2</v>
      </c>
      <c r="AB15" s="180">
        <f t="shared" si="14"/>
        <v>-29742.155172264145</v>
      </c>
      <c r="AC15" s="1">
        <f t="shared" si="18"/>
        <v>2.9565903903302077E-3</v>
      </c>
    </row>
    <row r="16" spans="1:29" x14ac:dyDescent="0.15">
      <c r="A16" s="5"/>
      <c r="B16" s="6">
        <v>42437</v>
      </c>
      <c r="C16" s="3" t="s">
        <v>6</v>
      </c>
      <c r="D16" s="3" t="s">
        <v>7</v>
      </c>
      <c r="E16" s="4">
        <v>1058400</v>
      </c>
      <c r="F16" s="34">
        <f t="shared" si="6"/>
        <v>980308</v>
      </c>
      <c r="G16" s="46">
        <f t="shared" si="15"/>
        <v>1022052.4289210547</v>
      </c>
      <c r="H16" s="166">
        <f t="shared" si="7"/>
        <v>1002898.9823389086</v>
      </c>
      <c r="I16" s="5">
        <v>31400</v>
      </c>
      <c r="J16" s="23">
        <v>31.75</v>
      </c>
      <c r="K16" s="13">
        <v>31.22</v>
      </c>
      <c r="L16" s="173">
        <f t="shared" si="0"/>
        <v>-1.6692913385826808E-2</v>
      </c>
      <c r="M16" s="11">
        <v>5752.5479999999998</v>
      </c>
      <c r="N16" s="17">
        <v>5764.3249999999998</v>
      </c>
      <c r="O16" s="171">
        <f t="shared" si="1"/>
        <v>2.0472667068575602E-3</v>
      </c>
      <c r="P16" s="1">
        <f t="shared" si="2"/>
        <v>-1.8740180092684369E-2</v>
      </c>
      <c r="Q16" s="40">
        <f t="shared" si="3"/>
        <v>-1.8740180092684369E-2</v>
      </c>
      <c r="R16" s="47">
        <f t="shared" si="16"/>
        <v>-19153.446582146054</v>
      </c>
      <c r="S16" s="41">
        <f t="shared" si="4"/>
        <v>-7.3783068783068784E-2</v>
      </c>
      <c r="T16" s="42">
        <f t="shared" si="5"/>
        <v>-2.4475154382408021E-2</v>
      </c>
      <c r="U16" s="40">
        <f t="shared" si="8"/>
        <v>-4.9307914400660763E-2</v>
      </c>
      <c r="V16" s="38">
        <f t="shared" si="9"/>
        <v>-52187.496601659353</v>
      </c>
      <c r="W16" s="38">
        <f t="shared" si="10"/>
        <v>-75410.164662984695</v>
      </c>
      <c r="X16" s="200">
        <f t="shared" si="11"/>
        <v>-1.6692913385826808E-2</v>
      </c>
      <c r="Y16" s="168">
        <f t="shared" si="12"/>
        <v>2.0472667068575602E-3</v>
      </c>
      <c r="Z16" s="200">
        <f t="shared" si="13"/>
        <v>-1.8740180092684369E-2</v>
      </c>
      <c r="AA16" s="168">
        <f t="shared" si="17"/>
        <v>-1.8740180092684369E-2</v>
      </c>
      <c r="AB16" s="180">
        <f t="shared" si="14"/>
        <v>-18751.474997242178</v>
      </c>
      <c r="AC16" s="1">
        <f t="shared" si="18"/>
        <v>-1.5783589702354162E-2</v>
      </c>
    </row>
    <row r="17" spans="1:29" x14ac:dyDescent="0.15">
      <c r="A17" s="5"/>
      <c r="B17" s="6">
        <v>42438</v>
      </c>
      <c r="C17" s="3" t="s">
        <v>6</v>
      </c>
      <c r="D17" s="3" t="s">
        <v>7</v>
      </c>
      <c r="E17" s="4">
        <v>1058400</v>
      </c>
      <c r="F17" s="34">
        <f t="shared" si="6"/>
        <v>957700</v>
      </c>
      <c r="G17" s="46">
        <f t="shared" si="15"/>
        <v>1002898.9823389086</v>
      </c>
      <c r="H17" s="166">
        <f t="shared" si="7"/>
        <v>1005395.5331576323</v>
      </c>
      <c r="I17" s="5">
        <v>31400</v>
      </c>
      <c r="J17" s="23">
        <v>31.22</v>
      </c>
      <c r="K17" s="13">
        <v>30.5</v>
      </c>
      <c r="L17" s="173">
        <f t="shared" si="0"/>
        <v>-2.3062139654067868E-2</v>
      </c>
      <c r="M17" s="11">
        <v>5764.3249999999998</v>
      </c>
      <c r="N17" s="17">
        <v>5617.0379999999996</v>
      </c>
      <c r="O17" s="171">
        <f t="shared" si="1"/>
        <v>-2.5551473936670861E-2</v>
      </c>
      <c r="P17" s="1">
        <f t="shared" si="2"/>
        <v>2.4893342826029924E-3</v>
      </c>
      <c r="Q17" s="40">
        <f t="shared" si="3"/>
        <v>2.4893342826029924E-3</v>
      </c>
      <c r="R17" s="47">
        <f t="shared" si="16"/>
        <v>2496.5508187238984</v>
      </c>
      <c r="S17" s="41">
        <f t="shared" si="4"/>
        <v>-9.5143613000755828E-2</v>
      </c>
      <c r="T17" s="42">
        <f t="shared" si="5"/>
        <v>-4.940125204978079E-2</v>
      </c>
      <c r="U17" s="40">
        <f t="shared" si="8"/>
        <v>-4.5742360950975038E-2</v>
      </c>
      <c r="V17" s="38">
        <f t="shared" si="9"/>
        <v>-48413.714830511977</v>
      </c>
      <c r="W17" s="38">
        <f t="shared" si="10"/>
        <v>-95419.43265450497</v>
      </c>
      <c r="X17" s="200">
        <f t="shared" si="11"/>
        <v>-2.3062139654067868E-2</v>
      </c>
      <c r="Y17" s="168">
        <f t="shared" si="12"/>
        <v>-2.5551473936670861E-2</v>
      </c>
      <c r="Z17" s="200">
        <f t="shared" si="13"/>
        <v>2.4893342826029924E-3</v>
      </c>
      <c r="AA17" s="200">
        <f t="shared" si="17"/>
        <v>2.4893342826029924E-3</v>
      </c>
      <c r="AB17" s="180">
        <f t="shared" si="14"/>
        <v>3773.7817711473763</v>
      </c>
      <c r="AC17" s="1">
        <f t="shared" si="18"/>
        <v>-1.3294255419751169E-2</v>
      </c>
    </row>
    <row r="18" spans="1:29" x14ac:dyDescent="0.15">
      <c r="A18" s="5"/>
      <c r="B18" s="6">
        <v>42439</v>
      </c>
      <c r="C18" s="3" t="s">
        <v>6</v>
      </c>
      <c r="D18" s="3" t="s">
        <v>7</v>
      </c>
      <c r="E18" s="4">
        <v>1058400</v>
      </c>
      <c r="F18" s="34">
        <f t="shared" si="6"/>
        <v>943256</v>
      </c>
      <c r="G18" s="46">
        <f t="shared" si="15"/>
        <v>1005395.5331576323</v>
      </c>
      <c r="H18" s="166">
        <f t="shared" si="7"/>
        <v>1007252.3819811842</v>
      </c>
      <c r="I18" s="5">
        <v>31400</v>
      </c>
      <c r="J18" s="23">
        <v>30.5</v>
      </c>
      <c r="K18" s="13">
        <v>30.04</v>
      </c>
      <c r="L18" s="173">
        <f t="shared" si="0"/>
        <v>-1.5081967213114783E-2</v>
      </c>
      <c r="M18" s="11">
        <v>5617.0379999999996</v>
      </c>
      <c r="N18" s="17">
        <v>5521.9480000000003</v>
      </c>
      <c r="O18" s="171">
        <f t="shared" si="1"/>
        <v>-1.6928851113344658E-2</v>
      </c>
      <c r="P18" s="1">
        <f t="shared" si="2"/>
        <v>1.8468839002298756E-3</v>
      </c>
      <c r="Q18" s="40">
        <f t="shared" si="3"/>
        <v>1.8468839002298756E-3</v>
      </c>
      <c r="R18" s="47">
        <f t="shared" si="16"/>
        <v>1856.8488235518632</v>
      </c>
      <c r="S18" s="41">
        <f t="shared" si="4"/>
        <v>-0.10879062736205593</v>
      </c>
      <c r="T18" s="42">
        <f t="shared" si="5"/>
        <v>-6.5493796722361899E-2</v>
      </c>
      <c r="U18" s="40">
        <f t="shared" si="8"/>
        <v>-4.3296830639694028E-2</v>
      </c>
      <c r="V18" s="38">
        <f t="shared" si="9"/>
        <v>-45825.365549052156</v>
      </c>
      <c r="W18" s="38">
        <f t="shared" si="10"/>
        <v>-109377.61079922752</v>
      </c>
      <c r="X18" s="200">
        <f t="shared" si="11"/>
        <v>-1.5081967213114783E-2</v>
      </c>
      <c r="Y18" s="168">
        <f t="shared" si="12"/>
        <v>-1.6928851113344658E-2</v>
      </c>
      <c r="Z18" s="200">
        <f t="shared" si="13"/>
        <v>1.8468839002298756E-3</v>
      </c>
      <c r="AA18" s="168">
        <f t="shared" si="17"/>
        <v>1.8468839002298756E-3</v>
      </c>
      <c r="AB18" s="180">
        <f t="shared" si="14"/>
        <v>2588.3492814598212</v>
      </c>
      <c r="AC18" s="1">
        <f t="shared" si="18"/>
        <v>-1.1447371519521294E-2</v>
      </c>
    </row>
    <row r="19" spans="1:29" x14ac:dyDescent="0.15">
      <c r="A19" s="5"/>
      <c r="B19" s="6">
        <v>42440</v>
      </c>
      <c r="C19" s="3" t="s">
        <v>6</v>
      </c>
      <c r="D19" s="3" t="s">
        <v>7</v>
      </c>
      <c r="E19" s="4">
        <v>1058400</v>
      </c>
      <c r="F19" s="34">
        <f t="shared" si="6"/>
        <v>948908</v>
      </c>
      <c r="G19" s="46">
        <f t="shared" si="15"/>
        <v>1007252.3819811842</v>
      </c>
      <c r="H19" s="166">
        <f t="shared" si="7"/>
        <v>1015652.9625966785</v>
      </c>
      <c r="I19" s="5">
        <v>31400</v>
      </c>
      <c r="J19" s="23">
        <v>30.04</v>
      </c>
      <c r="K19" s="13">
        <v>30.22</v>
      </c>
      <c r="L19" s="173">
        <f t="shared" si="0"/>
        <v>5.9920106524633731E-3</v>
      </c>
      <c r="M19" s="11">
        <v>5521.9480000000003</v>
      </c>
      <c r="N19" s="17">
        <v>5508.982</v>
      </c>
      <c r="O19" s="171">
        <f t="shared" si="1"/>
        <v>-2.3480844078937993E-3</v>
      </c>
      <c r="P19" s="1">
        <f t="shared" si="2"/>
        <v>8.3400950603571729E-3</v>
      </c>
      <c r="Q19" s="40">
        <f t="shared" si="3"/>
        <v>8.3400950603571729E-3</v>
      </c>
      <c r="R19" s="47">
        <f t="shared" si="16"/>
        <v>8400.5806154942711</v>
      </c>
      <c r="S19" s="41">
        <f t="shared" si="4"/>
        <v>-0.10345049130763416</v>
      </c>
      <c r="T19" s="42">
        <f t="shared" si="5"/>
        <v>-6.7688096167358144E-2</v>
      </c>
      <c r="U19" s="40">
        <f t="shared" si="8"/>
        <v>-3.5762395140276015E-2</v>
      </c>
      <c r="V19" s="38">
        <f t="shared" si="9"/>
        <v>-37850.919016468135</v>
      </c>
      <c r="W19" s="38">
        <f t="shared" si="10"/>
        <v>-104200.75378673831</v>
      </c>
      <c r="X19" s="200">
        <f t="shared" si="11"/>
        <v>5.9920106524633731E-3</v>
      </c>
      <c r="Y19" s="168">
        <f t="shared" si="12"/>
        <v>-2.3480844078937993E-3</v>
      </c>
      <c r="Z19" s="200">
        <f t="shared" si="13"/>
        <v>8.3400950603571729E-3</v>
      </c>
      <c r="AA19" s="200">
        <f t="shared" si="17"/>
        <v>8.3400950603571729E-3</v>
      </c>
      <c r="AB19" s="180">
        <f t="shared" si="14"/>
        <v>7974.446532584021</v>
      </c>
      <c r="AC19" s="1">
        <f t="shared" si="18"/>
        <v>-3.1072764591641207E-3</v>
      </c>
    </row>
    <row r="20" spans="1:29" x14ac:dyDescent="0.15">
      <c r="A20" s="5"/>
      <c r="B20" s="6">
        <v>42443</v>
      </c>
      <c r="C20" s="3" t="s">
        <v>6</v>
      </c>
      <c r="D20" s="3" t="s">
        <v>7</v>
      </c>
      <c r="E20" s="4">
        <v>1058400</v>
      </c>
      <c r="F20" s="34">
        <f t="shared" si="6"/>
        <v>984390</v>
      </c>
      <c r="G20" s="46">
        <f t="shared" si="15"/>
        <v>1015652.9625966785</v>
      </c>
      <c r="H20" s="166">
        <f t="shared" si="7"/>
        <v>1020148.9079761878</v>
      </c>
      <c r="I20" s="5">
        <v>31400</v>
      </c>
      <c r="J20" s="23">
        <v>30.22</v>
      </c>
      <c r="K20" s="13">
        <v>31.35</v>
      </c>
      <c r="L20" s="173">
        <f t="shared" si="0"/>
        <v>3.7392455327597704E-2</v>
      </c>
      <c r="M20" s="11">
        <v>5508.982</v>
      </c>
      <c r="N20" s="17">
        <v>5690.59</v>
      </c>
      <c r="O20" s="171">
        <f t="shared" si="1"/>
        <v>3.296580021499438E-2</v>
      </c>
      <c r="P20" s="1">
        <f t="shared" si="2"/>
        <v>4.4266551126033241E-3</v>
      </c>
      <c r="Q20" s="40">
        <f t="shared" si="3"/>
        <v>4.4266551126033241E-3</v>
      </c>
      <c r="R20" s="47">
        <f t="shared" si="16"/>
        <v>4495.9453795092995</v>
      </c>
      <c r="S20" s="41">
        <f t="shared" si="4"/>
        <v>-6.9926303854875207E-2</v>
      </c>
      <c r="T20" s="42">
        <f t="shared" si="5"/>
        <v>-3.6953688207550225E-2</v>
      </c>
      <c r="U20" s="40">
        <f t="shared" si="8"/>
        <v>-3.2972615647324982E-2</v>
      </c>
      <c r="V20" s="38">
        <f t="shared" si="9"/>
        <v>-34898.21640112876</v>
      </c>
      <c r="W20" s="38">
        <f t="shared" si="10"/>
        <v>-71020.857673639548</v>
      </c>
      <c r="X20" s="200">
        <f t="shared" si="11"/>
        <v>3.7392455327597704E-2</v>
      </c>
      <c r="Y20" s="168">
        <f t="shared" si="12"/>
        <v>3.296580021499438E-2</v>
      </c>
      <c r="Z20" s="200">
        <f t="shared" si="13"/>
        <v>4.4266551126033241E-3</v>
      </c>
      <c r="AA20" s="168">
        <f t="shared" si="17"/>
        <v>4.4266551126033241E-3</v>
      </c>
      <c r="AB20" s="180">
        <f t="shared" si="14"/>
        <v>2952.7026153393745</v>
      </c>
      <c r="AC20" s="1">
        <f t="shared" si="18"/>
        <v>1.3193786534392033E-3</v>
      </c>
    </row>
    <row r="21" spans="1:29" x14ac:dyDescent="0.15">
      <c r="A21" s="5"/>
      <c r="B21" s="6">
        <v>42444</v>
      </c>
      <c r="C21" s="3" t="s">
        <v>6</v>
      </c>
      <c r="D21" s="3" t="s">
        <v>7</v>
      </c>
      <c r="E21" s="4">
        <v>1058400</v>
      </c>
      <c r="F21" s="34">
        <f t="shared" si="6"/>
        <v>975598</v>
      </c>
      <c r="G21" s="46">
        <f t="shared" si="15"/>
        <v>1020148.9079761878</v>
      </c>
      <c r="H21" s="166">
        <f t="shared" si="7"/>
        <v>1020142.4459846178</v>
      </c>
      <c r="I21" s="5">
        <v>31400</v>
      </c>
      <c r="J21" s="23">
        <v>31.35</v>
      </c>
      <c r="K21" s="13">
        <v>31.07</v>
      </c>
      <c r="L21" s="173">
        <f t="shared" si="0"/>
        <v>-8.9314194577352832E-3</v>
      </c>
      <c r="M21" s="11">
        <v>5690.59</v>
      </c>
      <c r="N21" s="17">
        <v>5639.8010000000004</v>
      </c>
      <c r="O21" s="171">
        <f t="shared" si="1"/>
        <v>-8.9250850966243848E-3</v>
      </c>
      <c r="P21" s="1">
        <f t="shared" si="2"/>
        <v>-6.3343611108983289E-6</v>
      </c>
      <c r="Q21" s="40">
        <f t="shared" si="3"/>
        <v>-6.3343611108983289E-6</v>
      </c>
      <c r="R21" s="47">
        <f t="shared" si="16"/>
        <v>-6.4619915700097614</v>
      </c>
      <c r="S21" s="41">
        <f t="shared" si="4"/>
        <v>-7.8233182161753553E-2</v>
      </c>
      <c r="T21" s="42">
        <f t="shared" si="5"/>
        <v>-4.55489584922881E-2</v>
      </c>
      <c r="U21" s="40">
        <f t="shared" si="8"/>
        <v>-3.2684223669465454E-2</v>
      </c>
      <c r="V21" s="38">
        <f t="shared" si="9"/>
        <v>-34592.982331762236</v>
      </c>
      <c r="W21" s="38">
        <f t="shared" si="10"/>
        <v>-79809.495349815057</v>
      </c>
      <c r="X21" s="200">
        <f t="shared" si="11"/>
        <v>-8.9314194577352832E-3</v>
      </c>
      <c r="Y21" s="168">
        <f t="shared" si="12"/>
        <v>-8.9250850966243848E-3</v>
      </c>
      <c r="Z21" s="200">
        <f t="shared" si="13"/>
        <v>-6.3343611108983289E-6</v>
      </c>
      <c r="AA21" s="200">
        <f t="shared" si="17"/>
        <v>-6.3343611108983289E-6</v>
      </c>
      <c r="AB21" s="180">
        <f t="shared" si="14"/>
        <v>305.23406936652464</v>
      </c>
      <c r="AC21" s="1">
        <f t="shared" si="18"/>
        <v>1.313044292328305E-3</v>
      </c>
    </row>
    <row r="22" spans="1:29" x14ac:dyDescent="0.15">
      <c r="A22" s="5"/>
      <c r="B22" s="6">
        <v>42445</v>
      </c>
      <c r="C22" s="3" t="s">
        <v>6</v>
      </c>
      <c r="D22" s="3" t="s">
        <v>7</v>
      </c>
      <c r="E22" s="4">
        <v>1058400</v>
      </c>
      <c r="F22" s="34">
        <f t="shared" si="6"/>
        <v>954874</v>
      </c>
      <c r="G22" s="46">
        <f t="shared" si="15"/>
        <v>1020142.4459846178</v>
      </c>
      <c r="H22" s="166">
        <f t="shared" si="7"/>
        <v>1012399.6424446541</v>
      </c>
      <c r="I22" s="5">
        <v>31400</v>
      </c>
      <c r="J22" s="23">
        <v>31.07</v>
      </c>
      <c r="K22" s="13">
        <v>30.41</v>
      </c>
      <c r="L22" s="173">
        <f t="shared" si="0"/>
        <v>-2.1242355970389447E-2</v>
      </c>
      <c r="M22" s="11">
        <v>5639.8010000000004</v>
      </c>
      <c r="N22" s="17">
        <v>5562.8040000000001</v>
      </c>
      <c r="O22" s="171">
        <f t="shared" si="1"/>
        <v>-1.3652432062762549E-2</v>
      </c>
      <c r="P22" s="1">
        <f t="shared" si="2"/>
        <v>-7.5899239076268974E-3</v>
      </c>
      <c r="Q22" s="40">
        <f t="shared" si="3"/>
        <v>-7.5899239076268974E-3</v>
      </c>
      <c r="R22" s="47">
        <f t="shared" si="16"/>
        <v>-7742.8035399636319</v>
      </c>
      <c r="S22" s="41">
        <f t="shared" si="4"/>
        <v>-9.7813681027966698E-2</v>
      </c>
      <c r="T22" s="42">
        <f t="shared" si="5"/>
        <v>-5.8579536493705092E-2</v>
      </c>
      <c r="U22" s="40">
        <f t="shared" si="8"/>
        <v>-3.9234144534261606E-2</v>
      </c>
      <c r="V22" s="38">
        <f t="shared" si="9"/>
        <v>-41525.418575062482</v>
      </c>
      <c r="W22" s="38">
        <f t="shared" si="10"/>
        <v>-99783.887814629154</v>
      </c>
      <c r="X22" s="200">
        <f t="shared" si="11"/>
        <v>-2.1242355970389447E-2</v>
      </c>
      <c r="Y22" s="168">
        <f t="shared" si="12"/>
        <v>-1.3652432062762549E-2</v>
      </c>
      <c r="Z22" s="200">
        <f t="shared" si="13"/>
        <v>-7.5899239076268974E-3</v>
      </c>
      <c r="AA22" s="168">
        <f t="shared" si="17"/>
        <v>-7.5899239076268974E-3</v>
      </c>
      <c r="AB22" s="180">
        <f t="shared" si="14"/>
        <v>-6932.4362433002461</v>
      </c>
      <c r="AC22" s="1">
        <f t="shared" si="18"/>
        <v>-6.2768796152985924E-3</v>
      </c>
    </row>
    <row r="23" spans="1:29" x14ac:dyDescent="0.15">
      <c r="A23" s="5"/>
      <c r="B23" s="6">
        <v>42446</v>
      </c>
      <c r="C23" s="3" t="s">
        <v>6</v>
      </c>
      <c r="D23" s="3" t="s">
        <v>7</v>
      </c>
      <c r="E23" s="4">
        <v>1058400</v>
      </c>
      <c r="F23" s="34">
        <f t="shared" si="6"/>
        <v>998520</v>
      </c>
      <c r="G23" s="46">
        <f t="shared" si="15"/>
        <v>1012399.6424446541</v>
      </c>
      <c r="H23" s="166">
        <f t="shared" si="7"/>
        <v>1025338.9502216137</v>
      </c>
      <c r="I23" s="5">
        <v>31400</v>
      </c>
      <c r="J23" s="23">
        <v>30.41</v>
      </c>
      <c r="K23" s="13">
        <v>31.8</v>
      </c>
      <c r="L23" s="173">
        <f t="shared" si="0"/>
        <v>4.5708648470897749E-2</v>
      </c>
      <c r="M23" s="11">
        <v>5562.8040000000001</v>
      </c>
      <c r="N23" s="17">
        <v>5745.9750000000004</v>
      </c>
      <c r="O23" s="171">
        <f t="shared" si="1"/>
        <v>3.2927818416755343E-2</v>
      </c>
      <c r="P23" s="1">
        <f t="shared" si="2"/>
        <v>1.2780830054142406E-2</v>
      </c>
      <c r="Q23" s="40">
        <f t="shared" si="3"/>
        <v>1.2780830054142406E-2</v>
      </c>
      <c r="R23" s="47">
        <f t="shared" si="16"/>
        <v>12939.307776959662</v>
      </c>
      <c r="S23" s="41">
        <f t="shared" si="4"/>
        <v>-5.6575963718820808E-2</v>
      </c>
      <c r="T23" s="42">
        <f t="shared" si="5"/>
        <v>-2.7580614417552166E-2</v>
      </c>
      <c r="U23" s="40">
        <f t="shared" si="8"/>
        <v>-2.8995349301268642E-2</v>
      </c>
      <c r="V23" s="38">
        <f t="shared" si="9"/>
        <v>-30688.677700462729</v>
      </c>
      <c r="W23" s="38">
        <f t="shared" si="10"/>
        <v>-57277.485439895914</v>
      </c>
      <c r="X23" s="200">
        <f t="shared" si="11"/>
        <v>4.5708648470897749E-2</v>
      </c>
      <c r="Y23" s="168">
        <f t="shared" si="12"/>
        <v>3.2927818416755343E-2</v>
      </c>
      <c r="Z23" s="200">
        <f t="shared" si="13"/>
        <v>1.2780830054142406E-2</v>
      </c>
      <c r="AA23" s="200">
        <f t="shared" si="17"/>
        <v>1.2780830054142406E-2</v>
      </c>
      <c r="AB23" s="180">
        <f t="shared" si="14"/>
        <v>10836.740874599753</v>
      </c>
      <c r="AC23" s="1">
        <f t="shared" si="18"/>
        <v>6.5039504388438134E-3</v>
      </c>
    </row>
    <row r="24" spans="1:29" x14ac:dyDescent="0.15">
      <c r="A24" s="5"/>
      <c r="B24" s="6">
        <v>42447</v>
      </c>
      <c r="C24" s="3" t="s">
        <v>6</v>
      </c>
      <c r="D24" s="3" t="s">
        <v>7</v>
      </c>
      <c r="E24" s="4">
        <v>1058400</v>
      </c>
      <c r="F24" s="34">
        <f t="shared" si="6"/>
        <v>1036513.9999999999</v>
      </c>
      <c r="G24" s="46">
        <f t="shared" si="15"/>
        <v>1025338.9502216137</v>
      </c>
      <c r="H24" s="166">
        <f t="shared" si="7"/>
        <v>1028077.7476950885</v>
      </c>
      <c r="I24" s="5">
        <v>31400</v>
      </c>
      <c r="J24" s="23">
        <v>31.8</v>
      </c>
      <c r="K24" s="13">
        <v>33.01</v>
      </c>
      <c r="L24" s="173">
        <f t="shared" si="0"/>
        <v>3.805031446540872E-2</v>
      </c>
      <c r="M24" s="11">
        <v>5745.9750000000004</v>
      </c>
      <c r="N24" s="17">
        <v>5949.2629999999999</v>
      </c>
      <c r="O24" s="171">
        <f t="shared" si="1"/>
        <v>3.5379200222764549E-2</v>
      </c>
      <c r="P24" s="1">
        <f t="shared" si="2"/>
        <v>2.6711142426441709E-3</v>
      </c>
      <c r="Q24" s="40">
        <f t="shared" si="3"/>
        <v>2.6711142426441709E-3</v>
      </c>
      <c r="R24" s="47">
        <f t="shared" si="16"/>
        <v>2738.797473474775</v>
      </c>
      <c r="S24" s="41">
        <f t="shared" si="4"/>
        <v>-2.0678382464096774E-2</v>
      </c>
      <c r="T24" s="42">
        <f t="shared" si="5"/>
        <v>6.8228057254669386E-3</v>
      </c>
      <c r="U24" s="40">
        <f t="shared" si="8"/>
        <v>-2.7501188189563711E-2</v>
      </c>
      <c r="V24" s="38">
        <f t="shared" si="9"/>
        <v>-29107.257579834233</v>
      </c>
      <c r="W24" s="38">
        <f t="shared" si="10"/>
        <v>-21202.350968018014</v>
      </c>
      <c r="X24" s="200">
        <f t="shared" si="11"/>
        <v>3.805031446540872E-2</v>
      </c>
      <c r="Y24" s="168">
        <f t="shared" si="12"/>
        <v>3.5379200222764549E-2</v>
      </c>
      <c r="Z24" s="200">
        <f t="shared" si="13"/>
        <v>2.6711142426441709E-3</v>
      </c>
      <c r="AA24" s="168">
        <f t="shared" si="17"/>
        <v>2.6711142426441709E-3</v>
      </c>
      <c r="AB24" s="180">
        <f t="shared" si="14"/>
        <v>1581.4201206284961</v>
      </c>
      <c r="AC24" s="1">
        <f t="shared" si="18"/>
        <v>9.1750646814879842E-3</v>
      </c>
    </row>
    <row r="25" spans="1:29" x14ac:dyDescent="0.15">
      <c r="A25" s="5"/>
      <c r="B25" s="6">
        <v>42450</v>
      </c>
      <c r="C25" s="3" t="s">
        <v>6</v>
      </c>
      <c r="D25" s="3" t="s">
        <v>7</v>
      </c>
      <c r="E25" s="4">
        <v>1058400</v>
      </c>
      <c r="F25" s="34">
        <f t="shared" si="6"/>
        <v>1052214</v>
      </c>
      <c r="G25" s="46">
        <f t="shared" si="15"/>
        <v>1028077.7476950885</v>
      </c>
      <c r="H25" s="166">
        <f t="shared" si="7"/>
        <v>1017691.1552117271</v>
      </c>
      <c r="I25" s="5">
        <v>31400</v>
      </c>
      <c r="J25" s="23">
        <v>33.01</v>
      </c>
      <c r="K25" s="13">
        <v>33.51</v>
      </c>
      <c r="L25" s="173">
        <f t="shared" si="0"/>
        <v>1.514692517418964E-2</v>
      </c>
      <c r="M25" s="11">
        <v>5949.2629999999999</v>
      </c>
      <c r="N25" s="17">
        <v>6099.4809999999998</v>
      </c>
      <c r="O25" s="171">
        <f t="shared" si="1"/>
        <v>2.5249850275571924E-2</v>
      </c>
      <c r="P25" s="1">
        <f t="shared" si="2"/>
        <v>-1.0102925101382283E-2</v>
      </c>
      <c r="Q25" s="40">
        <f t="shared" si="3"/>
        <v>-1.0102925101382283E-2</v>
      </c>
      <c r="R25" s="47">
        <f t="shared" si="16"/>
        <v>-10386.592483361272</v>
      </c>
      <c r="S25" s="41">
        <f t="shared" si="4"/>
        <v>-5.8446712018140803E-3</v>
      </c>
      <c r="T25" s="42">
        <f t="shared" si="5"/>
        <v>3.2244930824066216E-2</v>
      </c>
      <c r="U25" s="40">
        <f t="shared" si="8"/>
        <v>-3.8089602025880298E-2</v>
      </c>
      <c r="V25" s="38">
        <f t="shared" si="9"/>
        <v>-40314.03478419171</v>
      </c>
      <c r="W25" s="38">
        <f t="shared" si="10"/>
        <v>-6008.7764051793656</v>
      </c>
      <c r="X25" s="200">
        <f t="shared" si="11"/>
        <v>1.514692517418964E-2</v>
      </c>
      <c r="Y25" s="168">
        <f t="shared" si="12"/>
        <v>2.5249850275571924E-2</v>
      </c>
      <c r="Z25" s="200">
        <f t="shared" si="13"/>
        <v>-1.0102925101382283E-2</v>
      </c>
      <c r="AA25" s="200">
        <f t="shared" si="17"/>
        <v>-1.0102925101382283E-2</v>
      </c>
      <c r="AB25" s="180">
        <f t="shared" si="14"/>
        <v>-11206.777204357477</v>
      </c>
      <c r="AC25" s="1">
        <f t="shared" si="18"/>
        <v>-9.2786041989429899E-4</v>
      </c>
    </row>
    <row r="26" spans="1:29" x14ac:dyDescent="0.15">
      <c r="A26" s="5"/>
      <c r="B26" s="6">
        <v>42451</v>
      </c>
      <c r="C26" s="3" t="s">
        <v>6</v>
      </c>
      <c r="D26" s="3" t="s">
        <v>7</v>
      </c>
      <c r="E26" s="4">
        <v>1058400</v>
      </c>
      <c r="F26" s="34">
        <f t="shared" si="6"/>
        <v>1114386</v>
      </c>
      <c r="G26" s="46">
        <f t="shared" si="15"/>
        <v>1017691.1552117271</v>
      </c>
      <c r="H26" s="166">
        <f t="shared" si="7"/>
        <v>1081825.8455515117</v>
      </c>
      <c r="I26" s="5">
        <v>31400</v>
      </c>
      <c r="J26" s="23">
        <v>33.51</v>
      </c>
      <c r="K26" s="13">
        <v>35.49</v>
      </c>
      <c r="L26" s="173">
        <f t="shared" si="0"/>
        <v>5.9086839749328678E-2</v>
      </c>
      <c r="M26" s="11">
        <v>6099.4809999999998</v>
      </c>
      <c r="N26" s="17">
        <v>6075.4920000000002</v>
      </c>
      <c r="O26" s="171">
        <f t="shared" si="1"/>
        <v>-3.9329575745870151E-3</v>
      </c>
      <c r="P26" s="1">
        <f t="shared" si="2"/>
        <v>6.3019797323915688E-2</v>
      </c>
      <c r="Q26" s="40">
        <f t="shared" si="3"/>
        <v>6.3019797323915688E-2</v>
      </c>
      <c r="R26" s="47">
        <f t="shared" si="16"/>
        <v>64134.690339784669</v>
      </c>
      <c r="S26" s="41">
        <f t="shared" si="4"/>
        <v>5.2896825396825498E-2</v>
      </c>
      <c r="T26" s="42">
        <f t="shared" si="5"/>
        <v>2.8185155304552657E-2</v>
      </c>
      <c r="U26" s="40">
        <f t="shared" si="8"/>
        <v>2.471167009227284E-2</v>
      </c>
      <c r="V26" s="38">
        <f t="shared" si="9"/>
        <v>26154.831625661573</v>
      </c>
      <c r="W26" s="38">
        <f t="shared" si="10"/>
        <v>53832.631345128364</v>
      </c>
      <c r="X26" s="200">
        <f t="shared" si="11"/>
        <v>5.9086839749328678E-2</v>
      </c>
      <c r="Y26" s="168">
        <f t="shared" si="12"/>
        <v>-3.9329575745870151E-3</v>
      </c>
      <c r="Z26" s="200">
        <f t="shared" si="13"/>
        <v>6.3019797323915688E-2</v>
      </c>
      <c r="AA26" s="168">
        <f t="shared" si="17"/>
        <v>6.3019797323915688E-2</v>
      </c>
      <c r="AB26" s="180">
        <f t="shared" si="14"/>
        <v>66468.866409853275</v>
      </c>
      <c r="AC26" s="1">
        <f t="shared" si="18"/>
        <v>6.2091936904021386E-2</v>
      </c>
    </row>
    <row r="27" spans="1:29" x14ac:dyDescent="0.15">
      <c r="A27" s="5"/>
      <c r="B27" s="6">
        <v>42452</v>
      </c>
      <c r="C27" s="3" t="s">
        <v>6</v>
      </c>
      <c r="D27" s="3" t="s">
        <v>7</v>
      </c>
      <c r="E27" s="4">
        <v>1058400</v>
      </c>
      <c r="F27" s="34">
        <f t="shared" si="6"/>
        <v>1094290</v>
      </c>
      <c r="G27" s="46">
        <f t="shared" si="15"/>
        <v>1081825.8455515117</v>
      </c>
      <c r="H27" s="166">
        <f t="shared" si="7"/>
        <v>1054575.8606027407</v>
      </c>
      <c r="I27" s="5">
        <v>31400</v>
      </c>
      <c r="J27" s="23">
        <v>35.49</v>
      </c>
      <c r="K27" s="13">
        <v>34.85</v>
      </c>
      <c r="L27" s="173">
        <f t="shared" si="0"/>
        <v>-1.8033248802479588E-2</v>
      </c>
      <c r="M27" s="11">
        <v>6075.4920000000002</v>
      </c>
      <c r="N27" s="17">
        <v>6118.9660000000003</v>
      </c>
      <c r="O27" s="171">
        <f t="shared" si="1"/>
        <v>7.1556344737183685E-3</v>
      </c>
      <c r="P27" s="1">
        <f t="shared" si="2"/>
        <v>-2.5188883276197956E-2</v>
      </c>
      <c r="Q27" s="40">
        <f t="shared" si="3"/>
        <v>-2.5188883276197956E-2</v>
      </c>
      <c r="R27" s="47">
        <f t="shared" si="16"/>
        <v>-27249.984948771187</v>
      </c>
      <c r="S27" s="41">
        <f t="shared" si="4"/>
        <v>3.3909674981103637E-2</v>
      </c>
      <c r="T27" s="42">
        <f t="shared" si="5"/>
        <v>3.5542472447215388E-2</v>
      </c>
      <c r="U27" s="40">
        <f t="shared" si="8"/>
        <v>-1.6327974661117517E-3</v>
      </c>
      <c r="V27" s="38">
        <f t="shared" si="9"/>
        <v>-1728.152838132678</v>
      </c>
      <c r="W27" s="38">
        <f t="shared" si="10"/>
        <v>36684.362808809383</v>
      </c>
      <c r="X27" s="200">
        <f t="shared" si="11"/>
        <v>-1.8033248802479588E-2</v>
      </c>
      <c r="Y27" s="168">
        <f t="shared" si="12"/>
        <v>7.1556344737183685E-3</v>
      </c>
      <c r="Z27" s="200">
        <f t="shared" si="13"/>
        <v>-2.5188883276197956E-2</v>
      </c>
      <c r="AA27" s="200">
        <f t="shared" si="17"/>
        <v>-2.5188883276197956E-2</v>
      </c>
      <c r="AB27" s="180">
        <f t="shared" si="14"/>
        <v>-27882.984463794251</v>
      </c>
      <c r="AC27" s="1">
        <f t="shared" si="18"/>
        <v>3.690305362782343E-2</v>
      </c>
    </row>
    <row r="28" spans="1:29" x14ac:dyDescent="0.15">
      <c r="A28" s="5"/>
      <c r="B28" s="6">
        <v>42453</v>
      </c>
      <c r="C28" s="3" t="s">
        <v>6</v>
      </c>
      <c r="D28" s="3" t="s">
        <v>7</v>
      </c>
      <c r="E28" s="4">
        <v>1058400</v>
      </c>
      <c r="F28" s="34">
        <f t="shared" si="6"/>
        <v>1077020</v>
      </c>
      <c r="G28" s="46">
        <f t="shared" si="15"/>
        <v>1054575.8606027407</v>
      </c>
      <c r="H28" s="166">
        <f t="shared" si="7"/>
        <v>1055260.5808584949</v>
      </c>
      <c r="I28" s="5">
        <v>31400</v>
      </c>
      <c r="J28" s="23">
        <v>34.85</v>
      </c>
      <c r="K28" s="13">
        <v>34.299999999999997</v>
      </c>
      <c r="L28" s="173">
        <f t="shared" si="0"/>
        <v>-1.5781922525107725E-2</v>
      </c>
      <c r="M28" s="11">
        <v>6118.9660000000003</v>
      </c>
      <c r="N28" s="17">
        <v>6018.424</v>
      </c>
      <c r="O28" s="171">
        <f t="shared" si="1"/>
        <v>-1.6431207494861121E-2</v>
      </c>
      <c r="P28" s="1">
        <f t="shared" si="2"/>
        <v>6.4928496975339561E-4</v>
      </c>
      <c r="Q28" s="40">
        <f t="shared" si="3"/>
        <v>6.4928496975339561E-4</v>
      </c>
      <c r="R28" s="47">
        <f t="shared" si="16"/>
        <v>684.72025575411158</v>
      </c>
      <c r="S28" s="41">
        <f t="shared" si="4"/>
        <v>1.7592592592592545E-2</v>
      </c>
      <c r="T28" s="42">
        <f t="shared" si="5"/>
        <v>1.852725921269369E-2</v>
      </c>
      <c r="U28" s="40">
        <f t="shared" si="8"/>
        <v>-9.3466662010114471E-4</v>
      </c>
      <c r="V28" s="38">
        <f t="shared" si="9"/>
        <v>-989.25115071505161</v>
      </c>
      <c r="W28" s="38">
        <f t="shared" si="10"/>
        <v>18552.723473566683</v>
      </c>
      <c r="X28" s="200">
        <f t="shared" si="11"/>
        <v>-1.5781922525107725E-2</v>
      </c>
      <c r="Y28" s="168">
        <f t="shared" si="12"/>
        <v>-1.6431207494861121E-2</v>
      </c>
      <c r="Z28" s="200">
        <f t="shared" si="13"/>
        <v>6.4928496975339561E-4</v>
      </c>
      <c r="AA28" s="168">
        <f t="shared" si="17"/>
        <v>6.4928496975339561E-4</v>
      </c>
      <c r="AB28" s="180">
        <f t="shared" si="14"/>
        <v>738.90168741762636</v>
      </c>
      <c r="AC28" s="1">
        <f t="shared" si="18"/>
        <v>3.7552338597576826E-2</v>
      </c>
    </row>
    <row r="29" spans="1:29" x14ac:dyDescent="0.15">
      <c r="A29" s="5"/>
      <c r="B29" s="6">
        <v>42454</v>
      </c>
      <c r="C29" s="3" t="s">
        <v>6</v>
      </c>
      <c r="D29" s="3" t="s">
        <v>7</v>
      </c>
      <c r="E29" s="4">
        <v>1058400</v>
      </c>
      <c r="F29" s="34">
        <f t="shared" si="6"/>
        <v>1076078</v>
      </c>
      <c r="G29" s="46">
        <f t="shared" si="15"/>
        <v>1055260.5808584949</v>
      </c>
      <c r="H29" s="166">
        <f t="shared" si="7"/>
        <v>1043991.4219402082</v>
      </c>
      <c r="I29" s="5">
        <v>31400</v>
      </c>
      <c r="J29" s="23">
        <v>34.299999999999997</v>
      </c>
      <c r="K29" s="13">
        <v>34.270000000000003</v>
      </c>
      <c r="L29" s="173">
        <f t="shared" si="0"/>
        <v>-8.7463556851294561E-4</v>
      </c>
      <c r="M29" s="11">
        <v>6018.424</v>
      </c>
      <c r="N29" s="17">
        <v>6077.4309999999996</v>
      </c>
      <c r="O29" s="171">
        <f t="shared" si="1"/>
        <v>9.8043939742363789E-3</v>
      </c>
      <c r="P29" s="1">
        <f t="shared" si="2"/>
        <v>-1.0679029542749324E-2</v>
      </c>
      <c r="Q29" s="40">
        <f t="shared" si="3"/>
        <v>-1.0679029542749324E-2</v>
      </c>
      <c r="R29" s="47">
        <f t="shared" si="16"/>
        <v>-11269.158918286679</v>
      </c>
      <c r="S29" s="41">
        <f t="shared" si="4"/>
        <v>1.6702569916855762E-2</v>
      </c>
      <c r="T29" s="42">
        <f t="shared" si="5"/>
        <v>2.8513301735514116E-2</v>
      </c>
      <c r="U29" s="40">
        <f t="shared" si="8"/>
        <v>-1.1810731818658354E-2</v>
      </c>
      <c r="V29" s="38">
        <f t="shared" si="9"/>
        <v>-12500.478556868002</v>
      </c>
      <c r="W29" s="38">
        <f t="shared" si="10"/>
        <v>17625.563632290832</v>
      </c>
      <c r="X29" s="200">
        <f t="shared" si="11"/>
        <v>-8.7463556851294561E-4</v>
      </c>
      <c r="Y29" s="168">
        <f t="shared" si="12"/>
        <v>9.8043939742363789E-3</v>
      </c>
      <c r="Z29" s="200">
        <f t="shared" si="13"/>
        <v>-1.0679029542749324E-2</v>
      </c>
      <c r="AA29" s="200">
        <f t="shared" si="17"/>
        <v>-1.0679029542749324E-2</v>
      </c>
      <c r="AB29" s="180">
        <f t="shared" si="14"/>
        <v>-11511.22740615295</v>
      </c>
      <c r="AC29" s="1">
        <f t="shared" si="18"/>
        <v>2.6873309054827502E-2</v>
      </c>
    </row>
    <row r="30" spans="1:29" x14ac:dyDescent="0.15">
      <c r="A30" s="5"/>
      <c r="B30" s="6">
        <v>42457</v>
      </c>
      <c r="C30" s="3" t="s">
        <v>6</v>
      </c>
      <c r="D30" s="3" t="s">
        <v>7</v>
      </c>
      <c r="E30" s="4">
        <v>1058400</v>
      </c>
      <c r="F30" s="34">
        <f t="shared" si="6"/>
        <v>1062890</v>
      </c>
      <c r="G30" s="46">
        <f t="shared" si="15"/>
        <v>1043991.4219402082</v>
      </c>
      <c r="H30" s="166">
        <f t="shared" si="7"/>
        <v>1038008.3224620743</v>
      </c>
      <c r="I30" s="5">
        <v>31400</v>
      </c>
      <c r="J30" s="23">
        <v>34.270000000000003</v>
      </c>
      <c r="K30" s="13">
        <v>33.85</v>
      </c>
      <c r="L30" s="173">
        <f t="shared" si="0"/>
        <v>-1.2255617157864069E-2</v>
      </c>
      <c r="M30" s="11">
        <v>6077.4309999999996</v>
      </c>
      <c r="N30" s="17">
        <v>6037.7780000000002</v>
      </c>
      <c r="O30" s="171">
        <f t="shared" si="1"/>
        <v>-6.5246318715916872E-3</v>
      </c>
      <c r="P30" s="1">
        <f t="shared" si="2"/>
        <v>-5.7309852862723817E-3</v>
      </c>
      <c r="Q30" s="40">
        <f t="shared" si="3"/>
        <v>-5.7309852862723817E-3</v>
      </c>
      <c r="R30" s="47">
        <f t="shared" si="16"/>
        <v>-5983.099478133915</v>
      </c>
      <c r="S30" s="41">
        <f t="shared" si="4"/>
        <v>4.242252456538251E-3</v>
      </c>
      <c r="T30" s="42">
        <f t="shared" si="5"/>
        <v>2.1802631066654584E-2</v>
      </c>
      <c r="U30" s="40">
        <f t="shared" si="8"/>
        <v>-1.7560378610116334E-2</v>
      </c>
      <c r="V30" s="38">
        <f t="shared" si="9"/>
        <v>-18585.904720947128</v>
      </c>
      <c r="W30" s="38">
        <f t="shared" si="10"/>
        <v>4428.8751743307103</v>
      </c>
      <c r="X30" s="200">
        <f t="shared" si="11"/>
        <v>-1.2255617157864069E-2</v>
      </c>
      <c r="Y30" s="168">
        <f t="shared" si="12"/>
        <v>-6.5246318715916872E-3</v>
      </c>
      <c r="Z30" s="200">
        <f t="shared" si="13"/>
        <v>-5.7309852862723817E-3</v>
      </c>
      <c r="AA30" s="168">
        <f t="shared" si="17"/>
        <v>-5.7309852862723817E-3</v>
      </c>
      <c r="AB30" s="180">
        <f t="shared" si="14"/>
        <v>-6085.4261640791265</v>
      </c>
      <c r="AC30" s="1">
        <f t="shared" si="18"/>
        <v>2.114232376855512E-2</v>
      </c>
    </row>
    <row r="31" spans="1:29" x14ac:dyDescent="0.15">
      <c r="A31" s="5"/>
      <c r="B31" s="6">
        <v>42458</v>
      </c>
      <c r="C31" s="3" t="s">
        <v>6</v>
      </c>
      <c r="D31" s="3" t="s">
        <v>7</v>
      </c>
      <c r="E31" s="4">
        <v>1058400</v>
      </c>
      <c r="F31" s="34">
        <f t="shared" si="6"/>
        <v>1034944</v>
      </c>
      <c r="G31" s="46">
        <f t="shared" si="15"/>
        <v>1038008.3224620743</v>
      </c>
      <c r="H31" s="166">
        <f t="shared" si="7"/>
        <v>1030643.818028248</v>
      </c>
      <c r="I31" s="5">
        <v>31400</v>
      </c>
      <c r="J31" s="23">
        <v>33.85</v>
      </c>
      <c r="K31" s="13">
        <v>32.96</v>
      </c>
      <c r="L31" s="173">
        <f t="shared" si="0"/>
        <v>-2.629246676514034E-2</v>
      </c>
      <c r="M31" s="11">
        <v>6037.7780000000002</v>
      </c>
      <c r="N31" s="17">
        <v>5921.8670000000002</v>
      </c>
      <c r="O31" s="171">
        <f t="shared" si="1"/>
        <v>-1.9197625351578023E-2</v>
      </c>
      <c r="P31" s="1">
        <f t="shared" si="2"/>
        <v>-7.0948414135623174E-3</v>
      </c>
      <c r="Q31" s="40">
        <f t="shared" si="3"/>
        <v>-7.0948414135623174E-3</v>
      </c>
      <c r="R31" s="47">
        <f t="shared" si="16"/>
        <v>-7364.5044338262733</v>
      </c>
      <c r="S31" s="41">
        <f t="shared" si="4"/>
        <v>-2.2161753590324958E-2</v>
      </c>
      <c r="T31" s="42">
        <f t="shared" si="5"/>
        <v>2.1864469721802507E-3</v>
      </c>
      <c r="U31" s="40">
        <f t="shared" si="8"/>
        <v>-2.4348200562505209E-2</v>
      </c>
      <c r="V31" s="38">
        <f t="shared" si="9"/>
        <v>-25770.135475355513</v>
      </c>
      <c r="W31" s="38">
        <f t="shared" si="10"/>
        <v>-23004.084667111063</v>
      </c>
      <c r="X31" s="200">
        <f t="shared" si="11"/>
        <v>-2.629246676514034E-2</v>
      </c>
      <c r="Y31" s="168">
        <f t="shared" si="12"/>
        <v>-1.9197625351578023E-2</v>
      </c>
      <c r="Z31" s="200">
        <f t="shared" si="13"/>
        <v>-7.0948414135623174E-3</v>
      </c>
      <c r="AA31" s="200">
        <f t="shared" si="17"/>
        <v>-7.0948414135623174E-3</v>
      </c>
      <c r="AB31" s="180">
        <f t="shared" si="14"/>
        <v>-7184.2307544083851</v>
      </c>
      <c r="AC31" s="1">
        <f t="shared" si="18"/>
        <v>1.4047482354992803E-2</v>
      </c>
    </row>
    <row r="32" spans="1:29" x14ac:dyDescent="0.15">
      <c r="A32" s="5"/>
      <c r="B32" s="6">
        <v>42459</v>
      </c>
      <c r="C32" s="3" t="s">
        <v>6</v>
      </c>
      <c r="D32" s="3" t="s">
        <v>7</v>
      </c>
      <c r="E32" s="4">
        <v>1058400</v>
      </c>
      <c r="F32" s="34">
        <f t="shared" si="6"/>
        <v>1129144</v>
      </c>
      <c r="G32" s="46">
        <f t="shared" si="15"/>
        <v>1030643.818028248</v>
      </c>
      <c r="H32" s="166">
        <f t="shared" si="7"/>
        <v>1086923.0525952773</v>
      </c>
      <c r="I32" s="5">
        <v>31400</v>
      </c>
      <c r="J32" s="23">
        <v>32.96</v>
      </c>
      <c r="K32" s="13">
        <v>35.96</v>
      </c>
      <c r="L32" s="173">
        <f t="shared" si="0"/>
        <v>9.1019417475728157E-2</v>
      </c>
      <c r="M32" s="11">
        <v>5921.8670000000002</v>
      </c>
      <c r="N32" s="17">
        <v>6137.5029999999997</v>
      </c>
      <c r="O32" s="171">
        <f t="shared" si="1"/>
        <v>3.6413516210343715E-2</v>
      </c>
      <c r="P32" s="1">
        <f t="shared" si="2"/>
        <v>5.4605901265384442E-2</v>
      </c>
      <c r="Q32" s="40">
        <f t="shared" si="3"/>
        <v>5.4605901265384442E-2</v>
      </c>
      <c r="R32" s="47">
        <f t="shared" si="16"/>
        <v>56279.234567029365</v>
      </c>
      <c r="S32" s="41">
        <f t="shared" si="4"/>
        <v>6.6840513983371194E-2</v>
      </c>
      <c r="T32" s="42">
        <f t="shared" si="5"/>
        <v>3.8679579404788507E-2</v>
      </c>
      <c r="U32" s="40">
        <f t="shared" si="8"/>
        <v>2.8160934578582687E-2</v>
      </c>
      <c r="V32" s="38">
        <f t="shared" si="9"/>
        <v>29805.533157971917</v>
      </c>
      <c r="W32" s="38">
        <f t="shared" si="10"/>
        <v>68888.762530792184</v>
      </c>
      <c r="X32" s="200">
        <f t="shared" si="11"/>
        <v>9.1019417475728157E-2</v>
      </c>
      <c r="Y32" s="168">
        <f t="shared" si="12"/>
        <v>3.6413516210343715E-2</v>
      </c>
      <c r="Z32" s="200">
        <f t="shared" si="13"/>
        <v>5.4605901265384442E-2</v>
      </c>
      <c r="AA32" s="168">
        <f t="shared" si="17"/>
        <v>5.4605901265384442E-2</v>
      </c>
      <c r="AB32" s="180">
        <f t="shared" si="14"/>
        <v>55575.668633327427</v>
      </c>
      <c r="AC32" s="1">
        <f t="shared" si="18"/>
        <v>6.8653383620377248E-2</v>
      </c>
    </row>
    <row r="33" spans="1:29" x14ac:dyDescent="0.15">
      <c r="A33" s="5"/>
      <c r="B33" s="6">
        <v>42460</v>
      </c>
      <c r="C33" s="3" t="s">
        <v>6</v>
      </c>
      <c r="D33" s="3" t="s">
        <v>7</v>
      </c>
      <c r="E33" s="4">
        <v>1058400</v>
      </c>
      <c r="F33" s="34">
        <f t="shared" si="6"/>
        <v>1122550</v>
      </c>
      <c r="G33" s="46">
        <f t="shared" si="15"/>
        <v>1086923.0525952773</v>
      </c>
      <c r="H33" s="166">
        <f t="shared" si="7"/>
        <v>1077332.8230247917</v>
      </c>
      <c r="I33" s="5">
        <v>31400</v>
      </c>
      <c r="J33" s="23">
        <v>35.96</v>
      </c>
      <c r="K33" s="13">
        <v>35.75</v>
      </c>
      <c r="L33" s="173">
        <f t="shared" si="0"/>
        <v>-5.8398220244716588E-3</v>
      </c>
      <c r="M33" s="11">
        <v>6137.5029999999997</v>
      </c>
      <c r="N33" s="17">
        <v>6155.8140000000003</v>
      </c>
      <c r="O33" s="171">
        <f t="shared" si="1"/>
        <v>2.98346086348155E-3</v>
      </c>
      <c r="P33" s="1">
        <f t="shared" si="2"/>
        <v>-8.8232828879532092E-3</v>
      </c>
      <c r="Q33" s="40">
        <f t="shared" si="3"/>
        <v>-8.8232828879532092E-3</v>
      </c>
      <c r="R33" s="47">
        <f t="shared" si="16"/>
        <v>-9590.229570485777</v>
      </c>
      <c r="S33" s="41">
        <f t="shared" si="4"/>
        <v>6.0610355253212435E-2</v>
      </c>
      <c r="T33" s="42">
        <f t="shared" si="5"/>
        <v>4.1778439279640173E-2</v>
      </c>
      <c r="U33" s="40">
        <f t="shared" si="8"/>
        <v>1.8831915973572262E-2</v>
      </c>
      <c r="V33" s="38">
        <f t="shared" si="9"/>
        <v>19931.699866428884</v>
      </c>
      <c r="W33" s="38">
        <f t="shared" si="10"/>
        <v>65878.792350705859</v>
      </c>
      <c r="X33" s="200">
        <f t="shared" si="11"/>
        <v>-5.8398220244716588E-3</v>
      </c>
      <c r="Y33" s="168">
        <f t="shared" si="12"/>
        <v>2.98346086348155E-3</v>
      </c>
      <c r="Z33" s="200">
        <f t="shared" si="13"/>
        <v>-8.8232828879532092E-3</v>
      </c>
      <c r="AA33" s="200">
        <f t="shared" si="17"/>
        <v>-8.8232828879532092E-3</v>
      </c>
      <c r="AB33" s="180">
        <f t="shared" si="14"/>
        <v>-9873.8332915430328</v>
      </c>
      <c r="AC33" s="1">
        <f t="shared" si="18"/>
        <v>5.9830100732424035E-2</v>
      </c>
    </row>
    <row r="34" spans="1:29" x14ac:dyDescent="0.15">
      <c r="A34" s="5"/>
      <c r="B34" s="6">
        <v>42461</v>
      </c>
      <c r="C34" s="3" t="s">
        <v>6</v>
      </c>
      <c r="D34" s="3" t="s">
        <v>7</v>
      </c>
      <c r="E34" s="4">
        <v>1058400</v>
      </c>
      <c r="F34" s="34">
        <f t="shared" si="6"/>
        <v>1116584</v>
      </c>
      <c r="G34" s="46">
        <f t="shared" si="15"/>
        <v>1077332.8230247917</v>
      </c>
      <c r="H34" s="166">
        <f t="shared" si="7"/>
        <v>1077082.5203398124</v>
      </c>
      <c r="I34" s="5">
        <v>31400</v>
      </c>
      <c r="J34" s="23">
        <v>35.75</v>
      </c>
      <c r="K34" s="13">
        <v>35.56</v>
      </c>
      <c r="L34" s="173">
        <f t="shared" si="0"/>
        <v>-5.3146853146852514E-3</v>
      </c>
      <c r="M34" s="11">
        <v>6155.8140000000003</v>
      </c>
      <c r="N34" s="17">
        <v>6124.5280000000002</v>
      </c>
      <c r="O34" s="171">
        <f t="shared" si="1"/>
        <v>-5.082349791595402E-3</v>
      </c>
      <c r="P34" s="1">
        <f t="shared" si="2"/>
        <v>-2.3233552308984939E-4</v>
      </c>
      <c r="Q34" s="40">
        <f t="shared" si="3"/>
        <v>-2.3233552308984939E-4</v>
      </c>
      <c r="R34" s="47">
        <f t="shared" si="16"/>
        <v>-250.30268497932911</v>
      </c>
      <c r="S34" s="41">
        <f t="shared" si="4"/>
        <v>5.4973544973545084E-2</v>
      </c>
      <c r="T34" s="42">
        <f t="shared" si="5"/>
        <v>3.6483756845878706E-2</v>
      </c>
      <c r="U34" s="40">
        <f t="shared" si="8"/>
        <v>1.8489788127666378E-2</v>
      </c>
      <c r="V34" s="38">
        <f t="shared" si="9"/>
        <v>19569.591754322093</v>
      </c>
      <c r="W34" s="38">
        <f t="shared" si="10"/>
        <v>59224.804398029672</v>
      </c>
      <c r="X34" s="200">
        <f t="shared" si="11"/>
        <v>-5.3146853146852514E-3</v>
      </c>
      <c r="Y34" s="168">
        <f t="shared" si="12"/>
        <v>-5.082349791595402E-3</v>
      </c>
      <c r="Z34" s="200">
        <f t="shared" si="13"/>
        <v>-2.3233552308984939E-4</v>
      </c>
      <c r="AA34" s="168">
        <f t="shared" si="17"/>
        <v>-2.3233552308984939E-4</v>
      </c>
      <c r="AB34" s="180">
        <f t="shared" si="14"/>
        <v>-362.10811210679094</v>
      </c>
      <c r="AC34" s="1">
        <f t="shared" si="18"/>
        <v>5.9597765209334186E-2</v>
      </c>
    </row>
    <row r="35" spans="1:29" x14ac:dyDescent="0.15">
      <c r="A35" s="5"/>
      <c r="B35" s="6">
        <v>42465</v>
      </c>
      <c r="C35" s="3" t="s">
        <v>6</v>
      </c>
      <c r="D35" s="3" t="s">
        <v>7</v>
      </c>
      <c r="E35" s="4">
        <v>1058400</v>
      </c>
      <c r="F35" s="34">
        <f t="shared" si="6"/>
        <v>1149868</v>
      </c>
      <c r="G35" s="46">
        <f t="shared" si="15"/>
        <v>1077082.5203398124</v>
      </c>
      <c r="H35" s="166">
        <f t="shared" si="7"/>
        <v>1080689.4280889838</v>
      </c>
      <c r="I35" s="5">
        <v>31400</v>
      </c>
      <c r="J35" s="23">
        <v>35.56</v>
      </c>
      <c r="K35" s="13">
        <v>36.619999999999997</v>
      </c>
      <c r="L35" s="173">
        <f t="shared" si="0"/>
        <v>2.9808773903261955E-2</v>
      </c>
      <c r="M35" s="11">
        <v>6124.5280000000002</v>
      </c>
      <c r="N35" s="17">
        <v>6286.5829999999996</v>
      </c>
      <c r="O35" s="171">
        <f t="shared" si="1"/>
        <v>2.6459998223536473E-2</v>
      </c>
      <c r="P35" s="1">
        <f t="shared" si="2"/>
        <v>3.3487756797254825E-3</v>
      </c>
      <c r="Q35" s="40">
        <f t="shared" si="3"/>
        <v>3.3487756797254825E-3</v>
      </c>
      <c r="R35" s="47">
        <f t="shared" si="16"/>
        <v>3606.9077491713911</v>
      </c>
      <c r="S35" s="41">
        <f t="shared" si="4"/>
        <v>8.6421012849584242E-2</v>
      </c>
      <c r="T35" s="42">
        <f t="shared" si="5"/>
        <v>6.3909115210745063E-2</v>
      </c>
      <c r="U35" s="40">
        <f t="shared" si="8"/>
        <v>2.2511897638839179E-2</v>
      </c>
      <c r="V35" s="38">
        <f t="shared" si="9"/>
        <v>23826.592460947388</v>
      </c>
      <c r="W35" s="38">
        <f t="shared" si="10"/>
        <v>93082.562330349509</v>
      </c>
      <c r="X35" s="200">
        <f t="shared" si="11"/>
        <v>2.9808773903261955E-2</v>
      </c>
      <c r="Y35" s="168">
        <f t="shared" si="12"/>
        <v>2.6459998223536473E-2</v>
      </c>
      <c r="Z35" s="200">
        <f t="shared" si="13"/>
        <v>3.3487756797254825E-3</v>
      </c>
      <c r="AA35" s="200">
        <f t="shared" si="17"/>
        <v>3.3487756797254825E-3</v>
      </c>
      <c r="AB35" s="180">
        <f t="shared" si="14"/>
        <v>4257.0007066252947</v>
      </c>
      <c r="AC35" s="1">
        <f t="shared" si="18"/>
        <v>6.2946540889059668E-2</v>
      </c>
    </row>
    <row r="36" spans="1:29" x14ac:dyDescent="0.15">
      <c r="A36" s="5"/>
      <c r="B36" s="6">
        <v>42466</v>
      </c>
      <c r="C36" s="3" t="s">
        <v>6</v>
      </c>
      <c r="D36" s="3" t="s">
        <v>7</v>
      </c>
      <c r="E36" s="4">
        <v>1058400</v>
      </c>
      <c r="F36" s="34">
        <f t="shared" si="6"/>
        <v>1155834</v>
      </c>
      <c r="G36" s="46">
        <f t="shared" si="15"/>
        <v>1080689.4280889838</v>
      </c>
      <c r="H36" s="166">
        <f t="shared" si="7"/>
        <v>1079961.6622937175</v>
      </c>
      <c r="I36" s="5">
        <v>31400</v>
      </c>
      <c r="J36" s="23">
        <v>36.619999999999997</v>
      </c>
      <c r="K36" s="13">
        <v>36.81</v>
      </c>
      <c r="L36" s="173">
        <f t="shared" si="0"/>
        <v>5.188421627526074E-3</v>
      </c>
      <c r="M36" s="11">
        <v>6286.5829999999996</v>
      </c>
      <c r="N36" s="17">
        <v>6323.4340000000002</v>
      </c>
      <c r="O36" s="171">
        <f t="shared" si="1"/>
        <v>5.8618489567385922E-3</v>
      </c>
      <c r="P36" s="1">
        <f t="shared" si="2"/>
        <v>-6.7342732921251824E-4</v>
      </c>
      <c r="Q36" s="40">
        <f t="shared" si="3"/>
        <v>-6.7342732921251824E-4</v>
      </c>
      <c r="R36" s="47">
        <f t="shared" si="16"/>
        <v>-727.76579526616808</v>
      </c>
      <c r="S36" s="41">
        <f t="shared" si="4"/>
        <v>9.2057823129251815E-2</v>
      </c>
      <c r="T36" s="42">
        <f t="shared" si="5"/>
        <v>7.0145589747807852E-2</v>
      </c>
      <c r="U36" s="40">
        <f t="shared" si="8"/>
        <v>2.1912233381443963E-2</v>
      </c>
      <c r="V36" s="38">
        <f t="shared" si="9"/>
        <v>23191.907810920289</v>
      </c>
      <c r="W36" s="38">
        <f t="shared" si="10"/>
        <v>99485.916228667964</v>
      </c>
      <c r="X36" s="200">
        <f t="shared" si="11"/>
        <v>5.188421627526074E-3</v>
      </c>
      <c r="Y36" s="168">
        <f t="shared" si="12"/>
        <v>5.8618489567385922E-3</v>
      </c>
      <c r="Z36" s="200">
        <f t="shared" si="13"/>
        <v>-6.7342732921251824E-4</v>
      </c>
      <c r="AA36" s="168">
        <f t="shared" si="17"/>
        <v>-6.7342732921251824E-4</v>
      </c>
      <c r="AB36" s="180">
        <f t="shared" si="14"/>
        <v>-634.68465002709854</v>
      </c>
      <c r="AC36" s="1">
        <f t="shared" si="18"/>
        <v>6.2273113559847153E-2</v>
      </c>
    </row>
    <row r="37" spans="1:29" x14ac:dyDescent="0.15">
      <c r="A37" s="5"/>
      <c r="B37" s="6">
        <v>42467</v>
      </c>
      <c r="C37" s="3" t="s">
        <v>6</v>
      </c>
      <c r="D37" s="3" t="s">
        <v>7</v>
      </c>
      <c r="E37" s="4">
        <v>1058400</v>
      </c>
      <c r="F37" s="34">
        <f t="shared" si="6"/>
        <v>1117840</v>
      </c>
      <c r="G37" s="46">
        <f t="shared" si="15"/>
        <v>1079961.6622937175</v>
      </c>
      <c r="H37" s="166">
        <f t="shared" si="7"/>
        <v>1060594.2600509177</v>
      </c>
      <c r="I37" s="5">
        <v>31400</v>
      </c>
      <c r="J37" s="23">
        <v>36.81</v>
      </c>
      <c r="K37" s="13">
        <v>35.6</v>
      </c>
      <c r="L37" s="173">
        <f t="shared" si="0"/>
        <v>-3.2871502309155143E-2</v>
      </c>
      <c r="M37" s="11">
        <v>6323.4340000000002</v>
      </c>
      <c r="N37" s="17">
        <v>6228.9740000000002</v>
      </c>
      <c r="O37" s="171">
        <f t="shared" si="1"/>
        <v>-1.4938085856514046E-2</v>
      </c>
      <c r="P37" s="1">
        <f t="shared" si="2"/>
        <v>-1.7933416452641099E-2</v>
      </c>
      <c r="Q37" s="40">
        <f t="shared" si="3"/>
        <v>-1.7933416452641099E-2</v>
      </c>
      <c r="R37" s="47">
        <f t="shared" si="16"/>
        <v>-19367.402242799784</v>
      </c>
      <c r="S37" s="41">
        <f t="shared" si="4"/>
        <v>5.6160241874527672E-2</v>
      </c>
      <c r="T37" s="42">
        <f t="shared" si="5"/>
        <v>5.4159663049185243E-2</v>
      </c>
      <c r="U37" s="40">
        <f t="shared" si="8"/>
        <v>2.0005788253424292E-3</v>
      </c>
      <c r="V37" s="38">
        <f t="shared" si="9"/>
        <v>2117.4126287424269</v>
      </c>
      <c r="W37" s="38">
        <f t="shared" si="10"/>
        <v>60650.908169632145</v>
      </c>
      <c r="X37" s="200">
        <f t="shared" si="11"/>
        <v>-3.2871502309155143E-2</v>
      </c>
      <c r="Y37" s="168">
        <f t="shared" si="12"/>
        <v>-1.4938085856514046E-2</v>
      </c>
      <c r="Z37" s="200">
        <f t="shared" si="13"/>
        <v>-1.7933416452641099E-2</v>
      </c>
      <c r="AA37" s="200">
        <f t="shared" si="17"/>
        <v>-1.7933416452641099E-2</v>
      </c>
      <c r="AB37" s="180">
        <f t="shared" si="14"/>
        <v>-21074.495182177863</v>
      </c>
      <c r="AC37" s="1">
        <f t="shared" si="18"/>
        <v>4.4339697107206054E-2</v>
      </c>
    </row>
    <row r="38" spans="1:29" x14ac:dyDescent="0.15">
      <c r="A38" s="5"/>
      <c r="B38" s="6">
        <v>42468</v>
      </c>
      <c r="C38" s="3" t="s">
        <v>6</v>
      </c>
      <c r="D38" s="3" t="s">
        <v>7</v>
      </c>
      <c r="E38" s="4">
        <v>1058400</v>
      </c>
      <c r="F38" s="34">
        <f t="shared" si="6"/>
        <v>1099000</v>
      </c>
      <c r="G38" s="46">
        <f t="shared" si="15"/>
        <v>1060594.2600509177</v>
      </c>
      <c r="H38" s="166">
        <f t="shared" si="7"/>
        <v>1052974.6514452286</v>
      </c>
      <c r="I38" s="5">
        <v>31400</v>
      </c>
      <c r="J38" s="23">
        <v>35.6</v>
      </c>
      <c r="K38" s="13">
        <v>35</v>
      </c>
      <c r="L38" s="173">
        <f t="shared" si="0"/>
        <v>-1.6853932584269701E-2</v>
      </c>
      <c r="M38" s="11">
        <v>6228.9740000000002</v>
      </c>
      <c r="N38" s="17">
        <v>6168.7420000000002</v>
      </c>
      <c r="O38" s="171">
        <f t="shared" si="1"/>
        <v>-9.6696502505870096E-3</v>
      </c>
      <c r="P38" s="1">
        <f t="shared" si="2"/>
        <v>-7.184282333682691E-3</v>
      </c>
      <c r="Q38" s="40">
        <f t="shared" si="3"/>
        <v>-7.184282333682691E-3</v>
      </c>
      <c r="R38" s="47">
        <f t="shared" si="16"/>
        <v>-7619.6086056890745</v>
      </c>
      <c r="S38" s="41">
        <f t="shared" si="4"/>
        <v>3.8359788359788399E-2</v>
      </c>
      <c r="T38" s="42">
        <f t="shared" si="5"/>
        <v>4.3966307799222969E-2</v>
      </c>
      <c r="U38" s="40">
        <f t="shared" si="8"/>
        <v>-5.6065194394345694E-3</v>
      </c>
      <c r="V38" s="38">
        <f t="shared" si="9"/>
        <v>-5933.9401746975482</v>
      </c>
      <c r="W38" s="38">
        <f t="shared" si="10"/>
        <v>40684.171351159588</v>
      </c>
      <c r="X38" s="200">
        <f t="shared" si="11"/>
        <v>-1.6853932584269701E-2</v>
      </c>
      <c r="Y38" s="168">
        <f t="shared" si="12"/>
        <v>-9.6696502505870096E-3</v>
      </c>
      <c r="Z38" s="200">
        <f t="shared" si="13"/>
        <v>-7.184282333682691E-3</v>
      </c>
      <c r="AA38" s="168">
        <f t="shared" si="17"/>
        <v>-7.184282333682691E-3</v>
      </c>
      <c r="AB38" s="180">
        <f t="shared" si="14"/>
        <v>-8051.3528034399751</v>
      </c>
      <c r="AC38" s="1">
        <f t="shared" si="18"/>
        <v>3.7155414773523361E-2</v>
      </c>
    </row>
    <row r="39" spans="1:29" x14ac:dyDescent="0.15">
      <c r="A39" s="5"/>
      <c r="B39" s="6">
        <v>42471</v>
      </c>
      <c r="C39" s="3" t="s">
        <v>6</v>
      </c>
      <c r="D39" s="3" t="s">
        <v>7</v>
      </c>
      <c r="E39" s="4">
        <v>1058400</v>
      </c>
      <c r="F39" s="34">
        <f t="shared" si="6"/>
        <v>1112502</v>
      </c>
      <c r="G39" s="46">
        <f t="shared" si="15"/>
        <v>1052974.6514452286</v>
      </c>
      <c r="H39" s="166">
        <f t="shared" si="7"/>
        <v>1042772.0971972842</v>
      </c>
      <c r="I39" s="5">
        <v>31400</v>
      </c>
      <c r="J39" s="23">
        <v>35</v>
      </c>
      <c r="K39" s="13">
        <v>35.43</v>
      </c>
      <c r="L39" s="173">
        <f t="shared" si="0"/>
        <v>1.2285714285714278E-2</v>
      </c>
      <c r="M39" s="11">
        <v>6168.7420000000002</v>
      </c>
      <c r="N39" s="17">
        <v>6304.3</v>
      </c>
      <c r="O39" s="171">
        <f t="shared" si="1"/>
        <v>2.1974982905752904E-2</v>
      </c>
      <c r="P39" s="1">
        <f t="shared" si="2"/>
        <v>-9.6892686200386255E-3</v>
      </c>
      <c r="Q39" s="40">
        <f t="shared" ref="Q39:Q93" si="19">P39</f>
        <v>-9.6892686200386255E-3</v>
      </c>
      <c r="R39" s="47">
        <f t="shared" si="16"/>
        <v>-10202.554247944363</v>
      </c>
      <c r="S39" s="41">
        <f t="shared" ref="S39:S93" si="20">(K39-$J$7)/$J$7</f>
        <v>5.1116780045351508E-2</v>
      </c>
      <c r="T39" s="42">
        <f t="shared" ref="T39:T93" si="21">(N39-$M$7)/$M$7</f>
        <v>6.6907449567292873E-2</v>
      </c>
      <c r="U39" s="40">
        <f t="shared" si="8"/>
        <v>-1.5790669521941365E-2</v>
      </c>
      <c r="V39" s="38">
        <f t="shared" si="9"/>
        <v>-16712.844622022742</v>
      </c>
      <c r="W39" s="38">
        <f t="shared" si="10"/>
        <v>53824.673651256424</v>
      </c>
      <c r="X39" s="200">
        <f t="shared" si="11"/>
        <v>1.2285714285714278E-2</v>
      </c>
      <c r="Y39" s="168">
        <f t="shared" si="12"/>
        <v>2.1974982905752904E-2</v>
      </c>
      <c r="Z39" s="200">
        <f t="shared" si="13"/>
        <v>-9.6892686200386255E-3</v>
      </c>
      <c r="AA39" s="200">
        <f t="shared" si="17"/>
        <v>-9.6892686200386255E-3</v>
      </c>
      <c r="AB39" s="180">
        <f t="shared" si="14"/>
        <v>-10778.904447325192</v>
      </c>
      <c r="AC39" s="1">
        <f t="shared" si="18"/>
        <v>2.7466146153484736E-2</v>
      </c>
    </row>
    <row r="40" spans="1:29" x14ac:dyDescent="0.15">
      <c r="A40" s="5"/>
      <c r="B40" s="6">
        <v>42472</v>
      </c>
      <c r="C40" s="3" t="s">
        <v>6</v>
      </c>
      <c r="D40" s="3" t="s">
        <v>7</v>
      </c>
      <c r="E40" s="4">
        <v>1058400</v>
      </c>
      <c r="F40" s="34">
        <f t="shared" si="6"/>
        <v>1117840</v>
      </c>
      <c r="G40" s="46">
        <f t="shared" si="15"/>
        <v>1042772.0971972842</v>
      </c>
      <c r="H40" s="166">
        <f t="shared" si="7"/>
        <v>1056298.4195244645</v>
      </c>
      <c r="I40" s="5">
        <v>31400</v>
      </c>
      <c r="J40" s="23">
        <v>35.43</v>
      </c>
      <c r="K40" s="13">
        <v>35.6</v>
      </c>
      <c r="L40" s="173">
        <f t="shared" si="0"/>
        <v>4.7981936212249986E-3</v>
      </c>
      <c r="M40" s="11">
        <v>6304.3</v>
      </c>
      <c r="N40" s="17">
        <v>6252.7730000000001</v>
      </c>
      <c r="O40" s="171">
        <f t="shared" si="1"/>
        <v>-8.1733102802848921E-3</v>
      </c>
      <c r="P40" s="1">
        <f t="shared" si="2"/>
        <v>1.297150390150989E-2</v>
      </c>
      <c r="Q40" s="40">
        <f t="shared" si="19"/>
        <v>1.297150390150989E-2</v>
      </c>
      <c r="R40" s="47">
        <f t="shared" si="16"/>
        <v>13526.322327180222</v>
      </c>
      <c r="S40" s="41">
        <f t="shared" si="20"/>
        <v>5.6160241874527672E-2</v>
      </c>
      <c r="T40" s="42">
        <f t="shared" si="21"/>
        <v>5.818728394163198E-2</v>
      </c>
      <c r="U40" s="40">
        <f t="shared" si="8"/>
        <v>-2.027042067104308E-3</v>
      </c>
      <c r="V40" s="38">
        <f t="shared" si="9"/>
        <v>-2145.4213238231996</v>
      </c>
      <c r="W40" s="38">
        <f t="shared" si="10"/>
        <v>58562.333198607965</v>
      </c>
      <c r="X40" s="200">
        <f t="shared" ref="X40:X74" si="22">(K40-K39)/K39</f>
        <v>4.7981936212249986E-3</v>
      </c>
      <c r="Y40" s="168">
        <f t="shared" ref="Y40:Y74" si="23">(N40-N39)/N39</f>
        <v>-8.1733102802848921E-3</v>
      </c>
      <c r="Z40" s="200">
        <f t="shared" si="13"/>
        <v>1.297150390150989E-2</v>
      </c>
      <c r="AA40" s="168">
        <f t="shared" si="17"/>
        <v>1.297150390150989E-2</v>
      </c>
      <c r="AB40" s="180">
        <f t="shared" ref="AB40:AB73" si="24">V40-V39</f>
        <v>14567.423298199541</v>
      </c>
      <c r="AC40" s="1">
        <f t="shared" si="18"/>
        <v>4.0437650054994626E-2</v>
      </c>
    </row>
    <row r="41" spans="1:29" x14ac:dyDescent="0.15">
      <c r="A41" s="5"/>
      <c r="B41" s="6">
        <v>42473</v>
      </c>
      <c r="C41" s="3" t="s">
        <v>6</v>
      </c>
      <c r="D41" s="3" t="s">
        <v>7</v>
      </c>
      <c r="E41" s="4">
        <v>1058400</v>
      </c>
      <c r="F41" s="34">
        <f t="shared" si="6"/>
        <v>1127574</v>
      </c>
      <c r="G41" s="46">
        <f t="shared" si="15"/>
        <v>1056298.4195244645</v>
      </c>
      <c r="H41" s="166">
        <f t="shared" si="7"/>
        <v>1050047.1128363309</v>
      </c>
      <c r="I41" s="5">
        <v>31400</v>
      </c>
      <c r="J41" s="23">
        <v>35.6</v>
      </c>
      <c r="K41" s="13">
        <v>35.909999999999997</v>
      </c>
      <c r="L41" s="173">
        <f t="shared" si="0"/>
        <v>8.7078651685391899E-3</v>
      </c>
      <c r="M41" s="11">
        <v>6252.7730000000001</v>
      </c>
      <c r="N41" s="17">
        <v>6344.2259999999997</v>
      </c>
      <c r="O41" s="171">
        <f t="shared" si="1"/>
        <v>1.462599074042821E-2</v>
      </c>
      <c r="P41" s="1">
        <f t="shared" si="2"/>
        <v>-5.9181255718890203E-3</v>
      </c>
      <c r="Q41" s="40">
        <f t="shared" si="19"/>
        <v>-5.9181255718890203E-3</v>
      </c>
      <c r="R41" s="47">
        <f t="shared" si="16"/>
        <v>-6251.3066881336899</v>
      </c>
      <c r="S41" s="41">
        <f t="shared" si="20"/>
        <v>6.5357142857142794E-2</v>
      </c>
      <c r="T41" s="42">
        <f t="shared" si="21"/>
        <v>7.3664321358201168E-2</v>
      </c>
      <c r="U41" s="40">
        <f t="shared" si="8"/>
        <v>-8.3071785010583737E-3</v>
      </c>
      <c r="V41" s="38">
        <f t="shared" si="9"/>
        <v>-8792.3177255201826</v>
      </c>
      <c r="W41" s="38">
        <f t="shared" si="10"/>
        <v>69036.646704634579</v>
      </c>
      <c r="X41" s="200">
        <f t="shared" si="22"/>
        <v>8.7078651685391899E-3</v>
      </c>
      <c r="Y41" s="168">
        <f t="shared" si="23"/>
        <v>1.462599074042821E-2</v>
      </c>
      <c r="Z41" s="200">
        <f t="shared" si="13"/>
        <v>-5.9181255718890203E-3</v>
      </c>
      <c r="AA41" s="200">
        <f t="shared" si="17"/>
        <v>-5.9181255718890203E-3</v>
      </c>
      <c r="AB41" s="180">
        <f t="shared" si="24"/>
        <v>-6646.896401696983</v>
      </c>
      <c r="AC41" s="1">
        <f t="shared" si="18"/>
        <v>3.4519524483105607E-2</v>
      </c>
    </row>
    <row r="42" spans="1:29" x14ac:dyDescent="0.15">
      <c r="A42" s="5"/>
      <c r="B42" s="6">
        <v>42474</v>
      </c>
      <c r="C42" s="3" t="s">
        <v>6</v>
      </c>
      <c r="D42" s="3" t="s">
        <v>7</v>
      </c>
      <c r="E42" s="4">
        <v>1058400</v>
      </c>
      <c r="F42" s="34">
        <f t="shared" si="6"/>
        <v>1128516</v>
      </c>
      <c r="G42" s="46">
        <f t="shared" si="15"/>
        <v>1050047.1128363309</v>
      </c>
      <c r="H42" s="166">
        <f t="shared" si="7"/>
        <v>1041386.0397856015</v>
      </c>
      <c r="I42" s="5">
        <v>31400</v>
      </c>
      <c r="J42" s="23">
        <v>35.909999999999997</v>
      </c>
      <c r="K42" s="13">
        <v>35.94</v>
      </c>
      <c r="L42" s="173">
        <f t="shared" si="0"/>
        <v>8.3542188805349872E-4</v>
      </c>
      <c r="M42" s="11">
        <v>6344.2259999999997</v>
      </c>
      <c r="N42" s="17">
        <v>6401.8549999999996</v>
      </c>
      <c r="O42" s="171">
        <f t="shared" si="1"/>
        <v>9.0836927940460988E-3</v>
      </c>
      <c r="P42" s="1">
        <f t="shared" si="2"/>
        <v>-8.2482709059926006E-3</v>
      </c>
      <c r="Q42" s="40">
        <f t="shared" si="19"/>
        <v>-8.2482709059926006E-3</v>
      </c>
      <c r="R42" s="47">
        <f t="shared" si="16"/>
        <v>-8661.0730507294375</v>
      </c>
      <c r="S42" s="41">
        <f t="shared" si="20"/>
        <v>6.6247165532879793E-2</v>
      </c>
      <c r="T42" s="42">
        <f t="shared" si="21"/>
        <v>8.3417158217347062E-2</v>
      </c>
      <c r="U42" s="40">
        <f t="shared" si="8"/>
        <v>-1.716999268446727E-2</v>
      </c>
      <c r="V42" s="38">
        <f t="shared" si="9"/>
        <v>-18172.720257240158</v>
      </c>
      <c r="W42" s="38">
        <f t="shared" si="10"/>
        <v>69562.644901390915</v>
      </c>
      <c r="X42" s="200">
        <f t="shared" si="22"/>
        <v>8.3542188805349872E-4</v>
      </c>
      <c r="Y42" s="168">
        <f t="shared" si="23"/>
        <v>9.0836927940460988E-3</v>
      </c>
      <c r="Z42" s="200">
        <f t="shared" si="13"/>
        <v>-8.2482709059926006E-3</v>
      </c>
      <c r="AA42" s="168">
        <f t="shared" si="17"/>
        <v>-8.2482709059926006E-3</v>
      </c>
      <c r="AB42" s="180">
        <f t="shared" si="24"/>
        <v>-9380.4025317199757</v>
      </c>
      <c r="AC42" s="1">
        <f t="shared" si="18"/>
        <v>2.6271253577113005E-2</v>
      </c>
    </row>
    <row r="43" spans="1:29" x14ac:dyDescent="0.15">
      <c r="A43" s="5"/>
      <c r="B43" s="6">
        <v>42475</v>
      </c>
      <c r="C43" s="3" t="s">
        <v>6</v>
      </c>
      <c r="D43" s="3" t="s">
        <v>7</v>
      </c>
      <c r="E43" s="4">
        <v>1058400</v>
      </c>
      <c r="F43" s="34">
        <f t="shared" si="6"/>
        <v>1168394</v>
      </c>
      <c r="G43" s="46">
        <f t="shared" si="15"/>
        <v>1041386.0397856015</v>
      </c>
      <c r="H43" s="166">
        <f t="shared" si="7"/>
        <v>1081032.6851370933</v>
      </c>
      <c r="I43" s="5">
        <v>31400</v>
      </c>
      <c r="J43" s="23">
        <v>35.94</v>
      </c>
      <c r="K43" s="13">
        <v>37.21</v>
      </c>
      <c r="L43" s="173">
        <f t="shared" si="0"/>
        <v>3.5336672231497029E-2</v>
      </c>
      <c r="M43" s="11">
        <v>6401.8549999999996</v>
      </c>
      <c r="N43" s="17">
        <v>6384.35</v>
      </c>
      <c r="O43" s="171">
        <f t="shared" si="1"/>
        <v>-2.7343637117677923E-3</v>
      </c>
      <c r="P43" s="1">
        <f t="shared" si="2"/>
        <v>3.8071035943264823E-2</v>
      </c>
      <c r="Q43" s="40">
        <f t="shared" si="19"/>
        <v>3.8071035943264823E-2</v>
      </c>
      <c r="R43" s="47">
        <f t="shared" si="16"/>
        <v>39646.645351491847</v>
      </c>
      <c r="S43" s="41">
        <f t="shared" si="20"/>
        <v>0.10392479213907792</v>
      </c>
      <c r="T43" s="42">
        <f t="shared" si="21"/>
        <v>8.0454701655210958E-2</v>
      </c>
      <c r="U43" s="40">
        <f t="shared" si="8"/>
        <v>2.3470090483866959E-2</v>
      </c>
      <c r="V43" s="38">
        <f t="shared" si="9"/>
        <v>24840.74376812479</v>
      </c>
      <c r="W43" s="38">
        <f t="shared" si="10"/>
        <v>108225.82772125617</v>
      </c>
      <c r="X43" s="200">
        <f t="shared" si="22"/>
        <v>3.5336672231497029E-2</v>
      </c>
      <c r="Y43" s="168">
        <f t="shared" si="23"/>
        <v>-2.7343637117677923E-3</v>
      </c>
      <c r="Z43" s="200">
        <f t="shared" si="13"/>
        <v>3.8071035943264823E-2</v>
      </c>
      <c r="AA43" s="200">
        <f t="shared" si="17"/>
        <v>3.8071035943264823E-2</v>
      </c>
      <c r="AB43" s="180">
        <f t="shared" si="24"/>
        <v>43013.464025364949</v>
      </c>
      <c r="AC43" s="1">
        <f t="shared" si="18"/>
        <v>6.4342289520377821E-2</v>
      </c>
    </row>
    <row r="44" spans="1:29" x14ac:dyDescent="0.15">
      <c r="A44" s="5"/>
      <c r="B44" s="6">
        <v>42478</v>
      </c>
      <c r="C44" s="3" t="s">
        <v>6</v>
      </c>
      <c r="D44" s="3" t="s">
        <v>7</v>
      </c>
      <c r="E44" s="4">
        <v>1058400</v>
      </c>
      <c r="F44" s="34">
        <f t="shared" si="6"/>
        <v>1174046</v>
      </c>
      <c r="G44" s="46">
        <f t="shared" si="15"/>
        <v>1081032.6851370933</v>
      </c>
      <c r="H44" s="166">
        <f t="shared" si="7"/>
        <v>1103727.660152372</v>
      </c>
      <c r="I44" s="5">
        <v>31400</v>
      </c>
      <c r="J44" s="23">
        <v>37.21</v>
      </c>
      <c r="K44" s="13">
        <v>37.39</v>
      </c>
      <c r="L44" s="173">
        <f t="shared" si="0"/>
        <v>4.8374092985756442E-3</v>
      </c>
      <c r="M44" s="11">
        <v>6384.35</v>
      </c>
      <c r="N44" s="17">
        <v>6281.2020000000002</v>
      </c>
      <c r="O44" s="171">
        <f t="shared" si="1"/>
        <v>-1.6156382403846929E-2</v>
      </c>
      <c r="P44" s="1">
        <f t="shared" si="2"/>
        <v>2.0993791702422573E-2</v>
      </c>
      <c r="Q44" s="40">
        <f t="shared" si="19"/>
        <v>2.0993791702422573E-2</v>
      </c>
      <c r="R44" s="47">
        <f t="shared" si="16"/>
        <v>22694.975015278702</v>
      </c>
      <c r="S44" s="41">
        <f t="shared" si="20"/>
        <v>0.10926492819349969</v>
      </c>
      <c r="T44" s="42">
        <f t="shared" si="21"/>
        <v>6.2998462325235025E-2</v>
      </c>
      <c r="U44" s="40">
        <f t="shared" si="8"/>
        <v>4.6266465868264661E-2</v>
      </c>
      <c r="V44" s="38">
        <f t="shared" si="9"/>
        <v>48968.427474971315</v>
      </c>
      <c r="W44" s="38">
        <f t="shared" si="10"/>
        <v>118118.95871633066</v>
      </c>
      <c r="X44" s="200">
        <f t="shared" si="22"/>
        <v>4.8374092985756442E-3</v>
      </c>
      <c r="Y44" s="168">
        <f t="shared" si="23"/>
        <v>-1.6156382403846929E-2</v>
      </c>
      <c r="Z44" s="200">
        <f t="shared" si="13"/>
        <v>2.0993791702422573E-2</v>
      </c>
      <c r="AA44" s="168">
        <f t="shared" si="17"/>
        <v>2.0993791702422573E-2</v>
      </c>
      <c r="AB44" s="180">
        <f t="shared" si="24"/>
        <v>24127.683706846525</v>
      </c>
      <c r="AC44" s="1">
        <f t="shared" si="18"/>
        <v>8.5336081222800397E-2</v>
      </c>
    </row>
    <row r="45" spans="1:29" x14ac:dyDescent="0.15">
      <c r="A45" s="5"/>
      <c r="B45" s="6">
        <v>42479</v>
      </c>
      <c r="C45" s="3" t="s">
        <v>6</v>
      </c>
      <c r="D45" s="3" t="s">
        <v>7</v>
      </c>
      <c r="E45" s="4">
        <v>1058400</v>
      </c>
      <c r="F45" s="34">
        <f t="shared" si="6"/>
        <v>1149554</v>
      </c>
      <c r="G45" s="46">
        <f t="shared" si="15"/>
        <v>1103727.660152372</v>
      </c>
      <c r="H45" s="166">
        <f t="shared" si="7"/>
        <v>1075953.422341953</v>
      </c>
      <c r="I45" s="5">
        <v>31400</v>
      </c>
      <c r="J45" s="23">
        <v>37.39</v>
      </c>
      <c r="K45" s="13">
        <v>36.61</v>
      </c>
      <c r="L45" s="173">
        <f t="shared" si="0"/>
        <v>-2.0861192832308133E-2</v>
      </c>
      <c r="M45" s="11">
        <v>6281.2020000000002</v>
      </c>
      <c r="N45" s="17">
        <v>6308.2290000000003</v>
      </c>
      <c r="O45" s="171">
        <f t="shared" si="1"/>
        <v>4.3028388515446636E-3</v>
      </c>
      <c r="P45" s="1">
        <f t="shared" si="2"/>
        <v>-2.5164031683852797E-2</v>
      </c>
      <c r="Q45" s="40">
        <f t="shared" si="19"/>
        <v>-2.5164031683852797E-2</v>
      </c>
      <c r="R45" s="47">
        <f t="shared" si="16"/>
        <v>-27774.237810418999</v>
      </c>
      <c r="S45" s="41">
        <f t="shared" si="20"/>
        <v>8.6124338624338645E-2</v>
      </c>
      <c r="T45" s="42">
        <f t="shared" si="21"/>
        <v>6.7572373408060285E-2</v>
      </c>
      <c r="U45" s="40">
        <f t="shared" si="8"/>
        <v>1.855196521627836E-2</v>
      </c>
      <c r="V45" s="38">
        <f t="shared" si="9"/>
        <v>19635.399984909018</v>
      </c>
      <c r="W45" s="38">
        <f t="shared" si="10"/>
        <v>95057.814752011851</v>
      </c>
      <c r="X45" s="200">
        <f t="shared" si="22"/>
        <v>-2.0861192832308133E-2</v>
      </c>
      <c r="Y45" s="168">
        <f t="shared" si="23"/>
        <v>4.3028388515446636E-3</v>
      </c>
      <c r="Z45" s="200">
        <f t="shared" si="13"/>
        <v>-2.5164031683852797E-2</v>
      </c>
      <c r="AA45" s="200">
        <f t="shared" si="17"/>
        <v>-2.5164031683852797E-2</v>
      </c>
      <c r="AB45" s="180">
        <f t="shared" si="24"/>
        <v>-29333.027490062297</v>
      </c>
      <c r="AC45" s="1">
        <f t="shared" si="18"/>
        <v>6.01720495389476E-2</v>
      </c>
    </row>
    <row r="46" spans="1:29" x14ac:dyDescent="0.15">
      <c r="A46" s="5"/>
      <c r="B46" s="6">
        <v>42480</v>
      </c>
      <c r="C46" s="3" t="s">
        <v>6</v>
      </c>
      <c r="D46" s="3" t="s">
        <v>7</v>
      </c>
      <c r="E46" s="4">
        <v>1058400</v>
      </c>
      <c r="F46" s="34">
        <f t="shared" si="6"/>
        <v>1151752</v>
      </c>
      <c r="G46" s="46">
        <f t="shared" si="15"/>
        <v>1075953.422341953</v>
      </c>
      <c r="H46" s="166">
        <f t="shared" si="7"/>
        <v>1126794.5758483016</v>
      </c>
      <c r="I46" s="5">
        <v>31400</v>
      </c>
      <c r="J46" s="23">
        <v>36.61</v>
      </c>
      <c r="K46" s="13">
        <v>36.68</v>
      </c>
      <c r="L46" s="173">
        <f t="shared" si="0"/>
        <v>1.9120458891013462E-3</v>
      </c>
      <c r="M46" s="11">
        <v>6308.2290000000003</v>
      </c>
      <c r="N46" s="17">
        <v>6022.2129999999997</v>
      </c>
      <c r="O46" s="171">
        <f t="shared" si="1"/>
        <v>-4.5340142217411658E-2</v>
      </c>
      <c r="P46" s="1">
        <f t="shared" si="2"/>
        <v>4.7252188106513007E-2</v>
      </c>
      <c r="Q46" s="40">
        <f t="shared" si="19"/>
        <v>4.7252188106513007E-2</v>
      </c>
      <c r="R46" s="47">
        <f t="shared" si="16"/>
        <v>50841.153506348397</v>
      </c>
      <c r="S46" s="41">
        <f t="shared" si="20"/>
        <v>8.8201058201058238E-2</v>
      </c>
      <c r="T46" s="42">
        <f t="shared" si="21"/>
        <v>1.9168490170359126E-2</v>
      </c>
      <c r="U46" s="40">
        <f t="shared" si="8"/>
        <v>6.9032568030699112E-2</v>
      </c>
      <c r="V46" s="38">
        <f t="shared" si="9"/>
        <v>73064.070003691944</v>
      </c>
      <c r="W46" s="38">
        <f t="shared" si="10"/>
        <v>94900.230425610396</v>
      </c>
      <c r="X46" s="200">
        <f t="shared" si="22"/>
        <v>1.9120458891013462E-3</v>
      </c>
      <c r="Y46" s="168">
        <f t="shared" si="23"/>
        <v>-4.5340142217411658E-2</v>
      </c>
      <c r="Z46" s="200">
        <f t="shared" si="13"/>
        <v>4.7252188106513007E-2</v>
      </c>
      <c r="AA46" s="168">
        <f t="shared" si="17"/>
        <v>4.7252188106513007E-2</v>
      </c>
      <c r="AB46" s="180">
        <f t="shared" si="24"/>
        <v>53428.670018782926</v>
      </c>
      <c r="AC46" s="1">
        <f t="shared" si="18"/>
        <v>0.10742423764546061</v>
      </c>
    </row>
    <row r="47" spans="1:29" x14ac:dyDescent="0.15">
      <c r="A47" s="5"/>
      <c r="B47" s="6">
        <v>42481</v>
      </c>
      <c r="C47" s="3" t="s">
        <v>6</v>
      </c>
      <c r="D47" s="3" t="s">
        <v>7</v>
      </c>
      <c r="E47" s="4">
        <v>1058400</v>
      </c>
      <c r="F47" s="34">
        <f t="shared" si="6"/>
        <v>1118782</v>
      </c>
      <c r="G47" s="46">
        <f t="shared" si="15"/>
        <v>1126794.5758483016</v>
      </c>
      <c r="H47" s="166">
        <f t="shared" si="7"/>
        <v>1104180.7856680958</v>
      </c>
      <c r="I47" s="5">
        <v>31400</v>
      </c>
      <c r="J47" s="23">
        <v>36.68</v>
      </c>
      <c r="K47" s="13">
        <v>35.630000000000003</v>
      </c>
      <c r="L47" s="173">
        <f t="shared" si="0"/>
        <v>-2.8625954198473205E-2</v>
      </c>
      <c r="M47" s="11">
        <v>6022.2129999999997</v>
      </c>
      <c r="N47" s="17">
        <v>5970.6819999999998</v>
      </c>
      <c r="O47" s="171">
        <f t="shared" si="1"/>
        <v>-8.5568212217003864E-3</v>
      </c>
      <c r="P47" s="1">
        <f t="shared" si="2"/>
        <v>-2.0069132976772819E-2</v>
      </c>
      <c r="Q47" s="40">
        <f t="shared" si="19"/>
        <v>-2.0069132976772819E-2</v>
      </c>
      <c r="R47" s="47">
        <f t="shared" si="16"/>
        <v>-22613.790180205891</v>
      </c>
      <c r="S47" s="41">
        <f t="shared" si="20"/>
        <v>5.7050264550264664E-2</v>
      </c>
      <c r="T47" s="42">
        <f t="shared" si="21"/>
        <v>1.0447647605181055E-2</v>
      </c>
      <c r="U47" s="40">
        <f t="shared" si="8"/>
        <v>4.6602616945083608E-2</v>
      </c>
      <c r="V47" s="38">
        <f t="shared" si="9"/>
        <v>49324.209774676492</v>
      </c>
      <c r="W47" s="38">
        <f t="shared" si="10"/>
        <v>64283.928645948872</v>
      </c>
      <c r="X47" s="200">
        <f t="shared" si="22"/>
        <v>-2.8625954198473205E-2</v>
      </c>
      <c r="Y47" s="168">
        <f t="shared" si="23"/>
        <v>-8.5568212217003864E-3</v>
      </c>
      <c r="Z47" s="200">
        <f t="shared" si="13"/>
        <v>-2.0069132976772819E-2</v>
      </c>
      <c r="AA47" s="200">
        <f t="shared" si="17"/>
        <v>-2.0069132976772819E-2</v>
      </c>
      <c r="AB47" s="180">
        <f t="shared" si="24"/>
        <v>-23739.860229015452</v>
      </c>
      <c r="AC47" s="1">
        <f t="shared" si="18"/>
        <v>8.7355104668687789E-2</v>
      </c>
    </row>
    <row r="48" spans="1:29" x14ac:dyDescent="0.15">
      <c r="A48" s="5"/>
      <c r="B48" s="6">
        <v>42482</v>
      </c>
      <c r="C48" s="3" t="s">
        <v>6</v>
      </c>
      <c r="D48" s="3" t="s">
        <v>7</v>
      </c>
      <c r="E48" s="4">
        <v>1058400</v>
      </c>
      <c r="F48" s="34">
        <f t="shared" si="6"/>
        <v>1125376</v>
      </c>
      <c r="G48" s="46">
        <f t="shared" si="15"/>
        <v>1104180.7856680958</v>
      </c>
      <c r="H48" s="166">
        <f t="shared" si="7"/>
        <v>1103173.3885180145</v>
      </c>
      <c r="I48" s="5">
        <v>31400</v>
      </c>
      <c r="J48" s="23">
        <v>35.630000000000003</v>
      </c>
      <c r="K48" s="13">
        <v>35.840000000000003</v>
      </c>
      <c r="L48" s="173">
        <f t="shared" si="0"/>
        <v>5.8939096267190804E-3</v>
      </c>
      <c r="M48" s="11">
        <v>5970.6819999999998</v>
      </c>
      <c r="N48" s="17">
        <v>6011.32</v>
      </c>
      <c r="O48" s="171">
        <f t="shared" si="1"/>
        <v>6.8062576435991605E-3</v>
      </c>
      <c r="P48" s="1">
        <f t="shared" si="2"/>
        <v>-9.1234801688008012E-4</v>
      </c>
      <c r="Q48" s="40">
        <f t="shared" si="19"/>
        <v>-9.1234801688008012E-4</v>
      </c>
      <c r="R48" s="47">
        <f t="shared" si="16"/>
        <v>-1007.397150081376</v>
      </c>
      <c r="S48" s="41">
        <f t="shared" si="20"/>
        <v>6.3280423280423423E-2</v>
      </c>
      <c r="T48" s="42">
        <f t="shared" si="21"/>
        <v>1.7325014630150608E-2</v>
      </c>
      <c r="U48" s="40">
        <f t="shared" si="8"/>
        <v>4.5955408650272811E-2</v>
      </c>
      <c r="V48" s="38">
        <f t="shared" si="9"/>
        <v>48639.204515448742</v>
      </c>
      <c r="W48" s="38">
        <f t="shared" si="10"/>
        <v>69873.027495187591</v>
      </c>
      <c r="X48" s="200">
        <f t="shared" si="22"/>
        <v>5.8939096267190804E-3</v>
      </c>
      <c r="Y48" s="168">
        <f t="shared" si="23"/>
        <v>6.8062576435991605E-3</v>
      </c>
      <c r="Z48" s="200">
        <f t="shared" si="13"/>
        <v>-9.1234801688008012E-4</v>
      </c>
      <c r="AA48" s="168">
        <f t="shared" si="17"/>
        <v>-9.1234801688008012E-4</v>
      </c>
      <c r="AB48" s="180">
        <f t="shared" si="24"/>
        <v>-685.00525922774978</v>
      </c>
      <c r="AC48" s="1">
        <f t="shared" si="18"/>
        <v>8.6442756651807715E-2</v>
      </c>
    </row>
    <row r="49" spans="1:29" x14ac:dyDescent="0.15">
      <c r="A49" s="5"/>
      <c r="B49" s="6">
        <v>42485</v>
      </c>
      <c r="C49" s="3" t="s">
        <v>6</v>
      </c>
      <c r="D49" s="3" t="s">
        <v>7</v>
      </c>
      <c r="E49" s="4">
        <v>1058400</v>
      </c>
      <c r="F49" s="34">
        <f t="shared" si="6"/>
        <v>1104024</v>
      </c>
      <c r="G49" s="46">
        <f t="shared" si="15"/>
        <v>1103173.3885180145</v>
      </c>
      <c r="H49" s="166">
        <f t="shared" si="7"/>
        <v>1088343.2657416745</v>
      </c>
      <c r="I49" s="5">
        <v>31400</v>
      </c>
      <c r="J49" s="23">
        <v>35.840000000000003</v>
      </c>
      <c r="K49" s="13">
        <v>35.159999999999997</v>
      </c>
      <c r="L49" s="173">
        <f t="shared" si="0"/>
        <v>-1.8973214285714475E-2</v>
      </c>
      <c r="M49" s="11">
        <v>6011.32</v>
      </c>
      <c r="N49" s="17">
        <v>5978.0770000000002</v>
      </c>
      <c r="O49" s="171">
        <f t="shared" si="1"/>
        <v>-5.5300666076667825E-3</v>
      </c>
      <c r="P49" s="1">
        <f t="shared" si="2"/>
        <v>-1.3443147678047693E-2</v>
      </c>
      <c r="Q49" s="40">
        <f t="shared" si="19"/>
        <v>-1.3443147678047693E-2</v>
      </c>
      <c r="R49" s="47">
        <f t="shared" si="16"/>
        <v>-14830.122776339953</v>
      </c>
      <c r="S49" s="41">
        <f t="shared" si="20"/>
        <v>4.3106575963718759E-2</v>
      </c>
      <c r="T49" s="42">
        <f t="shared" si="21"/>
        <v>1.1699139537600293E-2</v>
      </c>
      <c r="U49" s="40">
        <f t="shared" si="8"/>
        <v>3.1407436426118464E-2</v>
      </c>
      <c r="V49" s="38">
        <f t="shared" si="9"/>
        <v>33241.630713403785</v>
      </c>
      <c r="W49" s="38">
        <f t="shared" si="10"/>
        <v>47554.027473304821</v>
      </c>
      <c r="X49" s="200">
        <f t="shared" si="22"/>
        <v>-1.8973214285714475E-2</v>
      </c>
      <c r="Y49" s="168">
        <f t="shared" si="23"/>
        <v>-5.5300666076667825E-3</v>
      </c>
      <c r="Z49" s="200">
        <f t="shared" si="13"/>
        <v>-1.3443147678047693E-2</v>
      </c>
      <c r="AA49" s="200">
        <f t="shared" si="17"/>
        <v>-1.3443147678047693E-2</v>
      </c>
      <c r="AB49" s="180">
        <f t="shared" si="24"/>
        <v>-15397.573802044957</v>
      </c>
      <c r="AC49" s="1">
        <f t="shared" si="18"/>
        <v>7.2999608973760025E-2</v>
      </c>
    </row>
    <row r="50" spans="1:29" x14ac:dyDescent="0.15">
      <c r="A50" s="5"/>
      <c r="B50" s="6">
        <v>42486</v>
      </c>
      <c r="C50" s="3" t="s">
        <v>6</v>
      </c>
      <c r="D50" s="3" t="s">
        <v>7</v>
      </c>
      <c r="E50" s="4">
        <v>1058400</v>
      </c>
      <c r="F50" s="34">
        <f t="shared" si="6"/>
        <v>1116898</v>
      </c>
      <c r="G50" s="46">
        <f t="shared" si="15"/>
        <v>1088343.2657416745</v>
      </c>
      <c r="H50" s="166">
        <f t="shared" si="7"/>
        <v>1088527.911535796</v>
      </c>
      <c r="I50" s="5">
        <v>31400</v>
      </c>
      <c r="J50" s="23">
        <v>35.159999999999997</v>
      </c>
      <c r="K50" s="13">
        <v>35.57</v>
      </c>
      <c r="L50" s="173">
        <f t="shared" si="0"/>
        <v>1.166097838452798E-2</v>
      </c>
      <c r="M50" s="11">
        <v>5978.0770000000002</v>
      </c>
      <c r="N50" s="17">
        <v>6046.7730000000001</v>
      </c>
      <c r="O50" s="171">
        <f t="shared" si="1"/>
        <v>1.1491320703965491E-2</v>
      </c>
      <c r="P50" s="1">
        <f t="shared" si="2"/>
        <v>1.6965768056248845E-4</v>
      </c>
      <c r="Q50" s="40">
        <f t="shared" si="19"/>
        <v>1.6965768056248845E-4</v>
      </c>
      <c r="R50" s="47">
        <f t="shared" si="16"/>
        <v>184.64579412153648</v>
      </c>
      <c r="S50" s="41">
        <f t="shared" si="20"/>
        <v>5.5270219198790674E-2</v>
      </c>
      <c r="T50" s="42">
        <f t="shared" si="21"/>
        <v>2.3324898805952791E-2</v>
      </c>
      <c r="U50" s="40">
        <f t="shared" si="8"/>
        <v>3.1945320392837886E-2</v>
      </c>
      <c r="V50" s="38">
        <f t="shared" si="9"/>
        <v>33810.927103779621</v>
      </c>
      <c r="W50" s="38">
        <f t="shared" si="10"/>
        <v>60152.970861070033</v>
      </c>
      <c r="X50" s="200">
        <f t="shared" si="22"/>
        <v>1.166097838452798E-2</v>
      </c>
      <c r="Y50" s="168">
        <f t="shared" si="23"/>
        <v>1.1491320703965491E-2</v>
      </c>
      <c r="Z50" s="200">
        <f t="shared" si="13"/>
        <v>1.6965768056248845E-4</v>
      </c>
      <c r="AA50" s="168">
        <f t="shared" si="17"/>
        <v>1.6965768056248845E-4</v>
      </c>
      <c r="AB50" s="180">
        <f t="shared" si="24"/>
        <v>569.29639037583547</v>
      </c>
      <c r="AC50" s="1">
        <f t="shared" si="18"/>
        <v>7.316926665432251E-2</v>
      </c>
    </row>
    <row r="51" spans="1:29" x14ac:dyDescent="0.15">
      <c r="A51" s="5"/>
      <c r="B51" s="6">
        <v>42487</v>
      </c>
      <c r="C51" s="3" t="s">
        <v>6</v>
      </c>
      <c r="D51" s="3" t="s">
        <v>7</v>
      </c>
      <c r="E51" s="4">
        <v>1058400</v>
      </c>
      <c r="F51" s="34">
        <f t="shared" si="6"/>
        <v>1149240</v>
      </c>
      <c r="G51" s="46">
        <f t="shared" si="15"/>
        <v>1088527.911535796</v>
      </c>
      <c r="H51" s="166">
        <f t="shared" si="7"/>
        <v>1125462.2602569244</v>
      </c>
      <c r="I51" s="5">
        <v>31400</v>
      </c>
      <c r="J51" s="23">
        <v>35.57</v>
      </c>
      <c r="K51" s="13">
        <v>36.6</v>
      </c>
      <c r="L51" s="173">
        <f t="shared" si="0"/>
        <v>2.8956986224346393E-2</v>
      </c>
      <c r="M51" s="11">
        <v>6046.7730000000001</v>
      </c>
      <c r="N51" s="17">
        <v>6016.6989999999996</v>
      </c>
      <c r="O51" s="171">
        <f t="shared" si="1"/>
        <v>-4.9735619312979871E-3</v>
      </c>
      <c r="P51" s="1">
        <f t="shared" si="2"/>
        <v>3.3930548155644377E-2</v>
      </c>
      <c r="Q51" s="40">
        <f t="shared" si="19"/>
        <v>3.3930548155644377E-2</v>
      </c>
      <c r="R51" s="47">
        <f t="shared" si="16"/>
        <v>36934.348721128328</v>
      </c>
      <c r="S51" s="41">
        <f t="shared" si="20"/>
        <v>8.5827664399093048E-2</v>
      </c>
      <c r="T51" s="42">
        <f t="shared" si="21"/>
        <v>1.8235329045902138E-2</v>
      </c>
      <c r="U51" s="40">
        <f t="shared" si="8"/>
        <v>6.759233535319091E-2</v>
      </c>
      <c r="V51" s="38">
        <f t="shared" si="9"/>
        <v>71539.727737817258</v>
      </c>
      <c r="W51" s="38">
        <f t="shared" si="10"/>
        <v>93425.808280339945</v>
      </c>
      <c r="X51" s="200">
        <f t="shared" si="22"/>
        <v>2.8956986224346393E-2</v>
      </c>
      <c r="Y51" s="168">
        <f t="shared" si="23"/>
        <v>-4.9735619312979871E-3</v>
      </c>
      <c r="Z51" s="200">
        <f t="shared" si="13"/>
        <v>3.3930548155644377E-2</v>
      </c>
      <c r="AA51" s="200">
        <f t="shared" si="17"/>
        <v>3.3930548155644377E-2</v>
      </c>
      <c r="AB51" s="180">
        <f t="shared" si="24"/>
        <v>37728.800634037638</v>
      </c>
      <c r="AC51" s="1">
        <f t="shared" si="18"/>
        <v>0.10709981480996689</v>
      </c>
    </row>
    <row r="52" spans="1:29" x14ac:dyDescent="0.15">
      <c r="A52" s="5"/>
      <c r="B52" s="6">
        <v>42488</v>
      </c>
      <c r="C52" s="3" t="s">
        <v>6</v>
      </c>
      <c r="D52" s="3" t="s">
        <v>7</v>
      </c>
      <c r="E52" s="4">
        <v>1058400</v>
      </c>
      <c r="F52" s="34">
        <f t="shared" si="6"/>
        <v>1146100</v>
      </c>
      <c r="G52" s="46">
        <f t="shared" si="15"/>
        <v>1125462.2602569244</v>
      </c>
      <c r="H52" s="166">
        <f t="shared" si="7"/>
        <v>1127319.904927328</v>
      </c>
      <c r="I52" s="5">
        <v>31400</v>
      </c>
      <c r="J52" s="23">
        <v>36.6</v>
      </c>
      <c r="K52" s="13">
        <v>36.5</v>
      </c>
      <c r="L52" s="173">
        <f t="shared" si="0"/>
        <v>-2.7322404371585085E-3</v>
      </c>
      <c r="M52" s="11">
        <v>6016.6989999999996</v>
      </c>
      <c r="N52" s="17">
        <v>5990.3289999999997</v>
      </c>
      <c r="O52" s="171">
        <f t="shared" si="1"/>
        <v>-4.3828019317569142E-3</v>
      </c>
      <c r="P52" s="1">
        <f t="shared" si="2"/>
        <v>1.6505614945984057E-3</v>
      </c>
      <c r="Q52" s="40">
        <f t="shared" si="19"/>
        <v>1.6505614945984057E-3</v>
      </c>
      <c r="R52" s="47">
        <f t="shared" si="16"/>
        <v>1857.6446704037689</v>
      </c>
      <c r="S52" s="41">
        <f t="shared" si="20"/>
        <v>8.286092214663647E-2</v>
      </c>
      <c r="T52" s="42">
        <f t="shared" si="21"/>
        <v>1.3772605278776622E-2</v>
      </c>
      <c r="U52" s="40">
        <f t="shared" si="8"/>
        <v>6.908831686785985E-2</v>
      </c>
      <c r="V52" s="38">
        <f t="shared" si="9"/>
        <v>73123.07457294286</v>
      </c>
      <c r="W52" s="38">
        <f t="shared" si="10"/>
        <v>93256.840726126524</v>
      </c>
      <c r="X52" s="200">
        <f t="shared" si="22"/>
        <v>-2.7322404371585085E-3</v>
      </c>
      <c r="Y52" s="168">
        <f t="shared" si="23"/>
        <v>-4.3828019317569142E-3</v>
      </c>
      <c r="Z52" s="200">
        <f t="shared" si="13"/>
        <v>1.6505614945984057E-3</v>
      </c>
      <c r="AA52" s="168">
        <f t="shared" si="17"/>
        <v>1.6505614945984057E-3</v>
      </c>
      <c r="AB52" s="180">
        <f t="shared" si="24"/>
        <v>1583.3468351256015</v>
      </c>
      <c r="AC52" s="1">
        <f t="shared" si="18"/>
        <v>0.1087503763045653</v>
      </c>
    </row>
    <row r="53" spans="1:29" x14ac:dyDescent="0.15">
      <c r="A53" s="5"/>
      <c r="B53" s="6">
        <v>42489</v>
      </c>
      <c r="C53" s="3" t="s">
        <v>6</v>
      </c>
      <c r="D53" s="3" t="s">
        <v>7</v>
      </c>
      <c r="E53" s="4">
        <v>1058400</v>
      </c>
      <c r="F53" s="34">
        <f t="shared" si="6"/>
        <v>1159288</v>
      </c>
      <c r="G53" s="46">
        <f t="shared" si="15"/>
        <v>1127319.904927328</v>
      </c>
      <c r="H53" s="166">
        <f t="shared" si="7"/>
        <v>1141182.8847665854</v>
      </c>
      <c r="I53" s="5">
        <v>31400</v>
      </c>
      <c r="J53" s="23">
        <v>36.5</v>
      </c>
      <c r="K53" s="13">
        <v>36.92</v>
      </c>
      <c r="L53" s="173">
        <f t="shared" si="0"/>
        <v>1.150684931506854E-2</v>
      </c>
      <c r="M53" s="11">
        <v>5990.3289999999997</v>
      </c>
      <c r="N53" s="17">
        <v>5985.5940000000001</v>
      </c>
      <c r="O53" s="171">
        <f t="shared" si="1"/>
        <v>-7.9044072537579697E-4</v>
      </c>
      <c r="P53" s="1">
        <f t="shared" si="2"/>
        <v>1.2297290040444338E-2</v>
      </c>
      <c r="Q53" s="40">
        <f t="shared" si="19"/>
        <v>1.2297290040444338E-2</v>
      </c>
      <c r="R53" s="47">
        <f t="shared" si="16"/>
        <v>13862.979839257488</v>
      </c>
      <c r="S53" s="41">
        <f t="shared" si="20"/>
        <v>9.5321239606953989E-2</v>
      </c>
      <c r="T53" s="42">
        <f t="shared" si="21"/>
        <v>1.2971278125293955E-2</v>
      </c>
      <c r="U53" s="40">
        <f t="shared" si="8"/>
        <v>8.2349961481660031E-2</v>
      </c>
      <c r="V53" s="38">
        <f t="shared" si="9"/>
        <v>87159.19923218897</v>
      </c>
      <c r="W53" s="38">
        <f t="shared" si="10"/>
        <v>107457.53077126642</v>
      </c>
      <c r="X53" s="200">
        <f t="shared" si="22"/>
        <v>1.150684931506854E-2</v>
      </c>
      <c r="Y53" s="168">
        <f t="shared" si="23"/>
        <v>-7.9044072537579697E-4</v>
      </c>
      <c r="Z53" s="200">
        <f t="shared" si="13"/>
        <v>1.2297290040444338E-2</v>
      </c>
      <c r="AA53" s="200">
        <f t="shared" si="17"/>
        <v>1.2297290040444338E-2</v>
      </c>
      <c r="AB53" s="180">
        <f t="shared" si="24"/>
        <v>14036.12465924611</v>
      </c>
      <c r="AC53" s="1">
        <f t="shared" si="18"/>
        <v>0.12104766634500963</v>
      </c>
    </row>
    <row r="54" spans="1:29" x14ac:dyDescent="0.15">
      <c r="A54" s="5"/>
      <c r="B54" s="6">
        <v>42493</v>
      </c>
      <c r="C54" s="3" t="s">
        <v>6</v>
      </c>
      <c r="D54" s="3" t="s">
        <v>7</v>
      </c>
      <c r="E54" s="4">
        <v>1058400</v>
      </c>
      <c r="F54" s="34">
        <f t="shared" si="6"/>
        <v>1185664</v>
      </c>
      <c r="G54" s="46">
        <f t="shared" si="15"/>
        <v>1141182.8847665854</v>
      </c>
      <c r="H54" s="166">
        <f t="shared" si="7"/>
        <v>1132474.4571535119</v>
      </c>
      <c r="I54" s="5">
        <v>31400</v>
      </c>
      <c r="J54" s="23">
        <v>36.92</v>
      </c>
      <c r="K54" s="13">
        <v>37.76</v>
      </c>
      <c r="L54" s="173">
        <f t="shared" si="0"/>
        <v>2.275189599133251E-2</v>
      </c>
      <c r="M54" s="11">
        <v>5985.5940000000001</v>
      </c>
      <c r="N54" s="17">
        <v>6167.4539999999997</v>
      </c>
      <c r="O54" s="171">
        <f t="shared" si="1"/>
        <v>3.0382949461657385E-2</v>
      </c>
      <c r="P54" s="1">
        <f t="shared" si="2"/>
        <v>-7.631053470324875E-3</v>
      </c>
      <c r="Q54" s="40">
        <f t="shared" si="19"/>
        <v>-7.631053470324875E-3</v>
      </c>
      <c r="R54" s="47">
        <f t="shared" si="16"/>
        <v>-8708.4276130734033</v>
      </c>
      <c r="S54" s="41">
        <f t="shared" si="20"/>
        <v>0.12024187452758879</v>
      </c>
      <c r="T54" s="42">
        <f t="shared" si="21"/>
        <v>4.3748333274685247E-2</v>
      </c>
      <c r="U54" s="40">
        <f t="shared" si="8"/>
        <v>7.6493541252903544E-2</v>
      </c>
      <c r="V54" s="38">
        <f t="shared" si="9"/>
        <v>80960.764062073111</v>
      </c>
      <c r="W54" s="38">
        <f t="shared" si="10"/>
        <v>137217.96924313559</v>
      </c>
      <c r="X54" s="200">
        <f t="shared" si="22"/>
        <v>2.275189599133251E-2</v>
      </c>
      <c r="Y54" s="168">
        <f t="shared" si="23"/>
        <v>3.0382949461657385E-2</v>
      </c>
      <c r="Z54" s="200">
        <f t="shared" si="13"/>
        <v>-7.631053470324875E-3</v>
      </c>
      <c r="AA54" s="168">
        <f t="shared" si="17"/>
        <v>-7.631053470324875E-3</v>
      </c>
      <c r="AB54" s="180">
        <f t="shared" si="24"/>
        <v>-6198.4351701158594</v>
      </c>
      <c r="AC54" s="1">
        <f t="shared" si="18"/>
        <v>0.11341661287468476</v>
      </c>
    </row>
    <row r="55" spans="1:29" x14ac:dyDescent="0.15">
      <c r="A55" s="5"/>
      <c r="B55" s="6">
        <v>42494</v>
      </c>
      <c r="C55" s="3" t="s">
        <v>6</v>
      </c>
      <c r="D55" s="3" t="s">
        <v>7</v>
      </c>
      <c r="E55" s="4">
        <v>1058400</v>
      </c>
      <c r="F55" s="34">
        <f t="shared" si="6"/>
        <v>1183780</v>
      </c>
      <c r="G55" s="46">
        <f t="shared" si="15"/>
        <v>1132474.4571535119</v>
      </c>
      <c r="H55" s="166">
        <f t="shared" si="7"/>
        <v>1130247.3209807302</v>
      </c>
      <c r="I55" s="5">
        <v>31400</v>
      </c>
      <c r="J55" s="23">
        <v>37.76</v>
      </c>
      <c r="K55" s="13">
        <v>37.700000000000003</v>
      </c>
      <c r="L55" s="173">
        <f t="shared" si="0"/>
        <v>-1.5889830508473298E-3</v>
      </c>
      <c r="M55" s="11">
        <v>6167.4539999999997</v>
      </c>
      <c r="N55" s="17">
        <v>6169.7830000000004</v>
      </c>
      <c r="O55" s="171">
        <f t="shared" si="1"/>
        <v>3.7762746183443496E-4</v>
      </c>
      <c r="P55" s="1">
        <f t="shared" si="2"/>
        <v>-1.9666105126817648E-3</v>
      </c>
      <c r="Q55" s="40">
        <f t="shared" si="19"/>
        <v>-1.9666105126817648E-3</v>
      </c>
      <c r="R55" s="47">
        <f t="shared" si="16"/>
        <v>-2227.1361727816716</v>
      </c>
      <c r="S55" s="41">
        <f t="shared" si="20"/>
        <v>0.11846182917611502</v>
      </c>
      <c r="T55" s="42">
        <f t="shared" si="21"/>
        <v>4.4142481308573692E-2</v>
      </c>
      <c r="U55" s="40">
        <f t="shared" si="8"/>
        <v>7.4319347867541324E-2</v>
      </c>
      <c r="V55" s="38">
        <f t="shared" si="9"/>
        <v>78659.597783005738</v>
      </c>
      <c r="W55" s="38">
        <f t="shared" si="10"/>
        <v>134154.99568963292</v>
      </c>
      <c r="X55" s="200">
        <f t="shared" si="22"/>
        <v>-1.5889830508473298E-3</v>
      </c>
      <c r="Y55" s="168">
        <f t="shared" si="23"/>
        <v>3.7762746183443496E-4</v>
      </c>
      <c r="Z55" s="200">
        <f t="shared" si="13"/>
        <v>-1.9666105126817648E-3</v>
      </c>
      <c r="AA55" s="200">
        <f t="shared" si="17"/>
        <v>-1.9666105126817648E-3</v>
      </c>
      <c r="AB55" s="180">
        <f t="shared" si="24"/>
        <v>-2301.1662790673727</v>
      </c>
      <c r="AC55" s="1">
        <f t="shared" si="18"/>
        <v>0.11145000236200299</v>
      </c>
    </row>
    <row r="56" spans="1:29" x14ac:dyDescent="0.15">
      <c r="A56" s="5"/>
      <c r="B56" s="6">
        <v>42495</v>
      </c>
      <c r="C56" s="3" t="s">
        <v>6</v>
      </c>
      <c r="D56" s="3" t="s">
        <v>7</v>
      </c>
      <c r="E56" s="4">
        <v>1058400</v>
      </c>
      <c r="F56" s="34">
        <f t="shared" si="6"/>
        <v>1191630</v>
      </c>
      <c r="G56" s="46">
        <f t="shared" si="15"/>
        <v>1130247.3209807302</v>
      </c>
      <c r="H56" s="166">
        <f t="shared" si="7"/>
        <v>1131507.6149503766</v>
      </c>
      <c r="I56" s="5">
        <v>31400</v>
      </c>
      <c r="J56" s="23">
        <v>37.700000000000003</v>
      </c>
      <c r="K56" s="13">
        <v>37.950000000000003</v>
      </c>
      <c r="L56" s="173">
        <f t="shared" si="0"/>
        <v>6.6312997347480101E-3</v>
      </c>
      <c r="M56" s="11">
        <v>6169.7830000000004</v>
      </c>
      <c r="N56" s="17">
        <v>6203.817</v>
      </c>
      <c r="O56" s="171">
        <f t="shared" si="1"/>
        <v>5.5162393879978674E-3</v>
      </c>
      <c r="P56" s="1">
        <f t="shared" si="2"/>
        <v>1.1150603467501427E-3</v>
      </c>
      <c r="Q56" s="40">
        <f t="shared" si="19"/>
        <v>1.1150603467501427E-3</v>
      </c>
      <c r="R56" s="47">
        <f t="shared" si="16"/>
        <v>1260.2939696461929</v>
      </c>
      <c r="S56" s="41">
        <f t="shared" si="20"/>
        <v>0.12587868480725636</v>
      </c>
      <c r="T56" s="42">
        <f t="shared" si="21"/>
        <v>4.9902221190649867E-2</v>
      </c>
      <c r="U56" s="40">
        <f t="shared" si="8"/>
        <v>7.5976463616606496E-2</v>
      </c>
      <c r="V56" s="38">
        <f t="shared" si="9"/>
        <v>80413.489091816315</v>
      </c>
      <c r="W56" s="38">
        <f t="shared" si="10"/>
        <v>142274.04627197926</v>
      </c>
      <c r="X56" s="200">
        <f t="shared" si="22"/>
        <v>6.6312997347480101E-3</v>
      </c>
      <c r="Y56" s="168">
        <f t="shared" si="23"/>
        <v>5.5162393879978674E-3</v>
      </c>
      <c r="Z56" s="200">
        <f t="shared" si="13"/>
        <v>1.1150603467501427E-3</v>
      </c>
      <c r="AA56" s="168">
        <f t="shared" si="17"/>
        <v>1.1150603467501427E-3</v>
      </c>
      <c r="AB56" s="180">
        <f t="shared" si="24"/>
        <v>1753.8913088105764</v>
      </c>
      <c r="AC56" s="1">
        <f t="shared" si="18"/>
        <v>0.11256506270875313</v>
      </c>
    </row>
    <row r="57" spans="1:29" x14ac:dyDescent="0.15">
      <c r="A57" s="5"/>
      <c r="B57" s="6">
        <v>42496</v>
      </c>
      <c r="C57" s="3" t="s">
        <v>6</v>
      </c>
      <c r="D57" s="3" t="s">
        <v>7</v>
      </c>
      <c r="E57" s="4">
        <v>1058400</v>
      </c>
      <c r="F57" s="34">
        <f t="shared" si="6"/>
        <v>1136994</v>
      </c>
      <c r="G57" s="46">
        <f t="shared" si="15"/>
        <v>1131507.6149503766</v>
      </c>
      <c r="H57" s="166">
        <f t="shared" si="7"/>
        <v>1123826.1618021282</v>
      </c>
      <c r="I57" s="5">
        <v>31400</v>
      </c>
      <c r="J57" s="23">
        <v>37.950000000000003</v>
      </c>
      <c r="K57" s="13">
        <v>36.21</v>
      </c>
      <c r="L57" s="173">
        <f t="shared" si="0"/>
        <v>-4.584980237154155E-2</v>
      </c>
      <c r="M57" s="11">
        <v>6203.817</v>
      </c>
      <c r="N57" s="17">
        <v>5961.4889999999996</v>
      </c>
      <c r="O57" s="171">
        <f t="shared" si="1"/>
        <v>-3.9061113504798808E-2</v>
      </c>
      <c r="P57" s="1">
        <f t="shared" si="2"/>
        <v>-6.7886888667427411E-3</v>
      </c>
      <c r="Q57" s="40">
        <f t="shared" si="19"/>
        <v>-6.7886888667427411E-3</v>
      </c>
      <c r="R57" s="47">
        <f t="shared" si="16"/>
        <v>-7681.4531482482535</v>
      </c>
      <c r="S57" s="41">
        <f t="shared" si="20"/>
        <v>7.4257369614512542E-2</v>
      </c>
      <c r="T57" s="42">
        <f t="shared" si="21"/>
        <v>8.891871359781511E-3</v>
      </c>
      <c r="U57" s="40">
        <f t="shared" si="8"/>
        <v>6.5365498254731036E-2</v>
      </c>
      <c r="V57" s="38">
        <f t="shared" si="9"/>
        <v>69182.843352807322</v>
      </c>
      <c r="W57" s="38">
        <f t="shared" si="10"/>
        <v>84022.779185005653</v>
      </c>
      <c r="X57" s="200">
        <f t="shared" si="22"/>
        <v>-4.584980237154155E-2</v>
      </c>
      <c r="Y57" s="168">
        <f t="shared" si="23"/>
        <v>-3.9061113504798808E-2</v>
      </c>
      <c r="Z57" s="200">
        <f t="shared" si="13"/>
        <v>-6.7886888667427411E-3</v>
      </c>
      <c r="AA57" s="200">
        <f t="shared" si="17"/>
        <v>-6.7886888667427411E-3</v>
      </c>
      <c r="AB57" s="180">
        <f t="shared" si="24"/>
        <v>-11230.645739008993</v>
      </c>
      <c r="AC57" s="1">
        <f t="shared" si="18"/>
        <v>0.10577637384201038</v>
      </c>
    </row>
    <row r="58" spans="1:29" x14ac:dyDescent="0.15">
      <c r="A58" s="5"/>
      <c r="B58" s="6">
        <v>42499</v>
      </c>
      <c r="C58" s="3" t="s">
        <v>6</v>
      </c>
      <c r="D58" s="3" t="s">
        <v>7</v>
      </c>
      <c r="E58" s="4">
        <v>1058400</v>
      </c>
      <c r="F58" s="34">
        <f t="shared" si="6"/>
        <v>1124120</v>
      </c>
      <c r="G58" s="46">
        <f t="shared" si="15"/>
        <v>1123826.1618021282</v>
      </c>
      <c r="H58" s="166">
        <f t="shared" si="7"/>
        <v>1152167.5998787</v>
      </c>
      <c r="I58" s="5">
        <v>31400</v>
      </c>
      <c r="J58" s="23">
        <v>36.21</v>
      </c>
      <c r="K58" s="13">
        <v>35.799999999999997</v>
      </c>
      <c r="L58" s="173">
        <f t="shared" si="0"/>
        <v>-1.1322838994752933E-2</v>
      </c>
      <c r="M58" s="11">
        <v>5961.4889999999996</v>
      </c>
      <c r="N58" s="17">
        <v>5743.6469999999999</v>
      </c>
      <c r="O58" s="171">
        <f t="shared" si="1"/>
        <v>-3.6541541886599083E-2</v>
      </c>
      <c r="P58" s="1">
        <f t="shared" si="2"/>
        <v>2.5218702891846148E-2</v>
      </c>
      <c r="Q58" s="40">
        <f t="shared" si="19"/>
        <v>2.5218702891846148E-2</v>
      </c>
      <c r="R58" s="47">
        <f t="shared" si="16"/>
        <v>28341.438076571689</v>
      </c>
      <c r="S58" s="41">
        <f t="shared" si="20"/>
        <v>6.209372637944062E-2</v>
      </c>
      <c r="T58" s="42">
        <f t="shared" si="21"/>
        <v>-2.7974593216561275E-2</v>
      </c>
      <c r="U58" s="40">
        <f t="shared" si="8"/>
        <v>9.0068319596001895E-2</v>
      </c>
      <c r="V58" s="38">
        <f t="shared" si="9"/>
        <v>95328.309460408404</v>
      </c>
      <c r="W58" s="38">
        <f t="shared" si="10"/>
        <v>69782.554188998314</v>
      </c>
      <c r="X58" s="200">
        <f t="shared" si="22"/>
        <v>-1.1322838994752933E-2</v>
      </c>
      <c r="Y58" s="168">
        <f t="shared" si="23"/>
        <v>-3.6541541886599083E-2</v>
      </c>
      <c r="Z58" s="200">
        <f t="shared" si="13"/>
        <v>2.5218702891846148E-2</v>
      </c>
      <c r="AA58" s="168">
        <f t="shared" si="17"/>
        <v>2.5218702891846148E-2</v>
      </c>
      <c r="AB58" s="180">
        <f t="shared" si="24"/>
        <v>26145.466107601082</v>
      </c>
      <c r="AC58" s="1">
        <f t="shared" si="18"/>
        <v>0.13099507673385652</v>
      </c>
    </row>
    <row r="59" spans="1:29" x14ac:dyDescent="0.15">
      <c r="A59" s="5"/>
      <c r="B59" s="6">
        <v>42500</v>
      </c>
      <c r="C59" s="3" t="s">
        <v>6</v>
      </c>
      <c r="D59" s="3" t="s">
        <v>7</v>
      </c>
      <c r="E59" s="4">
        <v>1058400</v>
      </c>
      <c r="F59" s="34">
        <f t="shared" si="6"/>
        <v>1141390</v>
      </c>
      <c r="G59" s="46">
        <f t="shared" si="15"/>
        <v>1152167.5998787</v>
      </c>
      <c r="H59" s="166">
        <f t="shared" si="7"/>
        <v>1170821.5427517802</v>
      </c>
      <c r="I59" s="5">
        <v>31400</v>
      </c>
      <c r="J59" s="23">
        <v>35.799999999999997</v>
      </c>
      <c r="K59" s="13">
        <v>36.35</v>
      </c>
      <c r="L59" s="173">
        <f t="shared" si="0"/>
        <v>1.5363128491620233E-2</v>
      </c>
      <c r="M59" s="11">
        <v>5743.6469999999999</v>
      </c>
      <c r="N59" s="17">
        <v>5738.8959999999997</v>
      </c>
      <c r="O59" s="171">
        <f t="shared" si="1"/>
        <v>-8.2717478981563517E-4</v>
      </c>
      <c r="P59" s="1">
        <f t="shared" si="2"/>
        <v>1.6190303281435867E-2</v>
      </c>
      <c r="Q59" s="40">
        <f t="shared" si="19"/>
        <v>1.6190303281435867E-2</v>
      </c>
      <c r="R59" s="47">
        <f t="shared" si="16"/>
        <v>18653.942873080203</v>
      </c>
      <c r="S59" s="41">
        <f t="shared" si="20"/>
        <v>7.8410808767951715E-2</v>
      </c>
      <c r="T59" s="42">
        <f t="shared" si="21"/>
        <v>-2.8778628128112823E-2</v>
      </c>
      <c r="U59" s="40">
        <f t="shared" si="8"/>
        <v>0.10718943689606454</v>
      </c>
      <c r="V59" s="38">
        <f t="shared" si="9"/>
        <v>113449.30001079472</v>
      </c>
      <c r="W59" s="38">
        <f t="shared" si="10"/>
        <v>90342.393342718657</v>
      </c>
      <c r="X59" s="200">
        <f t="shared" si="22"/>
        <v>1.5363128491620233E-2</v>
      </c>
      <c r="Y59" s="168">
        <f t="shared" si="23"/>
        <v>-8.2717478981563517E-4</v>
      </c>
      <c r="Z59" s="200">
        <f t="shared" si="13"/>
        <v>1.6190303281435867E-2</v>
      </c>
      <c r="AA59" s="200">
        <f t="shared" si="17"/>
        <v>1.6190303281435867E-2</v>
      </c>
      <c r="AB59" s="180">
        <f t="shared" si="24"/>
        <v>18120.990550386312</v>
      </c>
      <c r="AC59" s="1">
        <f t="shared" si="18"/>
        <v>0.14718538001529238</v>
      </c>
    </row>
    <row r="60" spans="1:29" x14ac:dyDescent="0.15">
      <c r="A60" s="5"/>
      <c r="B60" s="6">
        <v>42501</v>
      </c>
      <c r="C60" s="3" t="s">
        <v>6</v>
      </c>
      <c r="D60" s="3" t="s">
        <v>7</v>
      </c>
      <c r="E60" s="4">
        <v>1058400</v>
      </c>
      <c r="F60" s="34">
        <f t="shared" si="6"/>
        <v>1161172</v>
      </c>
      <c r="G60" s="46">
        <f t="shared" si="15"/>
        <v>1170821.5427517802</v>
      </c>
      <c r="H60" s="166">
        <f t="shared" si="7"/>
        <v>1194273.0136270213</v>
      </c>
      <c r="I60" s="5">
        <v>31400</v>
      </c>
      <c r="J60" s="23">
        <v>36.35</v>
      </c>
      <c r="K60" s="13">
        <v>36.979999999999997</v>
      </c>
      <c r="L60" s="173">
        <f t="shared" si="0"/>
        <v>1.7331499312241965E-2</v>
      </c>
      <c r="M60" s="11">
        <v>5738.8959999999997</v>
      </c>
      <c r="N60" s="17">
        <v>5723.41</v>
      </c>
      <c r="O60" s="171">
        <f t="shared" si="1"/>
        <v>-2.6984284085301209E-3</v>
      </c>
      <c r="P60" s="1">
        <f t="shared" si="2"/>
        <v>2.0029927720772087E-2</v>
      </c>
      <c r="Q60" s="40">
        <f t="shared" si="19"/>
        <v>2.0029927720772087E-2</v>
      </c>
      <c r="R60" s="47">
        <f t="shared" si="16"/>
        <v>23451.470875241026</v>
      </c>
      <c r="S60" s="41">
        <f t="shared" si="20"/>
        <v>9.7101284958427764E-2</v>
      </c>
      <c r="T60" s="42">
        <f t="shared" si="21"/>
        <v>-3.1399399468943524E-2</v>
      </c>
      <c r="U60" s="40">
        <f t="shared" si="8"/>
        <v>0.12850068442737128</v>
      </c>
      <c r="V60" s="38">
        <f t="shared" si="9"/>
        <v>136005.12439792976</v>
      </c>
      <c r="W60" s="38">
        <f t="shared" si="10"/>
        <v>113688.27625820664</v>
      </c>
      <c r="X60" s="200">
        <f t="shared" si="22"/>
        <v>1.7331499312241965E-2</v>
      </c>
      <c r="Y60" s="168">
        <f t="shared" si="23"/>
        <v>-2.6984284085301209E-3</v>
      </c>
      <c r="Z60" s="200">
        <f t="shared" si="13"/>
        <v>2.0029927720772087E-2</v>
      </c>
      <c r="AA60" s="168">
        <f t="shared" si="17"/>
        <v>2.0029927720772087E-2</v>
      </c>
      <c r="AB60" s="180">
        <f t="shared" si="24"/>
        <v>22555.824387135042</v>
      </c>
      <c r="AC60" s="1">
        <f t="shared" si="18"/>
        <v>0.16721530773606447</v>
      </c>
    </row>
    <row r="61" spans="1:29" x14ac:dyDescent="0.15">
      <c r="A61" s="5"/>
      <c r="B61" s="6">
        <v>42502</v>
      </c>
      <c r="C61" s="3" t="s">
        <v>6</v>
      </c>
      <c r="D61" s="3" t="s">
        <v>7</v>
      </c>
      <c r="E61" s="4">
        <v>1058400</v>
      </c>
      <c r="F61" s="34">
        <f t="shared" si="6"/>
        <v>1200422</v>
      </c>
      <c r="G61" s="46">
        <f t="shared" si="15"/>
        <v>1194273.0136270213</v>
      </c>
      <c r="H61" s="166">
        <f t="shared" si="7"/>
        <v>1234006.5122324175</v>
      </c>
      <c r="I61" s="5">
        <v>31400</v>
      </c>
      <c r="J61" s="23">
        <v>36.979999999999997</v>
      </c>
      <c r="K61" s="13">
        <v>38.229999999999997</v>
      </c>
      <c r="L61" s="173">
        <f t="shared" si="0"/>
        <v>3.3802055164954034E-2</v>
      </c>
      <c r="M61" s="11">
        <v>5723.41</v>
      </c>
      <c r="N61" s="17">
        <v>5726.4549999999999</v>
      </c>
      <c r="O61" s="171">
        <f t="shared" si="1"/>
        <v>5.3202548830156725E-4</v>
      </c>
      <c r="P61" s="1">
        <f t="shared" si="2"/>
        <v>3.327002967665247E-2</v>
      </c>
      <c r="Q61" s="40">
        <f t="shared" si="19"/>
        <v>3.327002967665247E-2</v>
      </c>
      <c r="R61" s="47">
        <f t="shared" si="16"/>
        <v>39733.498605396177</v>
      </c>
      <c r="S61" s="41">
        <f t="shared" si="20"/>
        <v>0.13418556311413449</v>
      </c>
      <c r="T61" s="42">
        <f t="shared" si="21"/>
        <v>-3.0884079261476793E-2</v>
      </c>
      <c r="U61" s="40">
        <f t="shared" si="8"/>
        <v>0.16506964237561128</v>
      </c>
      <c r="V61" s="38">
        <f t="shared" si="9"/>
        <v>174709.70949034698</v>
      </c>
      <c r="W61" s="38">
        <f t="shared" si="10"/>
        <v>160254.19684555626</v>
      </c>
      <c r="X61" s="200">
        <f t="shared" si="22"/>
        <v>3.3802055164954034E-2</v>
      </c>
      <c r="Y61" s="168">
        <f t="shared" si="23"/>
        <v>5.3202548830156725E-4</v>
      </c>
      <c r="Z61" s="200">
        <f t="shared" si="13"/>
        <v>3.327002967665247E-2</v>
      </c>
      <c r="AA61" s="200">
        <f t="shared" si="17"/>
        <v>3.327002967665247E-2</v>
      </c>
      <c r="AB61" s="180">
        <f t="shared" si="24"/>
        <v>38704.585092417226</v>
      </c>
      <c r="AC61" s="1">
        <f t="shared" si="18"/>
        <v>0.20048533741271693</v>
      </c>
    </row>
    <row r="62" spans="1:29" x14ac:dyDescent="0.15">
      <c r="A62" s="5"/>
      <c r="B62" s="6">
        <v>42503</v>
      </c>
      <c r="C62" s="3" t="s">
        <v>6</v>
      </c>
      <c r="D62" s="3" t="s">
        <v>7</v>
      </c>
      <c r="E62" s="4">
        <v>1058400</v>
      </c>
      <c r="F62" s="34">
        <f t="shared" si="6"/>
        <v>1192572</v>
      </c>
      <c r="G62" s="46">
        <f t="shared" si="15"/>
        <v>1234006.5122324175</v>
      </c>
      <c r="H62" s="166">
        <f t="shared" si="7"/>
        <v>1228554.0438181746</v>
      </c>
      <c r="I62" s="5">
        <v>31400</v>
      </c>
      <c r="J62" s="23">
        <v>38.229999999999997</v>
      </c>
      <c r="K62" s="13">
        <v>37.979999999999997</v>
      </c>
      <c r="L62" s="173">
        <f t="shared" si="0"/>
        <v>-6.5393669892754389E-3</v>
      </c>
      <c r="M62" s="11">
        <v>5726.4549999999999</v>
      </c>
      <c r="N62" s="17">
        <v>5714.31</v>
      </c>
      <c r="O62" s="171">
        <f t="shared" si="1"/>
        <v>-2.1208583670000946E-3</v>
      </c>
      <c r="P62" s="1">
        <f t="shared" si="2"/>
        <v>-4.4185086222753439E-3</v>
      </c>
      <c r="Q62" s="40">
        <f t="shared" si="19"/>
        <v>-4.4185086222753439E-3</v>
      </c>
      <c r="R62" s="47">
        <f t="shared" si="16"/>
        <v>-5452.4684142428614</v>
      </c>
      <c r="S62" s="41">
        <f t="shared" si="20"/>
        <v>0.12676870748299315</v>
      </c>
      <c r="T62" s="42">
        <f t="shared" si="21"/>
        <v>-3.2939436870568092E-2</v>
      </c>
      <c r="U62" s="40">
        <f t="shared" si="8"/>
        <v>0.15970814435356123</v>
      </c>
      <c r="V62" s="38">
        <f t="shared" si="9"/>
        <v>169035.0999838092</v>
      </c>
      <c r="W62" s="38">
        <f t="shared" si="10"/>
        <v>156433.41058129995</v>
      </c>
      <c r="X62" s="200">
        <f t="shared" si="22"/>
        <v>-6.5393669892754389E-3</v>
      </c>
      <c r="Y62" s="168">
        <f t="shared" si="23"/>
        <v>-2.1208583670000946E-3</v>
      </c>
      <c r="Z62" s="200">
        <f t="shared" si="13"/>
        <v>-4.4185086222753439E-3</v>
      </c>
      <c r="AA62" s="168">
        <f t="shared" si="17"/>
        <v>-4.4185086222753439E-3</v>
      </c>
      <c r="AB62" s="180">
        <f t="shared" si="24"/>
        <v>-5674.6095065377885</v>
      </c>
      <c r="AC62" s="1">
        <f t="shared" si="18"/>
        <v>0.19606682879044157</v>
      </c>
    </row>
    <row r="63" spans="1:29" x14ac:dyDescent="0.15">
      <c r="A63" s="5"/>
      <c r="B63" s="6">
        <v>42506</v>
      </c>
      <c r="C63" s="3" t="s">
        <v>6</v>
      </c>
      <c r="D63" s="3" t="s">
        <v>7</v>
      </c>
      <c r="E63" s="4">
        <v>1058400</v>
      </c>
      <c r="F63" s="34">
        <f t="shared" si="6"/>
        <v>1242184</v>
      </c>
      <c r="G63" s="46">
        <f t="shared" si="15"/>
        <v>1228554.0438181746</v>
      </c>
      <c r="H63" s="166">
        <f t="shared" si="7"/>
        <v>1258543.4357698131</v>
      </c>
      <c r="I63" s="5">
        <v>31400</v>
      </c>
      <c r="J63" s="23">
        <v>37.979999999999997</v>
      </c>
      <c r="K63" s="13">
        <v>39.56</v>
      </c>
      <c r="L63" s="173">
        <f t="shared" si="0"/>
        <v>4.1600842548709993E-2</v>
      </c>
      <c r="M63" s="11">
        <v>5714.31</v>
      </c>
      <c r="N63" s="17">
        <v>5812.5420000000004</v>
      </c>
      <c r="O63" s="171">
        <f t="shared" si="1"/>
        <v>1.7190526940260499E-2</v>
      </c>
      <c r="P63" s="1">
        <f t="shared" si="2"/>
        <v>2.4410315608449494E-2</v>
      </c>
      <c r="Q63" s="40">
        <f t="shared" si="19"/>
        <v>2.4410315608449494E-2</v>
      </c>
      <c r="R63" s="47">
        <f t="shared" si="16"/>
        <v>29989.391951638532</v>
      </c>
      <c r="S63" s="41">
        <f t="shared" si="20"/>
        <v>0.17364323507180662</v>
      </c>
      <c r="T63" s="42">
        <f t="shared" si="21"/>
        <v>-1.6315156207228104E-2</v>
      </c>
      <c r="U63" s="40">
        <f t="shared" si="8"/>
        <v>0.18995839127903472</v>
      </c>
      <c r="V63" s="38">
        <f t="shared" si="9"/>
        <v>201051.96132973034</v>
      </c>
      <c r="W63" s="38">
        <f t="shared" si="10"/>
        <v>213330.09862913791</v>
      </c>
      <c r="X63" s="200">
        <f t="shared" si="22"/>
        <v>4.1600842548709993E-2</v>
      </c>
      <c r="Y63" s="168">
        <f t="shared" si="23"/>
        <v>1.7190526940260499E-2</v>
      </c>
      <c r="Z63" s="200">
        <f t="shared" si="13"/>
        <v>2.4410315608449494E-2</v>
      </c>
      <c r="AA63" s="200">
        <f t="shared" si="17"/>
        <v>2.4410315608449494E-2</v>
      </c>
      <c r="AB63" s="180">
        <f t="shared" si="24"/>
        <v>32016.861345921148</v>
      </c>
      <c r="AC63" s="1">
        <f t="shared" si="18"/>
        <v>0.22047714439889107</v>
      </c>
    </row>
    <row r="64" spans="1:29" x14ac:dyDescent="0.15">
      <c r="A64" s="2"/>
      <c r="B64" s="6">
        <v>42507</v>
      </c>
      <c r="C64" s="3" t="s">
        <v>6</v>
      </c>
      <c r="D64" s="3" t="s">
        <v>7</v>
      </c>
      <c r="E64" s="4">
        <v>1058400</v>
      </c>
      <c r="F64" s="34">
        <f t="shared" si="6"/>
        <v>1219262</v>
      </c>
      <c r="G64" s="46">
        <f t="shared" si="15"/>
        <v>1258543.4357698131</v>
      </c>
      <c r="H64" s="166">
        <f t="shared" si="7"/>
        <v>1240126.5611329989</v>
      </c>
      <c r="I64" s="5">
        <v>31400</v>
      </c>
      <c r="J64" s="22">
        <v>39.56</v>
      </c>
      <c r="K64" s="12">
        <v>38.83</v>
      </c>
      <c r="L64" s="173">
        <f t="shared" si="0"/>
        <v>-1.845298281092022E-2</v>
      </c>
      <c r="M64" s="25">
        <v>5812.5420000000004</v>
      </c>
      <c r="N64" s="16">
        <v>5790.3410000000003</v>
      </c>
      <c r="O64" s="171">
        <f t="shared" si="1"/>
        <v>-3.8194992827578745E-3</v>
      </c>
      <c r="P64" s="1">
        <f t="shared" si="2"/>
        <v>-1.4633483528162345E-2</v>
      </c>
      <c r="Q64" s="40">
        <f t="shared" si="19"/>
        <v>-1.4633483528162345E-2</v>
      </c>
      <c r="R64" s="47">
        <f t="shared" si="16"/>
        <v>-18416.874636814406</v>
      </c>
      <c r="S64" s="41">
        <f t="shared" si="20"/>
        <v>0.15198601662887376</v>
      </c>
      <c r="T64" s="42">
        <f t="shared" si="21"/>
        <v>-2.0072339762554389E-2</v>
      </c>
      <c r="U64" s="40">
        <f t="shared" si="8"/>
        <v>0.17205835639142814</v>
      </c>
      <c r="V64" s="38">
        <f t="shared" si="9"/>
        <v>182106.56440468755</v>
      </c>
      <c r="W64" s="38">
        <f t="shared" si="10"/>
        <v>191281.00355707074</v>
      </c>
      <c r="X64" s="200">
        <f t="shared" si="22"/>
        <v>-1.845298281092022E-2</v>
      </c>
      <c r="Y64" s="168">
        <f t="shared" si="23"/>
        <v>-3.8194992827578745E-3</v>
      </c>
      <c r="Z64" s="200">
        <f t="shared" si="13"/>
        <v>-1.4633483528162345E-2</v>
      </c>
      <c r="AA64" s="168">
        <f t="shared" si="17"/>
        <v>-1.4633483528162345E-2</v>
      </c>
      <c r="AB64" s="180">
        <f t="shared" si="24"/>
        <v>-18945.396925042791</v>
      </c>
      <c r="AC64" s="1">
        <f t="shared" si="18"/>
        <v>0.20584366087072872</v>
      </c>
    </row>
    <row r="65" spans="1:29" x14ac:dyDescent="0.15">
      <c r="B65" s="6">
        <v>42508</v>
      </c>
      <c r="C65" s="3" t="s">
        <v>6</v>
      </c>
      <c r="D65" s="3" t="s">
        <v>7</v>
      </c>
      <c r="E65" s="4">
        <v>1058400</v>
      </c>
      <c r="F65" s="34">
        <f t="shared" si="6"/>
        <v>1183780</v>
      </c>
      <c r="G65" s="46">
        <f t="shared" si="15"/>
        <v>1240126.5611329989</v>
      </c>
      <c r="H65" s="166">
        <f t="shared" si="7"/>
        <v>1238123.0004885618</v>
      </c>
      <c r="I65" s="5">
        <v>31400</v>
      </c>
      <c r="J65" s="21">
        <v>38.83</v>
      </c>
      <c r="K65" s="12">
        <v>37.700000000000003</v>
      </c>
      <c r="L65" s="173">
        <f t="shared" si="0"/>
        <v>-2.9101210404326436E-2</v>
      </c>
      <c r="M65" s="11">
        <v>5790.3410000000003</v>
      </c>
      <c r="N65" s="16">
        <v>5631.19</v>
      </c>
      <c r="O65" s="171">
        <f t="shared" si="1"/>
        <v>-2.7485600588980984E-2</v>
      </c>
      <c r="P65" s="1">
        <f t="shared" si="2"/>
        <v>-1.6156098153454514E-3</v>
      </c>
      <c r="Q65" s="40">
        <f t="shared" si="19"/>
        <v>-1.6156098153454514E-3</v>
      </c>
      <c r="R65" s="47">
        <f t="shared" si="16"/>
        <v>-2003.560644437074</v>
      </c>
      <c r="S65" s="41">
        <f t="shared" si="20"/>
        <v>0.11846182917611502</v>
      </c>
      <c r="T65" s="42">
        <f t="shared" si="21"/>
        <v>-4.7006240037935479E-2</v>
      </c>
      <c r="U65" s="40">
        <f t="shared" si="8"/>
        <v>0.16546806921405049</v>
      </c>
      <c r="V65" s="38">
        <f t="shared" si="9"/>
        <v>175131.40445615104</v>
      </c>
      <c r="W65" s="38">
        <f t="shared" si="10"/>
        <v>146907.66084170027</v>
      </c>
      <c r="X65" s="200">
        <f t="shared" si="22"/>
        <v>-2.9101210404326436E-2</v>
      </c>
      <c r="Y65" s="168">
        <f t="shared" si="23"/>
        <v>-2.7485600588980984E-2</v>
      </c>
      <c r="Z65" s="200">
        <f t="shared" si="13"/>
        <v>-1.6156098153454514E-3</v>
      </c>
      <c r="AA65" s="200">
        <f t="shared" si="17"/>
        <v>-1.6156098153454514E-3</v>
      </c>
      <c r="AB65" s="180">
        <f t="shared" si="24"/>
        <v>-6975.159948536515</v>
      </c>
      <c r="AC65" s="1">
        <f t="shared" si="18"/>
        <v>0.20422805105538328</v>
      </c>
    </row>
    <row r="66" spans="1:29" x14ac:dyDescent="0.15">
      <c r="B66" s="6">
        <v>42509</v>
      </c>
      <c r="C66" s="3" t="s">
        <v>6</v>
      </c>
      <c r="D66" s="3" t="s">
        <v>7</v>
      </c>
      <c r="E66" s="4">
        <v>1058400</v>
      </c>
      <c r="F66" s="34">
        <f t="shared" si="6"/>
        <v>1220518</v>
      </c>
      <c r="G66" s="46">
        <f t="shared" si="15"/>
        <v>1238123.0004885618</v>
      </c>
      <c r="H66" s="166">
        <f t="shared" si="7"/>
        <v>1268733.3701686489</v>
      </c>
      <c r="I66" s="5">
        <v>31400</v>
      </c>
      <c r="J66" s="21">
        <v>37.700000000000003</v>
      </c>
      <c r="K66" s="12">
        <v>38.869999999999997</v>
      </c>
      <c r="L66" s="173">
        <f t="shared" si="0"/>
        <v>3.1034482758620544E-2</v>
      </c>
      <c r="M66" s="25">
        <v>5631.19</v>
      </c>
      <c r="N66" s="16">
        <v>5666.73</v>
      </c>
      <c r="O66" s="171">
        <f t="shared" si="1"/>
        <v>6.3112770124964645E-3</v>
      </c>
      <c r="P66" s="1">
        <f t="shared" si="2"/>
        <v>2.4723205746124077E-2</v>
      </c>
      <c r="Q66" s="40">
        <f t="shared" si="19"/>
        <v>2.4723205746124077E-2</v>
      </c>
      <c r="R66" s="47">
        <f t="shared" si="16"/>
        <v>30610.369680087195</v>
      </c>
      <c r="S66" s="41">
        <f t="shared" si="20"/>
        <v>0.15317271352985634</v>
      </c>
      <c r="T66" s="42">
        <f t="shared" si="21"/>
        <v>-4.0991632427634331E-2</v>
      </c>
      <c r="U66" s="40">
        <f t="shared" si="8"/>
        <v>0.19416434595749066</v>
      </c>
      <c r="V66" s="38">
        <f t="shared" si="9"/>
        <v>205503.5437614081</v>
      </c>
      <c r="W66" s="38">
        <f t="shared" si="10"/>
        <v>189646.65966856066</v>
      </c>
      <c r="X66" s="200">
        <f t="shared" si="22"/>
        <v>3.1034482758620544E-2</v>
      </c>
      <c r="Y66" s="168">
        <f t="shared" si="23"/>
        <v>6.3112770124964645E-3</v>
      </c>
      <c r="Z66" s="200">
        <f t="shared" si="13"/>
        <v>2.4723205746124077E-2</v>
      </c>
      <c r="AA66" s="168">
        <f t="shared" si="17"/>
        <v>2.4723205746124077E-2</v>
      </c>
      <c r="AB66" s="180">
        <f t="shared" si="24"/>
        <v>30372.139305257064</v>
      </c>
      <c r="AC66" s="1">
        <f t="shared" si="18"/>
        <v>0.22895125680150735</v>
      </c>
    </row>
    <row r="67" spans="1:29" x14ac:dyDescent="0.15">
      <c r="B67" s="6">
        <v>42510</v>
      </c>
      <c r="C67" s="3" t="s">
        <v>6</v>
      </c>
      <c r="D67" s="3" t="s">
        <v>7</v>
      </c>
      <c r="E67" s="4">
        <v>1058400</v>
      </c>
      <c r="F67" s="34">
        <f t="shared" si="6"/>
        <v>1210470</v>
      </c>
      <c r="G67" s="46">
        <f t="shared" si="15"/>
        <v>1268733.3701686489</v>
      </c>
      <c r="H67" s="166">
        <f t="shared" si="7"/>
        <v>1243473.5251371302</v>
      </c>
      <c r="I67" s="5">
        <v>31400</v>
      </c>
      <c r="J67" s="21">
        <v>38.869999999999997</v>
      </c>
      <c r="K67" s="12">
        <v>38.549999999999997</v>
      </c>
      <c r="L67" s="173">
        <f t="shared" ref="L67" si="25">(K67-J67)/J67</f>
        <v>-8.2325701054798122E-3</v>
      </c>
      <c r="M67" s="25">
        <v>5666.73</v>
      </c>
      <c r="N67" s="16">
        <v>5732.9</v>
      </c>
      <c r="O67" s="171">
        <f t="shared" ref="O67" si="26">(N67-M67)/M67</f>
        <v>1.1676928316683533E-2</v>
      </c>
      <c r="P67" s="1">
        <f t="shared" ref="P67:P70" si="27">L67-O67</f>
        <v>-1.9909498422163344E-2</v>
      </c>
      <c r="Q67" s="40">
        <f t="shared" si="19"/>
        <v>-1.9909498422163344E-2</v>
      </c>
      <c r="R67" s="47">
        <f t="shared" si="16"/>
        <v>-25259.845031518696</v>
      </c>
      <c r="S67" s="41">
        <f t="shared" si="20"/>
        <v>0.14367913832199541</v>
      </c>
      <c r="T67" s="42">
        <f t="shared" si="21"/>
        <v>-2.9793360464392123E-2</v>
      </c>
      <c r="U67" s="40">
        <f t="shared" si="8"/>
        <v>0.17347249878638754</v>
      </c>
      <c r="V67" s="38">
        <f t="shared" si="9"/>
        <v>183603.29271551257</v>
      </c>
      <c r="W67" s="38">
        <f t="shared" si="10"/>
        <v>182290.51738619272</v>
      </c>
      <c r="X67" s="200">
        <f t="shared" si="22"/>
        <v>-8.2325701054798122E-3</v>
      </c>
      <c r="Y67" s="168">
        <f t="shared" si="23"/>
        <v>1.1676928316683533E-2</v>
      </c>
      <c r="Z67" s="200">
        <f t="shared" si="13"/>
        <v>-1.9909498422163344E-2</v>
      </c>
      <c r="AA67" s="200">
        <f t="shared" si="17"/>
        <v>-1.9909498422163344E-2</v>
      </c>
      <c r="AB67" s="180">
        <f t="shared" si="24"/>
        <v>-21900.251045895537</v>
      </c>
      <c r="AC67" s="1">
        <f t="shared" si="18"/>
        <v>0.20904175837934402</v>
      </c>
    </row>
    <row r="68" spans="1:29" x14ac:dyDescent="0.15">
      <c r="B68" s="172">
        <v>42513</v>
      </c>
      <c r="C68" s="166" t="s">
        <v>6</v>
      </c>
      <c r="D68" s="166" t="s">
        <v>7</v>
      </c>
      <c r="E68" s="169">
        <v>1058400</v>
      </c>
      <c r="F68" s="34">
        <f t="shared" si="6"/>
        <v>1235590</v>
      </c>
      <c r="G68" s="46">
        <f t="shared" si="15"/>
        <v>1243473.5251371302</v>
      </c>
      <c r="H68" s="166">
        <f t="shared" si="7"/>
        <v>1252668.1208073515</v>
      </c>
      <c r="I68" s="170">
        <v>31400</v>
      </c>
      <c r="J68" s="165">
        <v>38.549999999999997</v>
      </c>
      <c r="K68" s="165">
        <v>39.35</v>
      </c>
      <c r="L68" s="173">
        <f>(K68-J68)/J68</f>
        <v>2.0752269779507247E-2</v>
      </c>
      <c r="M68" s="180">
        <v>5732.9</v>
      </c>
      <c r="N68" s="177">
        <v>5809.48</v>
      </c>
      <c r="O68" s="171">
        <f>(N68-M68)/M68</f>
        <v>1.3357986359434132E-2</v>
      </c>
      <c r="P68" s="1">
        <f t="shared" si="2"/>
        <v>7.3942834200731149E-3</v>
      </c>
      <c r="Q68" s="40">
        <f t="shared" si="19"/>
        <v>7.3942834200731149E-3</v>
      </c>
      <c r="R68" s="47">
        <f t="shared" si="16"/>
        <v>9194.5956702213516</v>
      </c>
      <c r="S68" s="41">
        <f t="shared" si="20"/>
        <v>0.16741307634164784</v>
      </c>
      <c r="T68" s="42">
        <f t="shared" si="21"/>
        <v>-1.6833353407643047E-2</v>
      </c>
      <c r="U68" s="40">
        <f t="shared" si="8"/>
        <v>0.1842464297492909</v>
      </c>
      <c r="V68" s="38">
        <f t="shared" si="9"/>
        <v>195006.42124664949</v>
      </c>
      <c r="W68" s="38">
        <f t="shared" si="10"/>
        <v>208173.72819260033</v>
      </c>
      <c r="X68" s="200">
        <f t="shared" si="22"/>
        <v>2.0752269779507247E-2</v>
      </c>
      <c r="Y68" s="168">
        <f t="shared" si="23"/>
        <v>1.3357986359434132E-2</v>
      </c>
      <c r="Z68" s="200">
        <f t="shared" si="13"/>
        <v>7.3942834200731149E-3</v>
      </c>
      <c r="AA68" s="168">
        <f t="shared" si="17"/>
        <v>7.3942834200731149E-3</v>
      </c>
      <c r="AB68" s="180">
        <f t="shared" si="24"/>
        <v>11403.128531136928</v>
      </c>
      <c r="AC68" s="1">
        <f t="shared" si="18"/>
        <v>0.21643604179941714</v>
      </c>
    </row>
    <row r="69" spans="1:29" x14ac:dyDescent="0.15">
      <c r="B69" s="172">
        <v>42514</v>
      </c>
      <c r="C69" s="166" t="s">
        <v>6</v>
      </c>
      <c r="D69" s="166" t="s">
        <v>7</v>
      </c>
      <c r="E69" s="169">
        <v>1058400</v>
      </c>
      <c r="F69" s="34">
        <f t="shared" si="6"/>
        <v>1206074</v>
      </c>
      <c r="G69" s="46">
        <f t="shared" si="15"/>
        <v>1252668.1208073515</v>
      </c>
      <c r="H69" s="166">
        <f t="shared" si="7"/>
        <v>1237040.0815724356</v>
      </c>
      <c r="I69" s="170">
        <v>31400</v>
      </c>
      <c r="J69" s="165">
        <v>39.35</v>
      </c>
      <c r="K69" s="165">
        <v>38.409999999999997</v>
      </c>
      <c r="L69" s="173">
        <f t="shared" ref="L69:L93" si="28">(K69-J69)/J69</f>
        <v>-2.3888182973316512E-2</v>
      </c>
      <c r="M69" s="177">
        <v>5809.48</v>
      </c>
      <c r="N69" s="177">
        <v>5743.18</v>
      </c>
      <c r="O69" s="171">
        <f t="shared" ref="O69:O70" si="29">(N69-M69)/M69</f>
        <v>-1.1412381142546196E-2</v>
      </c>
      <c r="P69" s="1">
        <f t="shared" si="27"/>
        <v>-1.2475801830770315E-2</v>
      </c>
      <c r="Q69" s="40">
        <f t="shared" si="19"/>
        <v>-1.2475801830770315E-2</v>
      </c>
      <c r="R69" s="47">
        <f t="shared" si="16"/>
        <v>-15628.039234915967</v>
      </c>
      <c r="S69" s="41">
        <f t="shared" si="20"/>
        <v>0.13952569916855626</v>
      </c>
      <c r="T69" s="42">
        <f t="shared" si="21"/>
        <v>-2.805362590519404E-2</v>
      </c>
      <c r="U69" s="40">
        <f t="shared" si="8"/>
        <v>0.16757932507375028</v>
      </c>
      <c r="V69" s="38">
        <f t="shared" si="9"/>
        <v>177365.9576580573</v>
      </c>
      <c r="W69" s="38">
        <f t="shared" si="10"/>
        <v>174779.3953818072</v>
      </c>
      <c r="X69" s="200">
        <f t="shared" si="22"/>
        <v>-2.3888182973316512E-2</v>
      </c>
      <c r="Y69" s="168">
        <f t="shared" si="23"/>
        <v>-1.1412381142546196E-2</v>
      </c>
      <c r="Z69" s="200">
        <f t="shared" si="13"/>
        <v>-1.2475801830770315E-2</v>
      </c>
      <c r="AA69" s="200">
        <f t="shared" si="17"/>
        <v>-1.2475801830770315E-2</v>
      </c>
      <c r="AB69" s="180">
        <f t="shared" si="24"/>
        <v>-17640.463588592189</v>
      </c>
      <c r="AC69" s="1">
        <f t="shared" si="18"/>
        <v>0.20396023996864682</v>
      </c>
    </row>
    <row r="70" spans="1:29" x14ac:dyDescent="0.15">
      <c r="B70" s="172">
        <v>42515</v>
      </c>
      <c r="C70" s="166" t="s">
        <v>6</v>
      </c>
      <c r="D70" s="166" t="s">
        <v>7</v>
      </c>
      <c r="E70" s="169">
        <v>1058400</v>
      </c>
      <c r="F70" s="34">
        <f t="shared" si="6"/>
        <v>1193200</v>
      </c>
      <c r="G70" s="46">
        <f t="shared" si="15"/>
        <v>1237040.0815724356</v>
      </c>
      <c r="H70" s="166">
        <f t="shared" si="7"/>
        <v>1229866.5408624017</v>
      </c>
      <c r="I70" s="170">
        <v>31400</v>
      </c>
      <c r="J70" s="165">
        <v>38.409999999999997</v>
      </c>
      <c r="K70" s="165">
        <v>38</v>
      </c>
      <c r="L70" s="190">
        <f t="shared" si="28"/>
        <v>-1.0674303566779397E-2</v>
      </c>
      <c r="M70" s="177">
        <v>5743.18</v>
      </c>
      <c r="N70" s="177">
        <v>5715.18</v>
      </c>
      <c r="O70" s="191">
        <f t="shared" si="29"/>
        <v>-4.8753478038299335E-3</v>
      </c>
      <c r="P70" s="1">
        <f t="shared" si="27"/>
        <v>-5.7989557629494638E-3</v>
      </c>
      <c r="Q70" s="40">
        <f t="shared" si="19"/>
        <v>-5.7989557629494638E-3</v>
      </c>
      <c r="R70" s="47">
        <f t="shared" si="16"/>
        <v>-7173.5407100339498</v>
      </c>
      <c r="S70" s="41">
        <f t="shared" si="20"/>
        <v>0.12736205593348454</v>
      </c>
      <c r="T70" s="42">
        <f t="shared" si="21"/>
        <v>-3.2792202525577623E-2</v>
      </c>
      <c r="U70" s="40">
        <f t="shared" si="8"/>
        <v>0.16015425845906217</v>
      </c>
      <c r="V70" s="38">
        <f t="shared" si="9"/>
        <v>169507.26715307141</v>
      </c>
      <c r="W70" s="38">
        <f t="shared" si="10"/>
        <v>157551.96806119083</v>
      </c>
      <c r="X70" s="200">
        <f t="shared" si="22"/>
        <v>-1.0674303566779397E-2</v>
      </c>
      <c r="Y70" s="168">
        <f t="shared" si="23"/>
        <v>-4.8753478038299335E-3</v>
      </c>
      <c r="Z70" s="200">
        <f t="shared" si="13"/>
        <v>-5.7989557629494638E-3</v>
      </c>
      <c r="AA70" s="168">
        <f t="shared" si="17"/>
        <v>-5.7989557629494638E-3</v>
      </c>
      <c r="AB70" s="180">
        <f t="shared" si="24"/>
        <v>-7858.6905049858906</v>
      </c>
      <c r="AC70" s="1">
        <f t="shared" si="18"/>
        <v>0.19816128420569734</v>
      </c>
    </row>
    <row r="71" spans="1:29" x14ac:dyDescent="0.15">
      <c r="B71" s="172">
        <v>42516</v>
      </c>
      <c r="C71" s="166" t="s">
        <v>6</v>
      </c>
      <c r="D71" s="166" t="s">
        <v>7</v>
      </c>
      <c r="E71" s="169">
        <v>1058400</v>
      </c>
      <c r="F71" s="34">
        <f t="shared" si="6"/>
        <v>1221460</v>
      </c>
      <c r="G71" s="46">
        <f t="shared" ref="G71" si="30">G70*(1+Q70)</f>
        <v>1229866.5408624017</v>
      </c>
      <c r="H71" s="166">
        <f t="shared" ref="H71" si="31">G71*(1+Q71)</f>
        <v>1252709.1723708026</v>
      </c>
      <c r="I71" s="170">
        <v>31400</v>
      </c>
      <c r="J71" s="165">
        <v>38</v>
      </c>
      <c r="K71" s="165">
        <v>38.9</v>
      </c>
      <c r="L71" s="190">
        <f t="shared" si="28"/>
        <v>2.3684210526315752E-2</v>
      </c>
      <c r="M71" s="177">
        <v>5715.18</v>
      </c>
      <c r="N71" s="177">
        <v>5744.39</v>
      </c>
      <c r="O71" s="191">
        <f t="shared" ref="O71:O93" si="32">(N71-M71)/M71</f>
        <v>5.1109501363036745E-3</v>
      </c>
      <c r="P71" s="1">
        <f t="shared" ref="P71:P93" si="33">L71-O71</f>
        <v>1.8573260390012079E-2</v>
      </c>
      <c r="Q71" s="40">
        <f t="shared" si="19"/>
        <v>1.8573260390012079E-2</v>
      </c>
      <c r="R71" s="47">
        <f t="shared" si="16"/>
        <v>22842.631508400817</v>
      </c>
      <c r="S71" s="41">
        <f t="shared" si="20"/>
        <v>0.15406273620559335</v>
      </c>
      <c r="T71" s="42">
        <f t="shared" si="21"/>
        <v>-2.7848851701241746E-2</v>
      </c>
      <c r="U71" s="40">
        <f t="shared" si="8"/>
        <v>0.18191158790683509</v>
      </c>
      <c r="V71" s="38">
        <f t="shared" si="9"/>
        <v>192535.22464059427</v>
      </c>
      <c r="W71" s="38">
        <f t="shared" si="10"/>
        <v>189476.6044529698</v>
      </c>
      <c r="X71" s="200">
        <f t="shared" si="22"/>
        <v>2.3684210526315752E-2</v>
      </c>
      <c r="Y71" s="168">
        <f t="shared" si="23"/>
        <v>5.1109501363036745E-3</v>
      </c>
      <c r="Z71" s="200">
        <f t="shared" si="13"/>
        <v>1.8573260390012079E-2</v>
      </c>
      <c r="AA71" s="200">
        <f t="shared" si="17"/>
        <v>1.8573260390012079E-2</v>
      </c>
      <c r="AB71" s="180">
        <f t="shared" si="24"/>
        <v>23027.957487522857</v>
      </c>
      <c r="AC71" s="1">
        <f t="shared" si="18"/>
        <v>0.21673454459570943</v>
      </c>
    </row>
    <row r="72" spans="1:29" x14ac:dyDescent="0.15">
      <c r="B72" s="172">
        <v>42517</v>
      </c>
      <c r="C72" s="166" t="s">
        <v>6</v>
      </c>
      <c r="D72" s="166" t="s">
        <v>7</v>
      </c>
      <c r="E72" s="169">
        <v>1058400</v>
      </c>
      <c r="F72" s="34">
        <f t="shared" si="6"/>
        <v>1223658</v>
      </c>
      <c r="G72" s="46">
        <f t="shared" ref="G72" si="34">G71*(1+Q71)</f>
        <v>1252709.1723708026</v>
      </c>
      <c r="H72" s="166">
        <f t="shared" ref="H72" si="35">G72*(1+Q72)</f>
        <v>1256010.1659202545</v>
      </c>
      <c r="I72" s="170">
        <v>31400</v>
      </c>
      <c r="J72" s="165">
        <v>38.9</v>
      </c>
      <c r="K72" s="165">
        <v>38.97</v>
      </c>
      <c r="L72" s="190">
        <f t="shared" si="28"/>
        <v>1.7994858611825267E-3</v>
      </c>
      <c r="M72" s="177">
        <v>5744.39</v>
      </c>
      <c r="N72" s="177">
        <v>5739.59</v>
      </c>
      <c r="O72" s="191">
        <f t="shared" si="32"/>
        <v>-8.3559786156583754E-4</v>
      </c>
      <c r="P72" s="1">
        <f t="shared" si="33"/>
        <v>2.6350837227483645E-3</v>
      </c>
      <c r="Q72" s="40">
        <f t="shared" si="19"/>
        <v>2.6350837227483645E-3</v>
      </c>
      <c r="R72" s="47">
        <f t="shared" si="16"/>
        <v>3300.9935494518772</v>
      </c>
      <c r="S72" s="41">
        <f t="shared" si="20"/>
        <v>0.15613945578231295</v>
      </c>
      <c r="T72" s="42">
        <f t="shared" si="21"/>
        <v>-2.866117912187896E-2</v>
      </c>
      <c r="U72" s="40">
        <f t="shared" si="8"/>
        <v>0.18480063490419191</v>
      </c>
      <c r="V72" s="38">
        <f t="shared" si="9"/>
        <v>195592.99198259672</v>
      </c>
      <c r="W72" s="38">
        <f t="shared" si="10"/>
        <v>195597.32842748877</v>
      </c>
      <c r="X72" s="200">
        <f t="shared" si="22"/>
        <v>1.7994858611825267E-3</v>
      </c>
      <c r="Y72" s="168">
        <f t="shared" si="23"/>
        <v>-8.3559786156583754E-4</v>
      </c>
      <c r="Z72" s="200">
        <f t="shared" ref="Z72:Z74" si="36">X72-Y72</f>
        <v>2.6350837227483645E-3</v>
      </c>
      <c r="AA72" s="168">
        <f t="shared" si="17"/>
        <v>2.6350837227483645E-3</v>
      </c>
      <c r="AB72" s="180">
        <f t="shared" si="24"/>
        <v>3057.7673420024512</v>
      </c>
      <c r="AC72" s="1">
        <f t="shared" si="18"/>
        <v>0.2193696283184578</v>
      </c>
    </row>
    <row r="73" spans="1:29" x14ac:dyDescent="0.15">
      <c r="A73" t="s">
        <v>116</v>
      </c>
      <c r="B73" s="172">
        <v>42520</v>
      </c>
      <c r="C73" s="166" t="s">
        <v>6</v>
      </c>
      <c r="D73" s="166" t="s">
        <v>7</v>
      </c>
      <c r="E73" s="169">
        <v>1058400</v>
      </c>
      <c r="F73" s="34">
        <f t="shared" ref="F73:F74" si="37">K73*I73</f>
        <v>1189432</v>
      </c>
      <c r="G73" s="46">
        <f t="shared" ref="G73" si="38">G72*(1+Q72)</f>
        <v>1256010.1659202545</v>
      </c>
      <c r="H73" s="166">
        <f t="shared" ref="H73" si="39">G73*(1+Q73)</f>
        <v>1227067.8579736648</v>
      </c>
      <c r="I73" s="170">
        <v>31400</v>
      </c>
      <c r="J73" s="165">
        <v>38.97</v>
      </c>
      <c r="K73" s="165">
        <v>37.880000000000003</v>
      </c>
      <c r="L73" s="190">
        <f t="shared" si="28"/>
        <v>-2.7970233512958593E-2</v>
      </c>
      <c r="M73" s="177">
        <v>5739.59</v>
      </c>
      <c r="N73" s="177">
        <v>5711.31</v>
      </c>
      <c r="O73" s="191">
        <f t="shared" si="32"/>
        <v>-4.9271812098076245E-3</v>
      </c>
      <c r="P73" s="1">
        <f t="shared" si="33"/>
        <v>-2.3043052303150968E-2</v>
      </c>
      <c r="Q73" s="40">
        <f t="shared" si="19"/>
        <v>-2.3043052303150968E-2</v>
      </c>
      <c r="R73" s="47">
        <f t="shared" si="16"/>
        <v>-28942.30794658975</v>
      </c>
      <c r="S73" s="41">
        <f t="shared" si="20"/>
        <v>0.12380196523053678</v>
      </c>
      <c r="T73" s="42">
        <f t="shared" si="21"/>
        <v>-3.3447141508466331E-2</v>
      </c>
      <c r="U73" s="40">
        <f t="shared" si="8"/>
        <v>0.15724910673900311</v>
      </c>
      <c r="V73" s="38">
        <f t="shared" si="9"/>
        <v>166432.45457256088</v>
      </c>
      <c r="W73" s="38">
        <f t="shared" si="10"/>
        <v>155496.52689046008</v>
      </c>
      <c r="X73" s="200">
        <f t="shared" si="22"/>
        <v>-2.7970233512958593E-2</v>
      </c>
      <c r="Y73" s="168">
        <f t="shared" si="23"/>
        <v>-4.9271812098076245E-3</v>
      </c>
      <c r="Z73" s="200">
        <f t="shared" si="36"/>
        <v>-2.3043052303150968E-2</v>
      </c>
      <c r="AA73" s="200">
        <f t="shared" ref="AA73:AA74" si="40">Z73</f>
        <v>-2.3043052303150968E-2</v>
      </c>
      <c r="AB73" s="180">
        <f t="shared" si="24"/>
        <v>-29160.537410035846</v>
      </c>
      <c r="AC73" s="1">
        <f t="shared" ref="AC73:AC74" si="41">AA73+AC72</f>
        <v>0.19632657601530684</v>
      </c>
    </row>
    <row r="74" spans="1:29" x14ac:dyDescent="0.15">
      <c r="A74">
        <v>2826</v>
      </c>
      <c r="B74" s="172">
        <v>42521</v>
      </c>
      <c r="C74" s="166" t="s">
        <v>6</v>
      </c>
      <c r="D74" s="166" t="s">
        <v>7</v>
      </c>
      <c r="E74" s="169">
        <v>1058400</v>
      </c>
      <c r="F74" s="34">
        <f t="shared" si="37"/>
        <v>1249092</v>
      </c>
      <c r="G74" s="46">
        <f t="shared" ref="G74" si="42">G73*(1+Q73)</f>
        <v>1227067.8579736648</v>
      </c>
      <c r="H74" s="166">
        <f t="shared" ref="H74" si="43">G74*(1+Q74)</f>
        <v>1237909.1569118327</v>
      </c>
      <c r="I74" s="170">
        <v>31400</v>
      </c>
      <c r="J74" s="165">
        <v>37.880000000000003</v>
      </c>
      <c r="K74" s="165">
        <v>39.78</v>
      </c>
      <c r="L74" s="190">
        <f t="shared" si="28"/>
        <v>5.0158394931362156E-2</v>
      </c>
      <c r="M74" s="177">
        <v>5711.31</v>
      </c>
      <c r="N74" s="177">
        <v>5947.32</v>
      </c>
      <c r="O74" s="191">
        <f t="shared" si="32"/>
        <v>4.1323269092379732E-2</v>
      </c>
      <c r="P74" s="1">
        <f t="shared" si="33"/>
        <v>8.8351258389824244E-3</v>
      </c>
      <c r="Q74" s="40">
        <f t="shared" si="19"/>
        <v>8.8351258389824244E-3</v>
      </c>
      <c r="R74" s="47">
        <f t="shared" si="16"/>
        <v>10841.298938167942</v>
      </c>
      <c r="S74" s="41">
        <f t="shared" si="20"/>
        <v>0.18017006802721097</v>
      </c>
      <c r="T74" s="42">
        <f t="shared" si="21"/>
        <v>6.4939823549881428E-3</v>
      </c>
      <c r="U74" s="40">
        <f t="shared" si="8"/>
        <v>0.17367608567222284</v>
      </c>
      <c r="V74" s="38">
        <f t="shared" ref="V74:V93" si="44">E74*U74+$A$74</f>
        <v>186644.76907548067</v>
      </c>
      <c r="W74" s="38">
        <f>E74*S74+$A$74</f>
        <v>193518.00000000009</v>
      </c>
      <c r="X74" s="200">
        <f t="shared" si="22"/>
        <v>5.0158394931362156E-2</v>
      </c>
      <c r="Y74" s="168">
        <f t="shared" si="23"/>
        <v>4.1323269092379732E-2</v>
      </c>
      <c r="Z74" s="200">
        <f t="shared" si="36"/>
        <v>8.8351258389824244E-3</v>
      </c>
      <c r="AA74" s="168">
        <f t="shared" si="40"/>
        <v>8.8351258389824244E-3</v>
      </c>
      <c r="AB74" s="158">
        <f>R74</f>
        <v>10841.298938167942</v>
      </c>
      <c r="AC74" s="1">
        <f t="shared" si="41"/>
        <v>0.20516170185428928</v>
      </c>
    </row>
    <row r="75" spans="1:29" x14ac:dyDescent="0.15">
      <c r="B75" s="172">
        <v>42522</v>
      </c>
      <c r="C75" s="166" t="s">
        <v>6</v>
      </c>
      <c r="D75" s="166" t="s">
        <v>7</v>
      </c>
      <c r="E75" s="169">
        <v>1058400</v>
      </c>
      <c r="F75" s="34">
        <f t="shared" ref="F75" si="45">K75*I75</f>
        <v>1290540</v>
      </c>
      <c r="G75" s="46">
        <f t="shared" ref="G75" si="46">G74*(1+Q74)</f>
        <v>1237909.1569118327</v>
      </c>
      <c r="H75" s="166">
        <f t="shared" ref="H75" si="47">G75*(1+Q75)</f>
        <v>1273478.546634834</v>
      </c>
      <c r="I75" s="170">
        <v>31400</v>
      </c>
      <c r="J75" s="165">
        <v>39.78</v>
      </c>
      <c r="K75" s="165">
        <v>41.1</v>
      </c>
      <c r="L75" s="190">
        <f t="shared" si="28"/>
        <v>3.3182503770739072E-2</v>
      </c>
      <c r="M75" s="177">
        <v>5947.32</v>
      </c>
      <c r="N75" s="177">
        <v>5973.78</v>
      </c>
      <c r="O75" s="191">
        <f t="shared" si="32"/>
        <v>4.449062771130532E-3</v>
      </c>
      <c r="P75" s="1">
        <f t="shared" si="33"/>
        <v>2.8733440999608541E-2</v>
      </c>
      <c r="Q75" s="40">
        <f t="shared" si="19"/>
        <v>2.8733440999608541E-2</v>
      </c>
      <c r="R75" s="47">
        <f t="shared" si="16"/>
        <v>35569.389723001295</v>
      </c>
      <c r="S75" s="41">
        <f t="shared" si="20"/>
        <v>0.21933106575963729</v>
      </c>
      <c r="T75" s="42">
        <f t="shared" si="21"/>
        <v>1.0971937261250632E-2</v>
      </c>
      <c r="U75" s="40">
        <f t="shared" si="8"/>
        <v>0.20835912849838667</v>
      </c>
      <c r="V75" s="38">
        <f t="shared" si="44"/>
        <v>223353.30160269246</v>
      </c>
      <c r="W75" s="38">
        <f t="shared" ref="W75:W76" si="48">E75*S75+$A$74</f>
        <v>234966.00000000012</v>
      </c>
      <c r="X75" s="200">
        <f t="shared" ref="X75" si="49">(K75-K74)/K74</f>
        <v>3.3182503770739072E-2</v>
      </c>
      <c r="Y75" s="168">
        <f t="shared" ref="Y75" si="50">(N75-N74)/N74</f>
        <v>4.449062771130532E-3</v>
      </c>
      <c r="Z75" s="200">
        <f t="shared" ref="Z75" si="51">X75-Y75</f>
        <v>2.8733440999608541E-2</v>
      </c>
      <c r="AA75" s="168">
        <f t="shared" ref="AA75" si="52">Z75</f>
        <v>2.8733440999608541E-2</v>
      </c>
      <c r="AB75" s="158">
        <f t="shared" ref="AB75:AB76" si="53">R75</f>
        <v>35569.389723001295</v>
      </c>
      <c r="AC75" s="1">
        <f t="shared" ref="AC75" si="54">AA75+AC74</f>
        <v>0.23389514285389781</v>
      </c>
    </row>
    <row r="76" spans="1:29" x14ac:dyDescent="0.15">
      <c r="B76" s="172">
        <v>42523</v>
      </c>
      <c r="C76" s="166" t="s">
        <v>6</v>
      </c>
      <c r="D76" s="166" t="s">
        <v>7</v>
      </c>
      <c r="E76" s="169">
        <v>1058400</v>
      </c>
      <c r="F76" s="34">
        <f t="shared" ref="F76:F93" si="55">K76*I76</f>
        <v>1285202</v>
      </c>
      <c r="G76" s="46">
        <f t="shared" ref="G76" si="56">G75*(1+Q75)</f>
        <v>1273478.546634834</v>
      </c>
      <c r="H76" s="166">
        <f t="shared" ref="H76" si="57">G76*(1+Q76)</f>
        <v>1259507.0588788278</v>
      </c>
      <c r="I76" s="170">
        <v>31400</v>
      </c>
      <c r="J76" s="165">
        <v>41.1</v>
      </c>
      <c r="K76" s="165">
        <v>40.93</v>
      </c>
      <c r="L76" s="190">
        <f t="shared" si="28"/>
        <v>-4.1362530413625717E-3</v>
      </c>
      <c r="M76" s="177">
        <v>5973.78</v>
      </c>
      <c r="N76" s="177">
        <v>6014.61</v>
      </c>
      <c r="O76" s="191">
        <f t="shared" si="32"/>
        <v>6.8348683747978551E-3</v>
      </c>
      <c r="P76" s="1">
        <f t="shared" si="33"/>
        <v>-1.0971121416160426E-2</v>
      </c>
      <c r="Q76" s="40">
        <f t="shared" si="19"/>
        <v>-1.0971121416160426E-2</v>
      </c>
      <c r="R76" s="47">
        <f t="shared" si="16"/>
        <v>-13971.487756006281</v>
      </c>
      <c r="S76" s="41">
        <f t="shared" si="20"/>
        <v>0.21428760393046112</v>
      </c>
      <c r="T76" s="42">
        <f t="shared" si="21"/>
        <v>1.7881797383045673E-2</v>
      </c>
      <c r="U76" s="40">
        <f t="shared" si="8"/>
        <v>0.19640580654741543</v>
      </c>
      <c r="V76" s="38">
        <f t="shared" si="44"/>
        <v>210701.90564978449</v>
      </c>
      <c r="W76" s="38">
        <f t="shared" si="48"/>
        <v>229628.00000000006</v>
      </c>
      <c r="X76" s="200">
        <f t="shared" ref="X76" si="58">(K76-K75)/K75</f>
        <v>-4.1362530413625717E-3</v>
      </c>
      <c r="Y76" s="168">
        <f t="shared" ref="Y76" si="59">(N76-N75)/N75</f>
        <v>6.8348683747978551E-3</v>
      </c>
      <c r="Z76" s="200">
        <f t="shared" ref="Z76" si="60">X76-Y76</f>
        <v>-1.0971121416160426E-2</v>
      </c>
      <c r="AA76" s="168">
        <f t="shared" ref="AA76" si="61">Z76</f>
        <v>-1.0971121416160426E-2</v>
      </c>
      <c r="AB76" s="158">
        <f t="shared" si="53"/>
        <v>-13971.487756006281</v>
      </c>
      <c r="AC76" s="1">
        <f t="shared" ref="AC76" si="62">AA76+AC75</f>
        <v>0.22292402143773737</v>
      </c>
    </row>
    <row r="77" spans="1:29" x14ac:dyDescent="0.15">
      <c r="B77" s="172">
        <v>42524</v>
      </c>
      <c r="C77" s="166" t="s">
        <v>6</v>
      </c>
      <c r="D77" s="166" t="s">
        <v>7</v>
      </c>
      <c r="E77" s="169">
        <v>1058400</v>
      </c>
      <c r="F77" s="34">
        <f t="shared" si="55"/>
        <v>1311264</v>
      </c>
      <c r="G77" s="46">
        <f t="shared" ref="G77" si="63">G76*(1+Q76)</f>
        <v>1259507.0588788278</v>
      </c>
      <c r="H77" s="166">
        <f t="shared" ref="H77" si="64">G77*(1+Q77)</f>
        <v>1281280.7546431583</v>
      </c>
      <c r="I77" s="170">
        <v>31400</v>
      </c>
      <c r="J77" s="165">
        <v>40.93</v>
      </c>
      <c r="K77" s="165">
        <v>41.76</v>
      </c>
      <c r="L77" s="190">
        <f t="shared" si="28"/>
        <v>2.0278524309797173E-2</v>
      </c>
      <c r="M77" s="177">
        <v>6014.61</v>
      </c>
      <c r="N77" s="177">
        <v>6032.6</v>
      </c>
      <c r="O77" s="191">
        <f t="shared" si="32"/>
        <v>2.9910501262759666E-3</v>
      </c>
      <c r="P77" s="1">
        <f t="shared" si="33"/>
        <v>1.7287474183521206E-2</v>
      </c>
      <c r="Q77" s="40">
        <f t="shared" si="19"/>
        <v>1.7287474183521206E-2</v>
      </c>
      <c r="R77" s="47">
        <f t="shared" si="16"/>
        <v>21773.695764330459</v>
      </c>
      <c r="S77" s="41">
        <f t="shared" si="20"/>
        <v>0.23891156462585034</v>
      </c>
      <c r="T77" s="42">
        <f t="shared" si="21"/>
        <v>2.0926332861642239E-2</v>
      </c>
      <c r="U77" s="40">
        <f t="shared" si="8"/>
        <v>0.21798523176420809</v>
      </c>
      <c r="V77" s="38">
        <f t="shared" si="44"/>
        <v>233541.56929923783</v>
      </c>
      <c r="W77" s="38">
        <f t="shared" ref="W77:W93" si="65">E77*S77+$A$74</f>
        <v>255690</v>
      </c>
      <c r="X77" s="200">
        <f t="shared" ref="X77" si="66">(K77-K76)/K76</f>
        <v>2.0278524309797173E-2</v>
      </c>
      <c r="Y77" s="168">
        <f t="shared" ref="Y77" si="67">(N77-N76)/N76</f>
        <v>2.9910501262759666E-3</v>
      </c>
      <c r="Z77" s="200">
        <f t="shared" ref="Z77" si="68">X77-Y77</f>
        <v>1.7287474183521206E-2</v>
      </c>
      <c r="AA77" s="168">
        <f t="shared" ref="AA77" si="69">Z77</f>
        <v>1.7287474183521206E-2</v>
      </c>
      <c r="AB77" s="158">
        <f t="shared" ref="AB77" si="70">R77</f>
        <v>21773.695764330459</v>
      </c>
      <c r="AC77" s="1">
        <f t="shared" ref="AC77" si="71">AA77+AC76</f>
        <v>0.24021149562125857</v>
      </c>
    </row>
    <row r="78" spans="1:29" x14ac:dyDescent="0.15">
      <c r="B78" s="172">
        <v>42527</v>
      </c>
      <c r="C78" s="166" t="s">
        <v>6</v>
      </c>
      <c r="D78" s="166" t="s">
        <v>7</v>
      </c>
      <c r="E78" s="169">
        <v>1058400</v>
      </c>
      <c r="F78" s="34">
        <f t="shared" si="55"/>
        <v>1339210</v>
      </c>
      <c r="G78" s="46">
        <f t="shared" ref="G78" si="72">G77*(1+Q77)</f>
        <v>1281280.7546431583</v>
      </c>
      <c r="H78" s="166">
        <f t="shared" ref="H78" si="73">G78*(1+Q78)</f>
        <v>1304497.0587400526</v>
      </c>
      <c r="I78" s="170">
        <v>31400</v>
      </c>
      <c r="J78" s="165">
        <v>41.76</v>
      </c>
      <c r="K78" s="165">
        <v>42.65</v>
      </c>
      <c r="L78" s="190">
        <f t="shared" si="28"/>
        <v>2.1312260536398481E-2</v>
      </c>
      <c r="M78" s="177">
        <v>6032.6</v>
      </c>
      <c r="N78" s="177">
        <v>6051.86</v>
      </c>
      <c r="O78" s="191">
        <f t="shared" si="32"/>
        <v>3.1926532506712374E-3</v>
      </c>
      <c r="P78" s="1">
        <f t="shared" si="33"/>
        <v>1.8119607285727243E-2</v>
      </c>
      <c r="Q78" s="40">
        <f t="shared" si="19"/>
        <v>1.8119607285727243E-2</v>
      </c>
      <c r="R78" s="47">
        <f t="shared" si="16"/>
        <v>23216.30409689427</v>
      </c>
      <c r="S78" s="41">
        <f t="shared" si="20"/>
        <v>0.26531557067271355</v>
      </c>
      <c r="T78" s="42">
        <f t="shared" si="21"/>
        <v>2.4185796636948829E-2</v>
      </c>
      <c r="U78" s="40">
        <f t="shared" si="8"/>
        <v>0.24112977403576472</v>
      </c>
      <c r="V78" s="38">
        <f t="shared" si="44"/>
        <v>258037.75283945337</v>
      </c>
      <c r="W78" s="38">
        <f t="shared" si="65"/>
        <v>283636</v>
      </c>
      <c r="X78" s="200">
        <f t="shared" ref="X78" si="74">(K78-K77)/K77</f>
        <v>2.1312260536398481E-2</v>
      </c>
      <c r="Y78" s="168">
        <f t="shared" ref="Y78" si="75">(N78-N77)/N77</f>
        <v>3.1926532506712374E-3</v>
      </c>
      <c r="Z78" s="200">
        <f t="shared" ref="Z78" si="76">X78-Y78</f>
        <v>1.8119607285727243E-2</v>
      </c>
      <c r="AA78" s="168">
        <f t="shared" ref="AA78" si="77">Z78</f>
        <v>1.8119607285727243E-2</v>
      </c>
      <c r="AB78" s="158">
        <f t="shared" ref="AB78" si="78">R78</f>
        <v>23216.30409689427</v>
      </c>
      <c r="AC78" s="1">
        <f t="shared" ref="AC78" si="79">AA78+AC77</f>
        <v>0.2583311029069858</v>
      </c>
    </row>
    <row r="79" spans="1:29" x14ac:dyDescent="0.15">
      <c r="B79" s="172">
        <v>42528</v>
      </c>
      <c r="C79" s="166" t="s">
        <v>6</v>
      </c>
      <c r="D79" s="166" t="s">
        <v>7</v>
      </c>
      <c r="E79" s="169">
        <v>1058400</v>
      </c>
      <c r="F79" s="34">
        <f t="shared" si="55"/>
        <v>1339524</v>
      </c>
      <c r="G79" s="46">
        <f t="shared" ref="G79" si="80">G78*(1+Q78)</f>
        <v>1304497.0587400526</v>
      </c>
      <c r="H79" s="166">
        <f t="shared" ref="H79" si="81">G79*(1+Q79)</f>
        <v>1306204.0147308542</v>
      </c>
      <c r="I79" s="170">
        <v>31400</v>
      </c>
      <c r="J79" s="165">
        <v>42.65</v>
      </c>
      <c r="K79" s="165">
        <v>42.66</v>
      </c>
      <c r="L79" s="190">
        <f t="shared" si="28"/>
        <v>2.3446658851109052E-4</v>
      </c>
      <c r="M79" s="177">
        <v>6051.86</v>
      </c>
      <c r="N79" s="177">
        <v>6045.36</v>
      </c>
      <c r="O79" s="191">
        <f t="shared" si="32"/>
        <v>-1.0740499614994398E-3</v>
      </c>
      <c r="P79" s="1">
        <f t="shared" si="33"/>
        <v>1.3085165500105304E-3</v>
      </c>
      <c r="Q79" s="40">
        <f t="shared" si="19"/>
        <v>1.3085165500105304E-3</v>
      </c>
      <c r="R79" s="47">
        <f t="shared" si="16"/>
        <v>1706.955990801418</v>
      </c>
      <c r="S79" s="41">
        <f t="shared" si="20"/>
        <v>0.26561224489795915</v>
      </c>
      <c r="T79" s="42">
        <f t="shared" si="21"/>
        <v>2.3085769921502641E-2</v>
      </c>
      <c r="U79" s="40">
        <f t="shared" si="8"/>
        <v>0.24252647497645652</v>
      </c>
      <c r="V79" s="38">
        <f t="shared" si="44"/>
        <v>259516.02111508159</v>
      </c>
      <c r="W79" s="38">
        <f t="shared" si="65"/>
        <v>283949.99999999994</v>
      </c>
      <c r="X79" s="200">
        <f t="shared" ref="X79" si="82">(K79-K78)/K78</f>
        <v>2.3446658851109052E-4</v>
      </c>
      <c r="Y79" s="168">
        <f t="shared" ref="Y79" si="83">(N79-N78)/N78</f>
        <v>-1.0740499614994398E-3</v>
      </c>
      <c r="Z79" s="200">
        <f t="shared" ref="Z79" si="84">X79-Y79</f>
        <v>1.3085165500105304E-3</v>
      </c>
      <c r="AA79" s="168">
        <f t="shared" ref="AA79" si="85">Z79</f>
        <v>1.3085165500105304E-3</v>
      </c>
      <c r="AB79" s="158">
        <f t="shared" ref="AB79" si="86">R79</f>
        <v>1706.955990801418</v>
      </c>
      <c r="AC79" s="1">
        <f t="shared" ref="AC79" si="87">AA79+AC78</f>
        <v>0.25963961945699632</v>
      </c>
    </row>
    <row r="80" spans="1:29" x14ac:dyDescent="0.15">
      <c r="B80" s="172">
        <v>42529</v>
      </c>
      <c r="C80" s="166" t="s">
        <v>6</v>
      </c>
      <c r="D80" s="166" t="s">
        <v>7</v>
      </c>
      <c r="E80" s="169">
        <v>1058400</v>
      </c>
      <c r="F80" s="34">
        <f t="shared" si="55"/>
        <v>1318800</v>
      </c>
      <c r="G80" s="46">
        <f t="shared" ref="G80" si="88">G79*(1+Q79)</f>
        <v>1306204.0147308542</v>
      </c>
      <c r="H80" s="166">
        <f t="shared" ref="H80" si="89">G80*(1+Q80)</f>
        <v>1290640.9586229709</v>
      </c>
      <c r="I80" s="170">
        <v>31400</v>
      </c>
      <c r="J80" s="165">
        <v>42.66</v>
      </c>
      <c r="K80" s="165">
        <v>42</v>
      </c>
      <c r="L80" s="190">
        <f t="shared" si="28"/>
        <v>-1.5471167369901468E-2</v>
      </c>
      <c r="M80" s="177">
        <v>6045.36</v>
      </c>
      <c r="N80" s="177">
        <v>6023.86</v>
      </c>
      <c r="O80" s="191">
        <f t="shared" si="32"/>
        <v>-3.5564465970595632E-3</v>
      </c>
      <c r="P80" s="1">
        <f t="shared" si="33"/>
        <v>-1.1914720772841905E-2</v>
      </c>
      <c r="Q80" s="40">
        <f t="shared" si="19"/>
        <v>-1.1914720772841905E-2</v>
      </c>
      <c r="R80" s="47">
        <f t="shared" si="16"/>
        <v>-15563.056107883202</v>
      </c>
      <c r="S80" s="41">
        <f t="shared" si="20"/>
        <v>0.24603174603174607</v>
      </c>
      <c r="T80" s="42">
        <f t="shared" si="21"/>
        <v>1.944722001656525E-2</v>
      </c>
      <c r="U80" s="40">
        <f t="shared" si="8"/>
        <v>0.22658452601518081</v>
      </c>
      <c r="V80" s="38">
        <f t="shared" si="44"/>
        <v>242643.06233446737</v>
      </c>
      <c r="W80" s="38">
        <f t="shared" si="65"/>
        <v>263226.00000000006</v>
      </c>
      <c r="X80" s="200">
        <f t="shared" ref="X80" si="90">(K80-K79)/K79</f>
        <v>-1.5471167369901468E-2</v>
      </c>
      <c r="Y80" s="168">
        <f t="shared" ref="Y80" si="91">(N80-N79)/N79</f>
        <v>-3.5564465970595632E-3</v>
      </c>
      <c r="Z80" s="200">
        <f t="shared" ref="Z80" si="92">X80-Y80</f>
        <v>-1.1914720772841905E-2</v>
      </c>
      <c r="AA80" s="168">
        <f t="shared" ref="AA80" si="93">Z80</f>
        <v>-1.1914720772841905E-2</v>
      </c>
      <c r="AB80" s="158">
        <f t="shared" ref="AB80" si="94">R80</f>
        <v>-15563.056107883202</v>
      </c>
      <c r="AC80" s="1">
        <f t="shared" ref="AC80" si="95">AA80+AC79</f>
        <v>0.24772489868415443</v>
      </c>
    </row>
    <row r="81" spans="2:29" x14ac:dyDescent="0.15">
      <c r="B81" s="172">
        <v>42534</v>
      </c>
      <c r="C81" s="166" t="s">
        <v>6</v>
      </c>
      <c r="D81" s="166" t="s">
        <v>7</v>
      </c>
      <c r="E81" s="169">
        <v>1058400</v>
      </c>
      <c r="F81" s="34">
        <f t="shared" si="55"/>
        <v>1285830</v>
      </c>
      <c r="G81" s="46">
        <f t="shared" ref="G81" si="96">G80*(1+Q80)</f>
        <v>1290640.9586229709</v>
      </c>
      <c r="H81" s="166">
        <f t="shared" ref="H81" si="97">G81*(1+Q81)</f>
        <v>1317907.7751887133</v>
      </c>
      <c r="I81" s="170">
        <v>31400</v>
      </c>
      <c r="J81" s="165">
        <v>42</v>
      </c>
      <c r="K81" s="165">
        <v>40.950000000000003</v>
      </c>
      <c r="L81" s="190">
        <f t="shared" si="28"/>
        <v>-2.4999999999999932E-2</v>
      </c>
      <c r="M81" s="177">
        <v>6023.86</v>
      </c>
      <c r="N81" s="177">
        <v>5746</v>
      </c>
      <c r="O81" s="191">
        <f t="shared" si="32"/>
        <v>-4.6126570006607005E-2</v>
      </c>
      <c r="P81" s="1">
        <f t="shared" si="33"/>
        <v>2.1126570006607073E-2</v>
      </c>
      <c r="Q81" s="40">
        <f t="shared" si="19"/>
        <v>2.1126570006607073E-2</v>
      </c>
      <c r="R81" s="47">
        <f t="shared" si="16"/>
        <v>27266.816565742658</v>
      </c>
      <c r="S81" s="41">
        <f t="shared" si="20"/>
        <v>0.21488095238095251</v>
      </c>
      <c r="T81" s="42">
        <f t="shared" si="21"/>
        <v>-2.7576383545569745E-2</v>
      </c>
      <c r="U81" s="40">
        <f t="shared" si="8"/>
        <v>0.24245733592652224</v>
      </c>
      <c r="V81" s="38">
        <f t="shared" si="44"/>
        <v>259442.84434463113</v>
      </c>
      <c r="W81" s="38">
        <f t="shared" si="65"/>
        <v>230256.00000000015</v>
      </c>
      <c r="X81" s="200">
        <f t="shared" ref="X81" si="98">(K81-K80)/K80</f>
        <v>-2.4999999999999932E-2</v>
      </c>
      <c r="Y81" s="168">
        <f t="shared" ref="Y81" si="99">(N81-N80)/N80</f>
        <v>-4.6126570006607005E-2</v>
      </c>
      <c r="Z81" s="200">
        <f t="shared" ref="Z81" si="100">X81-Y81</f>
        <v>2.1126570006607073E-2</v>
      </c>
      <c r="AA81" s="168">
        <f t="shared" ref="AA81" si="101">Z81</f>
        <v>2.1126570006607073E-2</v>
      </c>
      <c r="AB81" s="158">
        <f t="shared" ref="AB81" si="102">R81</f>
        <v>27266.816565742658</v>
      </c>
      <c r="AC81" s="1">
        <f t="shared" ref="AC81" si="103">AA81+AC80</f>
        <v>0.26885146869076149</v>
      </c>
    </row>
    <row r="82" spans="2:29" x14ac:dyDescent="0.15">
      <c r="B82" s="172">
        <v>42535</v>
      </c>
      <c r="C82" s="166" t="s">
        <v>6</v>
      </c>
      <c r="D82" s="166" t="s">
        <v>7</v>
      </c>
      <c r="E82" s="169">
        <v>1058400</v>
      </c>
      <c r="F82" s="34">
        <f t="shared" si="55"/>
        <v>1287400</v>
      </c>
      <c r="G82" s="46">
        <f t="shared" ref="G82" si="104">G81*(1+Q81)</f>
        <v>1317907.7751887133</v>
      </c>
      <c r="H82" s="166">
        <f t="shared" ref="H82" si="105">G82*(1+Q82)</f>
        <v>1315663.6789433574</v>
      </c>
      <c r="I82" s="170">
        <v>31400</v>
      </c>
      <c r="J82" s="165">
        <v>40.950000000000003</v>
      </c>
      <c r="K82" s="165">
        <v>41</v>
      </c>
      <c r="L82" s="190">
        <f t="shared" si="28"/>
        <v>1.2210012210011516E-3</v>
      </c>
      <c r="M82" s="177">
        <v>5746</v>
      </c>
      <c r="N82" s="177">
        <v>5762.8</v>
      </c>
      <c r="O82" s="191">
        <f t="shared" si="32"/>
        <v>2.9237730595196975E-3</v>
      </c>
      <c r="P82" s="1">
        <f t="shared" si="33"/>
        <v>-1.7027718385185459E-3</v>
      </c>
      <c r="Q82" s="40">
        <f t="shared" si="19"/>
        <v>-1.7027718385185459E-3</v>
      </c>
      <c r="R82" s="47">
        <f t="shared" si="16"/>
        <v>-2244.0962453559719</v>
      </c>
      <c r="S82" s="41">
        <f t="shared" si="20"/>
        <v>0.21636432350718068</v>
      </c>
      <c r="T82" s="42">
        <f t="shared" si="21"/>
        <v>-2.4733237573339565E-2</v>
      </c>
      <c r="U82" s="40">
        <f t="shared" si="8"/>
        <v>0.24109756108052025</v>
      </c>
      <c r="V82" s="38">
        <f t="shared" si="44"/>
        <v>258003.65864762262</v>
      </c>
      <c r="W82" s="38">
        <f t="shared" si="65"/>
        <v>231826.00000000003</v>
      </c>
      <c r="X82" s="200">
        <f t="shared" ref="X82" si="106">(K82-K81)/K81</f>
        <v>1.2210012210011516E-3</v>
      </c>
      <c r="Y82" s="168">
        <f t="shared" ref="Y82" si="107">(N82-N81)/N81</f>
        <v>2.9237730595196975E-3</v>
      </c>
      <c r="Z82" s="200">
        <f t="shared" ref="Z82" si="108">X82-Y82</f>
        <v>-1.7027718385185459E-3</v>
      </c>
      <c r="AA82" s="168">
        <f t="shared" ref="AA82" si="109">Z82</f>
        <v>-1.7027718385185459E-3</v>
      </c>
      <c r="AB82" s="158">
        <f t="shared" ref="AB82" si="110">R82</f>
        <v>-2244.0962453559719</v>
      </c>
      <c r="AC82" s="1">
        <f t="shared" ref="AC82" si="111">AA82+AC81</f>
        <v>0.26714869685224296</v>
      </c>
    </row>
    <row r="83" spans="2:29" x14ac:dyDescent="0.15">
      <c r="B83" s="172">
        <v>42536</v>
      </c>
      <c r="C83" s="166" t="s">
        <v>6</v>
      </c>
      <c r="D83" s="166" t="s">
        <v>7</v>
      </c>
      <c r="E83" s="169">
        <v>1058400</v>
      </c>
      <c r="F83" s="34">
        <f t="shared" si="55"/>
        <v>1365272</v>
      </c>
      <c r="G83" s="46">
        <f t="shared" ref="G83" si="112">G82*(1+Q82)</f>
        <v>1315663.6789433574</v>
      </c>
      <c r="H83" s="166">
        <f t="shared" ref="H83" si="113">G83*(1+Q83)</f>
        <v>1351856.329704446</v>
      </c>
      <c r="I83" s="170">
        <v>31400</v>
      </c>
      <c r="J83" s="165">
        <v>41</v>
      </c>
      <c r="K83" s="165">
        <v>43.48</v>
      </c>
      <c r="L83" s="190">
        <f t="shared" si="28"/>
        <v>6.0487804878048702E-2</v>
      </c>
      <c r="M83" s="177">
        <v>5762.8</v>
      </c>
      <c r="N83" s="177">
        <v>5952.85</v>
      </c>
      <c r="O83" s="191">
        <f t="shared" si="32"/>
        <v>3.2978760324842121E-2</v>
      </c>
      <c r="P83" s="1">
        <f t="shared" si="33"/>
        <v>2.7509044553206581E-2</v>
      </c>
      <c r="Q83" s="40">
        <f t="shared" si="19"/>
        <v>2.7509044553206581E-2</v>
      </c>
      <c r="R83" s="47">
        <f t="shared" si="16"/>
        <v>36192.650761088502</v>
      </c>
      <c r="S83" s="41">
        <f t="shared" si="20"/>
        <v>0.28993953136810274</v>
      </c>
      <c r="T83" s="42">
        <f t="shared" si="21"/>
        <v>7.4298512375140105E-3</v>
      </c>
      <c r="U83" s="40">
        <f t="shared" si="8"/>
        <v>0.28250968013058875</v>
      </c>
      <c r="V83" s="38">
        <f t="shared" si="44"/>
        <v>301834.24545021512</v>
      </c>
      <c r="W83" s="38">
        <f t="shared" si="65"/>
        <v>309697.99999999994</v>
      </c>
      <c r="X83" s="200">
        <f t="shared" ref="X83" si="114">(K83-K82)/K82</f>
        <v>6.0487804878048702E-2</v>
      </c>
      <c r="Y83" s="168">
        <f t="shared" ref="Y83" si="115">(N83-N82)/N82</f>
        <v>3.2978760324842121E-2</v>
      </c>
      <c r="Z83" s="200">
        <f t="shared" ref="Z83" si="116">X83-Y83</f>
        <v>2.7509044553206581E-2</v>
      </c>
      <c r="AA83" s="168">
        <f t="shared" ref="AA83" si="117">Z83</f>
        <v>2.7509044553206581E-2</v>
      </c>
      <c r="AB83" s="158">
        <f t="shared" ref="AB83" si="118">R83</f>
        <v>36192.650761088502</v>
      </c>
      <c r="AC83" s="1">
        <f t="shared" ref="AC83" si="119">AA83+AC82</f>
        <v>0.29465774140544954</v>
      </c>
    </row>
    <row r="84" spans="2:29" x14ac:dyDescent="0.15">
      <c r="B84" s="172">
        <v>42537</v>
      </c>
      <c r="C84" s="166" t="s">
        <v>6</v>
      </c>
      <c r="D84" s="166" t="s">
        <v>7</v>
      </c>
      <c r="E84" s="169">
        <v>1058400</v>
      </c>
      <c r="F84" s="34">
        <f t="shared" si="55"/>
        <v>1351770</v>
      </c>
      <c r="G84" s="46">
        <f t="shared" ref="G84" si="120">G83*(1+Q83)</f>
        <v>1351856.329704446</v>
      </c>
      <c r="H84" s="166">
        <f t="shared" ref="H84" si="121">G84*(1+Q84)</f>
        <v>1343553.471811326</v>
      </c>
      <c r="I84" s="170">
        <v>31400</v>
      </c>
      <c r="J84" s="165">
        <v>43.48</v>
      </c>
      <c r="K84" s="165">
        <v>43.05</v>
      </c>
      <c r="L84" s="190">
        <f t="shared" si="28"/>
        <v>-9.8896044158233616E-3</v>
      </c>
      <c r="M84" s="177">
        <v>5952.85</v>
      </c>
      <c r="N84" s="177">
        <v>5930.54</v>
      </c>
      <c r="O84" s="191">
        <f t="shared" si="32"/>
        <v>-3.7477846745677112E-3</v>
      </c>
      <c r="P84" s="1">
        <f t="shared" si="33"/>
        <v>-6.1418197412556504E-3</v>
      </c>
      <c r="Q84" s="40">
        <f t="shared" si="19"/>
        <v>-6.1418197412556504E-3</v>
      </c>
      <c r="R84" s="47">
        <f t="shared" si="16"/>
        <v>-8302.8578931201737</v>
      </c>
      <c r="S84" s="41">
        <f t="shared" si="20"/>
        <v>0.27718253968253964</v>
      </c>
      <c r="T84" s="42">
        <f t="shared" si="21"/>
        <v>3.6542210803440262E-3</v>
      </c>
      <c r="U84" s="40">
        <f t="shared" si="8"/>
        <v>0.27352831860219562</v>
      </c>
      <c r="V84" s="38">
        <f t="shared" si="44"/>
        <v>292328.37240856385</v>
      </c>
      <c r="W84" s="38">
        <f t="shared" si="65"/>
        <v>296195.99999999994</v>
      </c>
      <c r="X84" s="200">
        <f t="shared" ref="X84" si="122">(K84-K83)/K83</f>
        <v>-9.8896044158233616E-3</v>
      </c>
      <c r="Y84" s="168">
        <f t="shared" ref="Y84" si="123">(N84-N83)/N83</f>
        <v>-3.7477846745677112E-3</v>
      </c>
      <c r="Z84" s="200">
        <f t="shared" ref="Z84" si="124">X84-Y84</f>
        <v>-6.1418197412556504E-3</v>
      </c>
      <c r="AA84" s="168">
        <f t="shared" ref="AA84" si="125">Z84</f>
        <v>-6.1418197412556504E-3</v>
      </c>
      <c r="AB84" s="158">
        <f t="shared" ref="AB84" si="126">R84</f>
        <v>-8302.8578931201737</v>
      </c>
      <c r="AC84" s="1">
        <f t="shared" ref="AC84" si="127">AA84+AC83</f>
        <v>0.28851592166419388</v>
      </c>
    </row>
    <row r="85" spans="2:29" x14ac:dyDescent="0.15">
      <c r="B85" s="172">
        <v>42538</v>
      </c>
      <c r="C85" s="166" t="s">
        <v>6</v>
      </c>
      <c r="D85" s="166" t="s">
        <v>7</v>
      </c>
      <c r="E85" s="169">
        <v>1058400</v>
      </c>
      <c r="F85" s="34">
        <f t="shared" si="55"/>
        <v>1349572</v>
      </c>
      <c r="G85" s="46">
        <f t="shared" ref="G85" si="128">G84*(1+Q84)</f>
        <v>1343553.471811326</v>
      </c>
      <c r="H85" s="166">
        <f t="shared" ref="H85" si="129">G85*(1+Q85)</f>
        <v>1333727.3594718673</v>
      </c>
      <c r="I85" s="170">
        <v>31400</v>
      </c>
      <c r="J85" s="165">
        <v>43.05</v>
      </c>
      <c r="K85" s="165">
        <v>42.98</v>
      </c>
      <c r="L85" s="190">
        <f t="shared" si="28"/>
        <v>-1.6260162601626083E-3</v>
      </c>
      <c r="M85" s="177">
        <v>5930.54</v>
      </c>
      <c r="N85" s="177">
        <v>5964.27</v>
      </c>
      <c r="O85" s="191">
        <f t="shared" si="32"/>
        <v>5.6875090632557022E-3</v>
      </c>
      <c r="P85" s="1">
        <f t="shared" si="33"/>
        <v>-7.3135253234183108E-3</v>
      </c>
      <c r="Q85" s="40">
        <f t="shared" si="19"/>
        <v>-7.3135253234183108E-3</v>
      </c>
      <c r="R85" s="47">
        <f t="shared" si="16"/>
        <v>-9826.112339458723</v>
      </c>
      <c r="S85" s="41">
        <f t="shared" si="20"/>
        <v>0.27510582010582008</v>
      </c>
      <c r="T85" s="42">
        <f t="shared" si="21"/>
        <v>9.3625135591133245E-3</v>
      </c>
      <c r="U85" s="40">
        <f t="shared" si="8"/>
        <v>0.26574330654670675</v>
      </c>
      <c r="V85" s="38">
        <f t="shared" si="44"/>
        <v>284088.71564903442</v>
      </c>
      <c r="W85" s="38">
        <f t="shared" si="65"/>
        <v>293997.99999999994</v>
      </c>
      <c r="X85" s="200">
        <f t="shared" ref="X85" si="130">(K85-K84)/K84</f>
        <v>-1.6260162601626083E-3</v>
      </c>
      <c r="Y85" s="168">
        <f t="shared" ref="Y85" si="131">(N85-N84)/N84</f>
        <v>5.6875090632557022E-3</v>
      </c>
      <c r="Z85" s="200">
        <f t="shared" ref="Z85" si="132">X85-Y85</f>
        <v>-7.3135253234183108E-3</v>
      </c>
      <c r="AA85" s="168">
        <f t="shared" ref="AA85" si="133">Z85</f>
        <v>-7.3135253234183108E-3</v>
      </c>
      <c r="AB85" s="158">
        <f t="shared" ref="AB85" si="134">R85</f>
        <v>-9826.112339458723</v>
      </c>
      <c r="AC85" s="1">
        <f t="shared" ref="AC85" si="135">AA85+AC84</f>
        <v>0.28120239634077554</v>
      </c>
    </row>
    <row r="86" spans="2:29" x14ac:dyDescent="0.15">
      <c r="B86" s="172">
        <v>42541</v>
      </c>
      <c r="C86" s="166" t="s">
        <v>6</v>
      </c>
      <c r="D86" s="166" t="s">
        <v>7</v>
      </c>
      <c r="E86" s="169">
        <v>1058400</v>
      </c>
      <c r="F86" s="34">
        <f t="shared" si="55"/>
        <v>1371552</v>
      </c>
      <c r="G86" s="46">
        <f t="shared" ref="G86" si="136">G85*(1+Q85)</f>
        <v>1333727.3594718673</v>
      </c>
      <c r="H86" s="166">
        <f t="shared" ref="H86" si="137">G86*(1+Q86)</f>
        <v>1350686.2070722289</v>
      </c>
      <c r="I86" s="170">
        <v>31400</v>
      </c>
      <c r="J86" s="165">
        <v>42.98</v>
      </c>
      <c r="K86" s="165">
        <v>43.68</v>
      </c>
      <c r="L86" s="190">
        <f t="shared" si="28"/>
        <v>1.6286644951140131E-2</v>
      </c>
      <c r="M86" s="177">
        <v>5964.27</v>
      </c>
      <c r="N86" s="177">
        <v>5985.57</v>
      </c>
      <c r="O86" s="191">
        <f t="shared" si="32"/>
        <v>3.571266894355767E-3</v>
      </c>
      <c r="P86" s="1">
        <f t="shared" si="33"/>
        <v>1.2715378056784365E-2</v>
      </c>
      <c r="Q86" s="40">
        <f t="shared" si="19"/>
        <v>1.2715378056784365E-2</v>
      </c>
      <c r="R86" s="47">
        <f t="shared" si="16"/>
        <v>16958.847600361536</v>
      </c>
      <c r="S86" s="41">
        <f t="shared" si="20"/>
        <v>0.2958730158730159</v>
      </c>
      <c r="T86" s="42">
        <f t="shared" si="21"/>
        <v>1.296721648819071E-2</v>
      </c>
      <c r="U86" s="40">
        <f t="shared" si="8"/>
        <v>0.28290579938482519</v>
      </c>
      <c r="V86" s="38">
        <f t="shared" si="44"/>
        <v>302253.49806889897</v>
      </c>
      <c r="W86" s="38">
        <f t="shared" si="65"/>
        <v>315978</v>
      </c>
      <c r="X86" s="200">
        <f t="shared" ref="X86" si="138">(K86-K85)/K85</f>
        <v>1.6286644951140131E-2</v>
      </c>
      <c r="Y86" s="168">
        <f t="shared" ref="Y86" si="139">(N86-N85)/N85</f>
        <v>3.571266894355767E-3</v>
      </c>
      <c r="Z86" s="200">
        <f t="shared" ref="Z86" si="140">X86-Y86</f>
        <v>1.2715378056784365E-2</v>
      </c>
      <c r="AA86" s="168">
        <f t="shared" ref="AA86" si="141">Z86</f>
        <v>1.2715378056784365E-2</v>
      </c>
      <c r="AB86" s="158">
        <f t="shared" ref="AB86" si="142">R86</f>
        <v>16958.847600361536</v>
      </c>
      <c r="AC86" s="1">
        <f t="shared" ref="AC86" si="143">AA86+AC85</f>
        <v>0.29391777439755989</v>
      </c>
    </row>
    <row r="87" spans="2:29" x14ac:dyDescent="0.15">
      <c r="B87" s="172">
        <v>42542</v>
      </c>
      <c r="C87" s="166" t="s">
        <v>6</v>
      </c>
      <c r="D87" s="166" t="s">
        <v>7</v>
      </c>
      <c r="E87" s="169">
        <v>1058400</v>
      </c>
      <c r="F87" s="34">
        <f t="shared" si="55"/>
        <v>1344234</v>
      </c>
      <c r="G87" s="46">
        <f t="shared" ref="G87" si="144">G86*(1+Q86)</f>
        <v>1350686.2070722289</v>
      </c>
      <c r="H87" s="166">
        <f t="shared" ref="H87" si="145">G87*(1+Q87)</f>
        <v>1339200.694457191</v>
      </c>
      <c r="I87" s="170">
        <v>31400</v>
      </c>
      <c r="J87" s="165">
        <v>43.68</v>
      </c>
      <c r="K87" s="165">
        <v>42.81</v>
      </c>
      <c r="L87" s="190">
        <f t="shared" si="28"/>
        <v>-1.9917582417582361E-2</v>
      </c>
      <c r="M87" s="177">
        <v>5985.57</v>
      </c>
      <c r="N87" s="177">
        <v>5917.25</v>
      </c>
      <c r="O87" s="191">
        <f t="shared" si="32"/>
        <v>-1.1414117619541616E-2</v>
      </c>
      <c r="P87" s="1">
        <f t="shared" si="33"/>
        <v>-8.5034647980407451E-3</v>
      </c>
      <c r="Q87" s="40">
        <f t="shared" si="19"/>
        <v>-8.5034647980407451E-3</v>
      </c>
      <c r="R87" s="47">
        <f t="shared" si="16"/>
        <v>-11485.512615037871</v>
      </c>
      <c r="S87" s="41">
        <f t="shared" si="20"/>
        <v>0.2700623582766441</v>
      </c>
      <c r="T87" s="42">
        <f t="shared" si="21"/>
        <v>1.4050895344548261E-3</v>
      </c>
      <c r="U87" s="40">
        <f t="shared" si="8"/>
        <v>0.26865726874218926</v>
      </c>
      <c r="V87" s="38">
        <f t="shared" si="44"/>
        <v>287172.85323673312</v>
      </c>
      <c r="W87" s="38">
        <f t="shared" si="65"/>
        <v>288660.00000000012</v>
      </c>
      <c r="X87" s="200">
        <f t="shared" ref="X87" si="146">(K87-K86)/K86</f>
        <v>-1.9917582417582361E-2</v>
      </c>
      <c r="Y87" s="168">
        <f t="shared" ref="Y87" si="147">(N87-N86)/N86</f>
        <v>-1.1414117619541616E-2</v>
      </c>
      <c r="Z87" s="200">
        <f t="shared" ref="Z87" si="148">X87-Y87</f>
        <v>-8.5034647980407451E-3</v>
      </c>
      <c r="AA87" s="168">
        <f t="shared" ref="AA87" si="149">Z87</f>
        <v>-8.5034647980407451E-3</v>
      </c>
      <c r="AB87" s="158">
        <f t="shared" ref="AB87" si="150">R87</f>
        <v>-11485.512615037871</v>
      </c>
      <c r="AC87" s="1">
        <f t="shared" ref="AC87" si="151">AA87+AC86</f>
        <v>0.28541430959951913</v>
      </c>
    </row>
    <row r="88" spans="2:29" x14ac:dyDescent="0.15">
      <c r="B88" s="172">
        <v>42543</v>
      </c>
      <c r="C88" s="166" t="s">
        <v>6</v>
      </c>
      <c r="D88" s="166" t="s">
        <v>7</v>
      </c>
      <c r="E88" s="169">
        <v>1058400</v>
      </c>
      <c r="F88" s="34">
        <f t="shared" si="55"/>
        <v>1348316</v>
      </c>
      <c r="G88" s="46">
        <f t="shared" ref="G88" si="152">G87*(1+Q87)</f>
        <v>1339200.694457191</v>
      </c>
      <c r="H88" s="166">
        <f t="shared" ref="H88" si="153">G88*(1+Q88)</f>
        <v>1322527.3108100963</v>
      </c>
      <c r="I88" s="170">
        <v>31400</v>
      </c>
      <c r="J88" s="165">
        <v>42.81</v>
      </c>
      <c r="K88" s="165">
        <v>42.94</v>
      </c>
      <c r="L88" s="190">
        <f t="shared" si="28"/>
        <v>3.0366736743750395E-3</v>
      </c>
      <c r="M88" s="177">
        <v>5917.25</v>
      </c>
      <c r="N88" s="177">
        <v>6008.89</v>
      </c>
      <c r="O88" s="191">
        <f t="shared" si="32"/>
        <v>1.5486923824411733E-2</v>
      </c>
      <c r="P88" s="1">
        <f t="shared" si="33"/>
        <v>-1.2450250150036694E-2</v>
      </c>
      <c r="Q88" s="40">
        <f t="shared" si="19"/>
        <v>-1.2450250150036694E-2</v>
      </c>
      <c r="R88" s="47">
        <f t="shared" si="16"/>
        <v>-16673.383647094888</v>
      </c>
      <c r="S88" s="41">
        <f t="shared" si="20"/>
        <v>0.27391912320483747</v>
      </c>
      <c r="T88" s="42">
        <f t="shared" si="21"/>
        <v>1.691377387345314E-2</v>
      </c>
      <c r="U88" s="40">
        <f t="shared" si="8"/>
        <v>0.2570053493313843</v>
      </c>
      <c r="V88" s="38">
        <f t="shared" si="44"/>
        <v>274840.46173233713</v>
      </c>
      <c r="W88" s="38">
        <f t="shared" si="65"/>
        <v>292742</v>
      </c>
      <c r="X88" s="200">
        <f t="shared" ref="X88" si="154">(K88-K87)/K87</f>
        <v>3.0366736743750395E-3</v>
      </c>
      <c r="Y88" s="168">
        <f t="shared" ref="Y88" si="155">(N88-N87)/N87</f>
        <v>1.5486923824411733E-2</v>
      </c>
      <c r="Z88" s="200">
        <f t="shared" ref="Z88" si="156">X88-Y88</f>
        <v>-1.2450250150036694E-2</v>
      </c>
      <c r="AA88" s="168">
        <f t="shared" ref="AA88" si="157">Z88</f>
        <v>-1.2450250150036694E-2</v>
      </c>
      <c r="AB88" s="158">
        <f t="shared" ref="AB88" si="158">R88</f>
        <v>-16673.383647094888</v>
      </c>
      <c r="AC88" s="1">
        <f t="shared" ref="AC88" si="159">AA88+AC87</f>
        <v>0.27296405944948243</v>
      </c>
    </row>
    <row r="89" spans="2:29" x14ac:dyDescent="0.15">
      <c r="B89" s="172">
        <v>42544</v>
      </c>
      <c r="C89" s="166" t="s">
        <v>6</v>
      </c>
      <c r="D89" s="166" t="s">
        <v>7</v>
      </c>
      <c r="E89" s="169">
        <v>1058400</v>
      </c>
      <c r="F89" s="34">
        <f t="shared" si="55"/>
        <v>1343920</v>
      </c>
      <c r="G89" s="46">
        <f t="shared" ref="G89" si="160">G88*(1+Q88)</f>
        <v>1322527.3108100963</v>
      </c>
      <c r="H89" s="166">
        <f t="shared" ref="H89" si="161">G89*(1+Q89)</f>
        <v>1324864.4646054814</v>
      </c>
      <c r="I89" s="170">
        <v>31400</v>
      </c>
      <c r="J89" s="165">
        <v>42.94</v>
      </c>
      <c r="K89" s="165">
        <v>42.8</v>
      </c>
      <c r="L89" s="190">
        <f t="shared" si="28"/>
        <v>-3.260363297624606E-3</v>
      </c>
      <c r="M89" s="177">
        <v>6008.89</v>
      </c>
      <c r="N89" s="177">
        <v>5978.68</v>
      </c>
      <c r="O89" s="191">
        <f t="shared" si="32"/>
        <v>-5.0275508454972603E-3</v>
      </c>
      <c r="P89" s="1">
        <f t="shared" si="33"/>
        <v>1.7671875478726543E-3</v>
      </c>
      <c r="Q89" s="40">
        <f t="shared" si="19"/>
        <v>1.7671875478726543E-3</v>
      </c>
      <c r="R89" s="47">
        <f t="shared" si="16"/>
        <v>2337.1537953851098</v>
      </c>
      <c r="S89" s="41">
        <f t="shared" si="20"/>
        <v>0.26976568405139828</v>
      </c>
      <c r="T89" s="42">
        <f t="shared" si="21"/>
        <v>1.180118816981785E-2</v>
      </c>
      <c r="U89" s="40">
        <f t="shared" si="8"/>
        <v>0.25796449588158044</v>
      </c>
      <c r="V89" s="38">
        <f t="shared" si="44"/>
        <v>275855.62244106474</v>
      </c>
      <c r="W89" s="38">
        <f t="shared" si="65"/>
        <v>288345.99999999994</v>
      </c>
      <c r="X89" s="200">
        <f t="shared" ref="X89" si="162">(K89-K88)/K88</f>
        <v>-3.260363297624606E-3</v>
      </c>
      <c r="Y89" s="168">
        <f t="shared" ref="Y89" si="163">(N89-N88)/N88</f>
        <v>-5.0275508454972603E-3</v>
      </c>
      <c r="Z89" s="200">
        <f t="shared" ref="Z89" si="164">X89-Y89</f>
        <v>1.7671875478726543E-3</v>
      </c>
      <c r="AA89" s="168">
        <f t="shared" ref="AA89" si="165">Z89</f>
        <v>1.7671875478726543E-3</v>
      </c>
      <c r="AB89" s="158">
        <f t="shared" ref="AB89" si="166">R89</f>
        <v>2337.1537953851098</v>
      </c>
      <c r="AC89" s="1">
        <f t="shared" ref="AC89" si="167">AA89+AC88</f>
        <v>0.27473124699735507</v>
      </c>
    </row>
    <row r="90" spans="2:29" x14ac:dyDescent="0.15">
      <c r="B90" s="172">
        <v>42545</v>
      </c>
      <c r="C90" s="166" t="s">
        <v>6</v>
      </c>
      <c r="D90" s="166" t="s">
        <v>7</v>
      </c>
      <c r="E90" s="169">
        <v>1058400</v>
      </c>
      <c r="F90" s="34">
        <f t="shared" si="55"/>
        <v>1318800</v>
      </c>
      <c r="G90" s="46">
        <f t="shared" ref="G90" si="168">G89*(1+Q89)</f>
        <v>1324864.4646054814</v>
      </c>
      <c r="H90" s="166">
        <f t="shared" ref="H90" si="169">G90*(1+Q90)</f>
        <v>1316733.800442728</v>
      </c>
      <c r="I90" s="170">
        <v>31400</v>
      </c>
      <c r="J90" s="165">
        <v>42.8</v>
      </c>
      <c r="K90" s="165">
        <v>42</v>
      </c>
      <c r="L90" s="190">
        <f t="shared" si="28"/>
        <v>-1.8691588785046665E-2</v>
      </c>
      <c r="M90" s="177">
        <v>5978.68</v>
      </c>
      <c r="N90" s="177">
        <v>5903.62</v>
      </c>
      <c r="O90" s="191">
        <f t="shared" si="32"/>
        <v>-1.2554610716746907E-2</v>
      </c>
      <c r="P90" s="1">
        <f t="shared" si="33"/>
        <v>-6.1369780682997577E-3</v>
      </c>
      <c r="Q90" s="40">
        <f t="shared" si="19"/>
        <v>-6.1369780682997577E-3</v>
      </c>
      <c r="R90" s="47">
        <f t="shared" si="16"/>
        <v>-8130.66416275354</v>
      </c>
      <c r="S90" s="41">
        <f t="shared" si="20"/>
        <v>0.24603174603174607</v>
      </c>
      <c r="T90" s="42">
        <f t="shared" si="21"/>
        <v>-9.0158187039619895E-4</v>
      </c>
      <c r="U90" s="40">
        <f t="shared" si="8"/>
        <v>0.24693332790214229</v>
      </c>
      <c r="V90" s="38">
        <f t="shared" si="44"/>
        <v>264180.23425162741</v>
      </c>
      <c r="W90" s="38">
        <f t="shared" si="65"/>
        <v>263226.00000000006</v>
      </c>
      <c r="X90" s="200">
        <f t="shared" ref="X90" si="170">(K90-K89)/K89</f>
        <v>-1.8691588785046665E-2</v>
      </c>
      <c r="Y90" s="168">
        <f t="shared" ref="Y90" si="171">(N90-N89)/N89</f>
        <v>-1.2554610716746907E-2</v>
      </c>
      <c r="Z90" s="200">
        <f t="shared" ref="Z90" si="172">X90-Y90</f>
        <v>-6.1369780682997577E-3</v>
      </c>
      <c r="AA90" s="168">
        <f t="shared" ref="AA90" si="173">Z90</f>
        <v>-6.1369780682997577E-3</v>
      </c>
      <c r="AB90" s="158">
        <f t="shared" ref="AB90" si="174">R90</f>
        <v>-8130.66416275354</v>
      </c>
      <c r="AC90" s="1">
        <f t="shared" ref="AC90" si="175">AA90+AC89</f>
        <v>0.2685942689290553</v>
      </c>
    </row>
    <row r="91" spans="2:29" x14ac:dyDescent="0.15">
      <c r="B91" s="172">
        <v>42548</v>
      </c>
      <c r="C91" s="166" t="s">
        <v>6</v>
      </c>
      <c r="D91" s="166" t="s">
        <v>7</v>
      </c>
      <c r="E91" s="169">
        <v>1058400</v>
      </c>
      <c r="F91" s="34">
        <f t="shared" si="55"/>
        <v>1384426</v>
      </c>
      <c r="G91" s="46">
        <f t="shared" ref="G91" si="176">G90*(1+Q90)</f>
        <v>1316733.800442728</v>
      </c>
      <c r="H91" s="166">
        <f t="shared" ref="H91" si="177">G91*(1+Q91)</f>
        <v>1350897.7871535139</v>
      </c>
      <c r="I91" s="170">
        <v>31400</v>
      </c>
      <c r="J91" s="165">
        <v>42</v>
      </c>
      <c r="K91" s="165">
        <v>44.09</v>
      </c>
      <c r="L91" s="190">
        <f t="shared" si="28"/>
        <v>4.976190476190484E-2</v>
      </c>
      <c r="M91" s="177">
        <v>5903.62</v>
      </c>
      <c r="N91" s="177">
        <v>6044.22</v>
      </c>
      <c r="O91" s="191">
        <f t="shared" si="32"/>
        <v>2.3815896009567072E-2</v>
      </c>
      <c r="P91" s="1">
        <f t="shared" si="33"/>
        <v>2.5946008752337768E-2</v>
      </c>
      <c r="Q91" s="40">
        <f t="shared" si="19"/>
        <v>2.5946008752337768E-2</v>
      </c>
      <c r="R91" s="47">
        <f t="shared" si="16"/>
        <v>34163.98671078599</v>
      </c>
      <c r="S91" s="41">
        <f t="shared" si="20"/>
        <v>0.30803665910808781</v>
      </c>
      <c r="T91" s="42">
        <f t="shared" si="21"/>
        <v>2.2892842159101409E-2</v>
      </c>
      <c r="U91" s="40">
        <f t="shared" si="8"/>
        <v>0.28514381694898638</v>
      </c>
      <c r="V91" s="38">
        <f t="shared" si="44"/>
        <v>304622.21585880721</v>
      </c>
      <c r="W91" s="38">
        <f t="shared" si="65"/>
        <v>328852.00000000012</v>
      </c>
      <c r="X91" s="200">
        <f t="shared" ref="X91" si="178">(K91-K90)/K90</f>
        <v>4.976190476190484E-2</v>
      </c>
      <c r="Y91" s="168">
        <f t="shared" ref="Y91" si="179">(N91-N90)/N90</f>
        <v>2.3815896009567072E-2</v>
      </c>
      <c r="Z91" s="200">
        <f t="shared" ref="Z91" si="180">X91-Y91</f>
        <v>2.5946008752337768E-2</v>
      </c>
      <c r="AA91" s="168">
        <f t="shared" ref="AA91" si="181">Z91</f>
        <v>2.5946008752337768E-2</v>
      </c>
      <c r="AB91" s="158">
        <f t="shared" ref="AB91" si="182">R91</f>
        <v>34163.98671078599</v>
      </c>
      <c r="AC91" s="1">
        <f t="shared" ref="AC91" si="183">AA91+AC90</f>
        <v>0.29454027768139307</v>
      </c>
    </row>
    <row r="92" spans="2:29" x14ac:dyDescent="0.15">
      <c r="B92" s="172">
        <v>42549</v>
      </c>
      <c r="C92" s="166" t="s">
        <v>6</v>
      </c>
      <c r="D92" s="166" t="s">
        <v>7</v>
      </c>
      <c r="E92" s="169">
        <v>1058400</v>
      </c>
      <c r="F92" s="34">
        <f t="shared" si="55"/>
        <v>1372808</v>
      </c>
      <c r="G92" s="46">
        <f t="shared" ref="G92" si="184">G91*(1+Q91)</f>
        <v>1350897.7871535139</v>
      </c>
      <c r="H92" s="166">
        <f t="shared" ref="H92" si="185">G92*(1+Q92)</f>
        <v>1325415.6853628815</v>
      </c>
      <c r="I92" s="170">
        <v>31400</v>
      </c>
      <c r="J92" s="165">
        <v>44.09</v>
      </c>
      <c r="K92" s="165">
        <v>43.72</v>
      </c>
      <c r="L92" s="190">
        <f t="shared" si="28"/>
        <v>-8.3919256067136426E-3</v>
      </c>
      <c r="M92" s="177">
        <v>6044.22</v>
      </c>
      <c r="N92" s="177">
        <v>6107.51</v>
      </c>
      <c r="O92" s="191">
        <f t="shared" si="32"/>
        <v>1.0471160877664936E-2</v>
      </c>
      <c r="P92" s="1">
        <f t="shared" si="33"/>
        <v>-1.886308648437858E-2</v>
      </c>
      <c r="Q92" s="40">
        <f t="shared" si="19"/>
        <v>-1.886308648437858E-2</v>
      </c>
      <c r="R92" s="47">
        <f t="shared" si="16"/>
        <v>-25482.10179063238</v>
      </c>
      <c r="S92" s="41">
        <f t="shared" si="20"/>
        <v>0.29705971277399851</v>
      </c>
      <c r="T92" s="42">
        <f t="shared" si="21"/>
        <v>3.3603717669961286E-2</v>
      </c>
      <c r="U92" s="40">
        <f t="shared" si="8"/>
        <v>0.26345599510403722</v>
      </c>
      <c r="V92" s="38">
        <f t="shared" si="44"/>
        <v>281667.82521811302</v>
      </c>
      <c r="W92" s="38">
        <f t="shared" si="65"/>
        <v>317234</v>
      </c>
      <c r="X92" s="200">
        <f t="shared" ref="X92" si="186">(K92-K91)/K91</f>
        <v>-8.3919256067136426E-3</v>
      </c>
      <c r="Y92" s="168">
        <f t="shared" ref="Y92" si="187">(N92-N91)/N91</f>
        <v>1.0471160877664936E-2</v>
      </c>
      <c r="Z92" s="200">
        <f t="shared" ref="Z92" si="188">X92-Y92</f>
        <v>-1.886308648437858E-2</v>
      </c>
      <c r="AA92" s="168">
        <f t="shared" ref="AA92" si="189">Z92</f>
        <v>-1.886308648437858E-2</v>
      </c>
      <c r="AB92" s="158">
        <f t="shared" ref="AB92" si="190">R92</f>
        <v>-25482.10179063238</v>
      </c>
      <c r="AC92" s="1">
        <f t="shared" ref="AC92" si="191">AA92+AC91</f>
        <v>0.2756771911970145</v>
      </c>
    </row>
    <row r="93" spans="2:29" x14ac:dyDescent="0.15">
      <c r="B93" s="172">
        <v>42550</v>
      </c>
      <c r="C93" s="166" t="s">
        <v>6</v>
      </c>
      <c r="D93" s="166" t="s">
        <v>7</v>
      </c>
      <c r="E93" s="169">
        <v>1058400</v>
      </c>
      <c r="F93" s="34">
        <f t="shared" si="55"/>
        <v>1359620</v>
      </c>
      <c r="G93" s="46">
        <f t="shared" ref="G93" si="192">G92*(1+Q92)</f>
        <v>1325415.6853628815</v>
      </c>
      <c r="H93" s="166">
        <f t="shared" ref="H93" si="193">G93*(1+Q93)</f>
        <v>1309803.1868857294</v>
      </c>
      <c r="I93" s="170">
        <v>31400</v>
      </c>
      <c r="J93" s="165">
        <v>43.72</v>
      </c>
      <c r="K93" s="165">
        <v>43.3</v>
      </c>
      <c r="L93" s="190">
        <f t="shared" si="28"/>
        <v>-9.6065873741994906E-3</v>
      </c>
      <c r="M93" s="177">
        <v>6107.51</v>
      </c>
      <c r="N93" s="177">
        <v>6120.78</v>
      </c>
      <c r="O93" s="191">
        <f t="shared" si="32"/>
        <v>2.1727348788621757E-3</v>
      </c>
      <c r="P93" s="1">
        <f t="shared" si="33"/>
        <v>-1.1779322253061667E-2</v>
      </c>
      <c r="Q93" s="40">
        <f t="shared" si="19"/>
        <v>-1.1779322253061667E-2</v>
      </c>
      <c r="R93" s="47">
        <f t="shared" si="16"/>
        <v>-15612.498477151972</v>
      </c>
      <c r="S93" s="41">
        <f t="shared" si="20"/>
        <v>0.284599395313681</v>
      </c>
      <c r="T93" s="42">
        <f t="shared" si="21"/>
        <v>3.5849464518264422E-2</v>
      </c>
      <c r="U93" s="40">
        <f t="shared" si="8"/>
        <v>0.24874993079541657</v>
      </c>
      <c r="V93" s="38">
        <f t="shared" si="44"/>
        <v>266102.92675386887</v>
      </c>
      <c r="W93" s="38">
        <f t="shared" si="65"/>
        <v>304046</v>
      </c>
      <c r="X93" s="200">
        <f t="shared" ref="X93" si="194">(K93-K92)/K92</f>
        <v>-9.6065873741994906E-3</v>
      </c>
      <c r="Y93" s="168">
        <f t="shared" ref="Y93" si="195">(N93-N92)/N92</f>
        <v>2.1727348788621757E-3</v>
      </c>
      <c r="Z93" s="200">
        <f t="shared" ref="Z93" si="196">X93-Y93</f>
        <v>-1.1779322253061667E-2</v>
      </c>
      <c r="AA93" s="168">
        <f t="shared" ref="AA93" si="197">Z93</f>
        <v>-1.1779322253061667E-2</v>
      </c>
      <c r="AB93" s="158">
        <f t="shared" ref="AB93" si="198">R93</f>
        <v>-15612.498477151972</v>
      </c>
      <c r="AC93" s="1">
        <f t="shared" ref="AC93" si="199">AA93+AC92</f>
        <v>0.26389786894395284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pane ySplit="1" topLeftCell="A62" activePane="bottomLeft" state="frozen"/>
      <selection pane="bottomLeft" activeCell="G98" sqref="G98"/>
    </sheetView>
  </sheetViews>
  <sheetFormatPr defaultRowHeight="13.5" x14ac:dyDescent="0.15"/>
  <cols>
    <col min="2" max="2" width="13.875" customWidth="1"/>
    <col min="3" max="3" width="11.125" customWidth="1"/>
    <col min="5" max="5" width="11.25" customWidth="1"/>
    <col min="6" max="6" width="11.25" style="180" customWidth="1"/>
    <col min="8" max="8" width="9" style="164"/>
    <col min="12" max="12" width="9" style="65"/>
    <col min="15" max="15" width="9" style="65"/>
    <col min="16" max="16" width="12.375" customWidth="1"/>
    <col min="17" max="17" width="14.75" style="67" customWidth="1"/>
    <col min="19" max="19" width="10.875" style="67" customWidth="1"/>
    <col min="20" max="20" width="12.75" style="67" bestFit="1" customWidth="1"/>
    <col min="21" max="21" width="13.5" customWidth="1"/>
    <col min="24" max="24" width="12.375" style="168" customWidth="1"/>
    <col min="25" max="25" width="9" style="168"/>
    <col min="26" max="26" width="14.875" customWidth="1"/>
    <col min="27" max="27" width="11.75" style="168" customWidth="1"/>
    <col min="29" max="29" width="17" customWidth="1"/>
  </cols>
  <sheetData>
    <row r="1" spans="1:29" ht="27" x14ac:dyDescent="0.15">
      <c r="A1" s="61"/>
      <c r="B1" s="62" t="s">
        <v>0</v>
      </c>
      <c r="C1" s="63" t="s">
        <v>1</v>
      </c>
      <c r="D1" s="63" t="s">
        <v>2</v>
      </c>
      <c r="E1" s="64" t="s">
        <v>3</v>
      </c>
      <c r="F1" s="162" t="s">
        <v>91</v>
      </c>
      <c r="G1" s="62" t="s">
        <v>24</v>
      </c>
      <c r="H1" s="174" t="s">
        <v>88</v>
      </c>
      <c r="I1" s="62" t="s">
        <v>4</v>
      </c>
      <c r="J1" s="187" t="s">
        <v>13</v>
      </c>
      <c r="K1" s="188" t="s">
        <v>8</v>
      </c>
      <c r="L1" s="66" t="s">
        <v>9</v>
      </c>
      <c r="M1" s="189" t="s">
        <v>14</v>
      </c>
      <c r="N1" s="187" t="s">
        <v>10</v>
      </c>
      <c r="O1" s="66" t="s">
        <v>11</v>
      </c>
      <c r="P1" s="59" t="s">
        <v>12</v>
      </c>
      <c r="Q1" s="67" t="s">
        <v>22</v>
      </c>
      <c r="R1" s="60" t="s">
        <v>23</v>
      </c>
      <c r="S1" s="67" t="s">
        <v>19</v>
      </c>
      <c r="T1" s="67" t="s">
        <v>20</v>
      </c>
      <c r="U1" s="59" t="s">
        <v>21</v>
      </c>
      <c r="V1" s="59" t="s">
        <v>60</v>
      </c>
      <c r="W1" t="s">
        <v>62</v>
      </c>
      <c r="X1" s="168" t="s">
        <v>102</v>
      </c>
      <c r="Y1" s="168" t="s">
        <v>103</v>
      </c>
      <c r="Z1" s="168" t="s">
        <v>104</v>
      </c>
      <c r="AA1" s="168" t="s">
        <v>106</v>
      </c>
      <c r="AB1" s="168" t="s">
        <v>101</v>
      </c>
      <c r="AC1" s="168" t="s">
        <v>108</v>
      </c>
    </row>
    <row r="2" spans="1:29" s="107" customFormat="1" x14ac:dyDescent="0.15">
      <c r="A2" s="110"/>
      <c r="B2" s="119">
        <v>42417</v>
      </c>
      <c r="C2" s="112"/>
      <c r="D2" s="112"/>
      <c r="E2" s="113"/>
      <c r="F2" s="162"/>
      <c r="G2" s="111"/>
      <c r="H2" s="174"/>
      <c r="I2" s="111"/>
      <c r="J2" s="111"/>
      <c r="K2" s="112"/>
      <c r="L2" s="114"/>
      <c r="M2" s="26"/>
      <c r="N2" s="111"/>
      <c r="O2" s="114"/>
      <c r="Q2" s="109"/>
      <c r="R2" s="108"/>
      <c r="S2" s="109"/>
      <c r="T2" s="109"/>
      <c r="X2" s="168"/>
      <c r="Y2" s="168"/>
      <c r="AA2" s="168"/>
    </row>
    <row r="3" spans="1:29" s="107" customFormat="1" x14ac:dyDescent="0.15">
      <c r="A3" s="110"/>
      <c r="B3" s="119">
        <v>42418</v>
      </c>
      <c r="C3" s="112"/>
      <c r="D3" s="112"/>
      <c r="E3" s="113"/>
      <c r="F3" s="162"/>
      <c r="G3" s="111"/>
      <c r="H3" s="174"/>
      <c r="I3" s="111"/>
      <c r="J3" s="111"/>
      <c r="K3" s="112"/>
      <c r="L3" s="114"/>
      <c r="M3" s="26"/>
      <c r="N3" s="111"/>
      <c r="O3" s="114"/>
      <c r="Q3" s="109"/>
      <c r="R3" s="108"/>
      <c r="S3" s="109"/>
      <c r="T3" s="109"/>
      <c r="X3" s="168"/>
      <c r="Y3" s="168"/>
      <c r="AA3" s="168"/>
    </row>
    <row r="4" spans="1:29" s="107" customFormat="1" x14ac:dyDescent="0.15">
      <c r="A4" s="110"/>
      <c r="B4" s="119">
        <v>42419</v>
      </c>
      <c r="C4" s="112"/>
      <c r="D4" s="112"/>
      <c r="E4" s="113"/>
      <c r="F4" s="162"/>
      <c r="G4" s="111"/>
      <c r="H4" s="174"/>
      <c r="I4" s="111"/>
      <c r="J4" s="111"/>
      <c r="K4" s="112"/>
      <c r="L4" s="114"/>
      <c r="M4" s="26"/>
      <c r="N4" s="111"/>
      <c r="O4" s="114"/>
      <c r="Q4" s="109"/>
      <c r="R4" s="108"/>
      <c r="S4" s="109"/>
      <c r="T4" s="109"/>
      <c r="X4" s="168"/>
      <c r="Y4" s="168"/>
      <c r="AA4" s="168"/>
    </row>
    <row r="5" spans="1:29" s="107" customFormat="1" x14ac:dyDescent="0.15">
      <c r="A5" s="110"/>
      <c r="B5" s="119">
        <v>42422</v>
      </c>
      <c r="C5" s="112"/>
      <c r="D5" s="112"/>
      <c r="E5" s="113"/>
      <c r="F5" s="162"/>
      <c r="G5" s="111"/>
      <c r="H5" s="174"/>
      <c r="I5" s="111"/>
      <c r="J5" s="111"/>
      <c r="K5" s="112"/>
      <c r="L5" s="114"/>
      <c r="M5" s="26"/>
      <c r="N5" s="111"/>
      <c r="O5" s="114"/>
      <c r="Q5" s="109"/>
      <c r="R5" s="108"/>
      <c r="S5" s="109"/>
      <c r="T5" s="109"/>
      <c r="X5" s="168"/>
      <c r="Y5" s="168"/>
      <c r="AA5" s="168"/>
    </row>
    <row r="6" spans="1:29" s="107" customFormat="1" x14ac:dyDescent="0.15">
      <c r="A6" s="110"/>
      <c r="B6" s="119">
        <v>42423</v>
      </c>
      <c r="C6" s="112"/>
      <c r="D6" s="112"/>
      <c r="E6" s="113"/>
      <c r="F6" s="162"/>
      <c r="G6" s="111"/>
      <c r="H6" s="174"/>
      <c r="I6" s="111"/>
      <c r="J6" s="111"/>
      <c r="K6" s="112"/>
      <c r="L6" s="114"/>
      <c r="M6" s="26"/>
      <c r="N6" s="111"/>
      <c r="O6" s="114"/>
      <c r="Q6" s="109"/>
      <c r="R6" s="108"/>
      <c r="S6" s="109"/>
      <c r="T6" s="109"/>
      <c r="X6" s="168"/>
      <c r="Y6" s="168"/>
      <c r="AA6" s="168"/>
    </row>
    <row r="7" spans="1:29" s="107" customFormat="1" x14ac:dyDescent="0.15">
      <c r="A7" s="110"/>
      <c r="B7" s="119">
        <v>42424</v>
      </c>
      <c r="C7" s="112"/>
      <c r="D7" s="112"/>
      <c r="E7" s="113"/>
      <c r="F7" s="162"/>
      <c r="G7" s="111"/>
      <c r="H7" s="174"/>
      <c r="I7" s="111"/>
      <c r="J7" s="111"/>
      <c r="K7" s="112"/>
      <c r="L7" s="114"/>
      <c r="M7" s="26"/>
      <c r="N7" s="111"/>
      <c r="O7" s="114"/>
      <c r="Q7" s="109"/>
      <c r="R7" s="108"/>
      <c r="S7" s="109"/>
      <c r="T7" s="109"/>
      <c r="X7" s="168"/>
      <c r="Y7" s="168"/>
      <c r="AA7" s="168"/>
    </row>
    <row r="8" spans="1:29" s="107" customFormat="1" x14ac:dyDescent="0.15">
      <c r="A8" s="110"/>
      <c r="B8" s="119">
        <v>42425</v>
      </c>
      <c r="C8" s="112"/>
      <c r="D8" s="112"/>
      <c r="E8" s="113"/>
      <c r="F8" s="162"/>
      <c r="G8" s="111"/>
      <c r="H8" s="174"/>
      <c r="I8" s="111"/>
      <c r="J8" s="111"/>
      <c r="K8" s="112"/>
      <c r="L8" s="114"/>
      <c r="M8" s="26"/>
      <c r="N8" s="111"/>
      <c r="O8" s="114"/>
      <c r="Q8" s="109"/>
      <c r="R8" s="108"/>
      <c r="S8" s="109"/>
      <c r="T8" s="109"/>
      <c r="X8" s="168"/>
      <c r="Y8" s="168"/>
      <c r="AA8" s="168"/>
    </row>
    <row r="9" spans="1:29" s="107" customFormat="1" x14ac:dyDescent="0.15">
      <c r="A9" s="110"/>
      <c r="B9" s="119">
        <v>42426</v>
      </c>
      <c r="C9" s="112"/>
      <c r="D9" s="112"/>
      <c r="E9" s="113"/>
      <c r="F9" s="162"/>
      <c r="G9" s="111"/>
      <c r="H9" s="174"/>
      <c r="I9" s="111"/>
      <c r="J9" s="111"/>
      <c r="K9" s="112"/>
      <c r="L9" s="114"/>
      <c r="M9" s="26"/>
      <c r="N9" s="111"/>
      <c r="O9" s="114"/>
      <c r="Q9" s="109"/>
      <c r="R9" s="108"/>
      <c r="S9" s="109"/>
      <c r="T9" s="109"/>
      <c r="X9" s="168"/>
      <c r="Y9" s="168"/>
      <c r="AA9" s="168"/>
    </row>
    <row r="10" spans="1:29" s="107" customFormat="1" x14ac:dyDescent="0.15">
      <c r="A10" s="110"/>
      <c r="B10" s="119">
        <v>42429</v>
      </c>
      <c r="C10" s="112"/>
      <c r="D10" s="112"/>
      <c r="E10" s="113"/>
      <c r="F10" s="162"/>
      <c r="G10" s="111"/>
      <c r="H10" s="174"/>
      <c r="I10" s="111"/>
      <c r="J10" s="111"/>
      <c r="K10" s="112"/>
      <c r="L10" s="114"/>
      <c r="M10" s="26"/>
      <c r="N10" s="111"/>
      <c r="O10" s="114"/>
      <c r="Q10" s="109"/>
      <c r="R10" s="108"/>
      <c r="S10" s="109"/>
      <c r="T10" s="109"/>
      <c r="X10" s="168"/>
      <c r="Y10" s="168"/>
      <c r="AA10" s="168"/>
    </row>
    <row r="11" spans="1:29" s="107" customFormat="1" x14ac:dyDescent="0.15">
      <c r="A11" s="110"/>
      <c r="B11" s="119">
        <v>42430</v>
      </c>
      <c r="C11" s="112"/>
      <c r="D11" s="112"/>
      <c r="E11" s="113"/>
      <c r="F11" s="162"/>
      <c r="G11" s="111"/>
      <c r="H11" s="174"/>
      <c r="I11" s="111"/>
      <c r="J11" s="111"/>
      <c r="K11" s="112"/>
      <c r="L11" s="114"/>
      <c r="M11" s="26"/>
      <c r="N11" s="111"/>
      <c r="O11" s="114"/>
      <c r="Q11" s="109"/>
      <c r="R11" s="108"/>
      <c r="S11" s="109"/>
      <c r="T11" s="109"/>
      <c r="X11" s="168"/>
      <c r="Y11" s="168"/>
      <c r="AA11" s="168"/>
    </row>
    <row r="12" spans="1:29" s="107" customFormat="1" x14ac:dyDescent="0.15">
      <c r="A12" s="110"/>
      <c r="B12" s="119">
        <v>42431</v>
      </c>
      <c r="C12" s="112"/>
      <c r="D12" s="112"/>
      <c r="E12" s="113"/>
      <c r="F12" s="162"/>
      <c r="G12" s="111"/>
      <c r="H12" s="174"/>
      <c r="I12" s="111"/>
      <c r="J12" s="111"/>
      <c r="K12" s="112"/>
      <c r="L12" s="114"/>
      <c r="M12" s="26"/>
      <c r="N12" s="111"/>
      <c r="O12" s="114"/>
      <c r="Q12" s="109"/>
      <c r="R12" s="108"/>
      <c r="S12" s="109"/>
      <c r="T12" s="109"/>
      <c r="X12" s="168"/>
      <c r="Y12" s="168"/>
      <c r="AA12" s="168"/>
    </row>
    <row r="13" spans="1:29" s="107" customFormat="1" x14ac:dyDescent="0.15">
      <c r="A13" s="110"/>
      <c r="B13" s="119">
        <v>42432</v>
      </c>
      <c r="C13" s="112"/>
      <c r="D13" s="112"/>
      <c r="E13" s="113"/>
      <c r="F13" s="162"/>
      <c r="G13" s="111"/>
      <c r="H13" s="174"/>
      <c r="I13" s="111"/>
      <c r="J13" s="111"/>
      <c r="K13" s="112"/>
      <c r="L13" s="114"/>
      <c r="M13" s="26"/>
      <c r="N13" s="111"/>
      <c r="O13" s="114"/>
      <c r="Q13" s="109"/>
      <c r="R13" s="108"/>
      <c r="S13" s="109"/>
      <c r="T13" s="109"/>
      <c r="X13" s="168"/>
      <c r="Y13" s="168"/>
      <c r="AA13" s="168"/>
    </row>
    <row r="14" spans="1:29" s="107" customFormat="1" x14ac:dyDescent="0.15">
      <c r="A14" s="110"/>
      <c r="B14" s="119">
        <v>42433</v>
      </c>
      <c r="C14" s="112"/>
      <c r="D14" s="112"/>
      <c r="E14" s="113"/>
      <c r="F14" s="162"/>
      <c r="G14" s="111"/>
      <c r="H14" s="174"/>
      <c r="I14" s="111"/>
      <c r="J14" s="111"/>
      <c r="K14" s="112"/>
      <c r="L14" s="114"/>
      <c r="M14" s="26"/>
      <c r="N14" s="111"/>
      <c r="O14" s="114"/>
      <c r="Q14" s="109"/>
      <c r="R14" s="108"/>
      <c r="S14" s="109"/>
      <c r="T14" s="109"/>
      <c r="X14" s="168"/>
      <c r="Y14" s="168"/>
      <c r="AA14" s="168"/>
    </row>
    <row r="15" spans="1:29" s="107" customFormat="1" x14ac:dyDescent="0.15">
      <c r="A15" s="110"/>
      <c r="B15" s="119">
        <v>42436</v>
      </c>
      <c r="C15" s="112"/>
      <c r="D15" s="112"/>
      <c r="E15" s="113"/>
      <c r="F15" s="162"/>
      <c r="G15" s="111"/>
      <c r="H15" s="174"/>
      <c r="I15" s="111"/>
      <c r="J15" s="111"/>
      <c r="K15" s="112"/>
      <c r="L15" s="114"/>
      <c r="M15" s="26"/>
      <c r="N15" s="111"/>
      <c r="O15" s="114"/>
      <c r="Q15" s="109"/>
      <c r="R15" s="108"/>
      <c r="S15" s="109"/>
      <c r="T15" s="109"/>
      <c r="X15" s="168"/>
      <c r="Y15" s="168"/>
      <c r="AA15" s="168"/>
    </row>
    <row r="16" spans="1:29" s="107" customFormat="1" x14ac:dyDescent="0.15">
      <c r="A16" s="110"/>
      <c r="B16" s="119">
        <v>42437</v>
      </c>
      <c r="C16" s="112"/>
      <c r="D16" s="112"/>
      <c r="E16" s="113"/>
      <c r="F16" s="162"/>
      <c r="G16" s="111"/>
      <c r="H16" s="174"/>
      <c r="I16" s="111"/>
      <c r="J16" s="111"/>
      <c r="K16" s="112"/>
      <c r="L16" s="114"/>
      <c r="M16" s="26"/>
      <c r="N16" s="111"/>
      <c r="O16" s="114"/>
      <c r="Q16" s="109"/>
      <c r="R16" s="108"/>
      <c r="S16" s="109"/>
      <c r="T16" s="109"/>
      <c r="X16" s="168"/>
      <c r="Y16" s="168"/>
      <c r="AA16" s="168"/>
    </row>
    <row r="17" spans="1:29" s="107" customFormat="1" x14ac:dyDescent="0.15">
      <c r="A17" s="110"/>
      <c r="B17" s="119">
        <v>42438</v>
      </c>
      <c r="C17" s="112"/>
      <c r="D17" s="112"/>
      <c r="E17" s="113"/>
      <c r="F17" s="162"/>
      <c r="G17" s="111"/>
      <c r="H17" s="174"/>
      <c r="I17" s="111"/>
      <c r="J17" s="111"/>
      <c r="K17" s="112"/>
      <c r="L17" s="114"/>
      <c r="M17" s="26"/>
      <c r="N17" s="111"/>
      <c r="O17" s="114"/>
      <c r="Q17" s="109"/>
      <c r="R17" s="108"/>
      <c r="S17" s="109"/>
      <c r="T17" s="109"/>
      <c r="X17" s="168"/>
      <c r="Y17" s="168"/>
      <c r="AA17" s="168"/>
    </row>
    <row r="18" spans="1:29" s="107" customFormat="1" x14ac:dyDescent="0.15">
      <c r="A18" s="110"/>
      <c r="B18" s="119">
        <v>42439</v>
      </c>
      <c r="C18" s="112"/>
      <c r="D18" s="112"/>
      <c r="E18" s="113"/>
      <c r="F18" s="162"/>
      <c r="G18" s="111"/>
      <c r="H18" s="174"/>
      <c r="I18" s="111"/>
      <c r="J18" s="111"/>
      <c r="K18" s="112"/>
      <c r="L18" s="114"/>
      <c r="M18" s="26"/>
      <c r="N18" s="111"/>
      <c r="O18" s="114"/>
      <c r="Q18" s="109"/>
      <c r="R18" s="108"/>
      <c r="S18" s="109"/>
      <c r="T18" s="109"/>
      <c r="X18" s="168"/>
      <c r="Y18" s="168"/>
      <c r="AA18" s="168"/>
    </row>
    <row r="19" spans="1:29" s="170" customFormat="1" x14ac:dyDescent="0.15">
      <c r="A19" s="170" t="s">
        <v>25</v>
      </c>
      <c r="B19" s="172">
        <v>42440</v>
      </c>
      <c r="C19" s="166" t="s">
        <v>34</v>
      </c>
      <c r="D19" s="166" t="s">
        <v>35</v>
      </c>
      <c r="E19" s="170">
        <v>1004533.5</v>
      </c>
      <c r="F19" s="170">
        <f>K19*I19</f>
        <v>1004860</v>
      </c>
      <c r="G19" s="170">
        <f>I19*J19</f>
        <v>1004533.5</v>
      </c>
      <c r="H19" s="170">
        <f>G19*(1+Q19)</f>
        <v>1004793.5426770131</v>
      </c>
      <c r="I19" s="170">
        <v>47000</v>
      </c>
      <c r="J19" s="170">
        <v>21.373053191489362</v>
      </c>
      <c r="K19" s="166">
        <v>21.38</v>
      </c>
      <c r="L19" s="171">
        <f>(K19-J19)/J19</f>
        <v>3.250264923966693E-4</v>
      </c>
      <c r="M19" s="170">
        <v>5508.4613921785576</v>
      </c>
      <c r="N19" s="170">
        <v>5508.982</v>
      </c>
      <c r="O19" s="171">
        <f>(N19-M19)/M19</f>
        <v>9.451056917301139E-5</v>
      </c>
      <c r="P19" s="184">
        <f>L19-O19</f>
        <v>2.3051592322365791E-4</v>
      </c>
      <c r="Q19" s="171">
        <f>L19*0.3+P19*0.7</f>
        <v>2.5886909397556128E-4</v>
      </c>
      <c r="R19" s="170">
        <f>G19*Q19</f>
        <v>260.04267701309948</v>
      </c>
      <c r="S19" s="171">
        <f>(K19-$J$19)/J19</f>
        <v>3.250264923966693E-4</v>
      </c>
      <c r="T19" s="171">
        <f>(N19-$M$19)/$M$19</f>
        <v>9.451056917301139E-5</v>
      </c>
      <c r="U19" s="184">
        <f>(S19-T19)*0.7+S19*0.3</f>
        <v>2.5886909397556128E-4</v>
      </c>
      <c r="V19" s="170">
        <f>E19*U19</f>
        <v>260.04267701309948</v>
      </c>
      <c r="W19" s="170">
        <f>E19*S19</f>
        <v>326.49999999994958</v>
      </c>
      <c r="X19" s="171">
        <f>L19</f>
        <v>3.250264923966693E-4</v>
      </c>
      <c r="Y19" s="171">
        <f>O19</f>
        <v>9.451056917301139E-5</v>
      </c>
      <c r="Z19" s="184">
        <f>X19-Y19</f>
        <v>2.3051592322365791E-4</v>
      </c>
      <c r="AA19" s="171">
        <f>X19*0.3+Z19*0.7</f>
        <v>2.5886909397556128E-4</v>
      </c>
      <c r="AB19" s="170">
        <f>V19</f>
        <v>260.04267701309948</v>
      </c>
      <c r="AC19" s="184">
        <f>AA19</f>
        <v>2.5886909397556128E-4</v>
      </c>
    </row>
    <row r="20" spans="1:29" s="170" customFormat="1" x14ac:dyDescent="0.15">
      <c r="B20" s="172">
        <v>42443</v>
      </c>
      <c r="C20" s="166" t="s">
        <v>34</v>
      </c>
      <c r="D20" s="166" t="s">
        <v>35</v>
      </c>
      <c r="E20" s="170">
        <v>1004533.5</v>
      </c>
      <c r="F20" s="170">
        <f t="shared" ref="F20:F79" si="0">K20*I20</f>
        <v>1105440</v>
      </c>
      <c r="G20" s="170">
        <f>G19*(1+Q19)</f>
        <v>1004793.5426770131</v>
      </c>
      <c r="H20" s="170">
        <f t="shared" ref="H20:H69" si="1">G20*(1+Q20)</f>
        <v>1082180.2144982948</v>
      </c>
      <c r="I20" s="170">
        <v>47000</v>
      </c>
      <c r="J20" s="166">
        <v>21.38</v>
      </c>
      <c r="K20" s="166">
        <v>23.52</v>
      </c>
      <c r="L20" s="171">
        <f t="shared" ref="L20:L24" si="2">(K20-J20)/J20</f>
        <v>0.10009354536950424</v>
      </c>
      <c r="M20" s="170">
        <v>5508.982</v>
      </c>
      <c r="N20" s="170">
        <v>5690.59</v>
      </c>
      <c r="O20" s="171">
        <f t="shared" ref="O20:O24" si="3">(N20-M20)/M20</f>
        <v>3.296580021499438E-2</v>
      </c>
      <c r="P20" s="184">
        <f t="shared" ref="P20:P67" si="4">L20-O20</f>
        <v>6.7127745154509866E-2</v>
      </c>
      <c r="Q20" s="171">
        <f t="shared" ref="Q20:Q67" si="5">L20*0.3+P20*0.7</f>
        <v>7.7017485219008169E-2</v>
      </c>
      <c r="R20" s="170">
        <f t="shared" ref="R20:R63" si="6">G20*Q20</f>
        <v>77386.671821281707</v>
      </c>
      <c r="S20" s="171">
        <f t="shared" ref="S20:S24" si="7">(K20-$J$19)/J20</f>
        <v>0.10041846625400551</v>
      </c>
      <c r="T20" s="171">
        <f t="shared" ref="T20:T24" si="8">(N20-$M$19)/$M$19</f>
        <v>3.3063426400708952E-2</v>
      </c>
      <c r="U20" s="184">
        <f t="shared" ref="U20:U67" si="9">(S20-T20)*0.7+S20*0.3</f>
        <v>7.7274067773509231E-2</v>
      </c>
      <c r="V20" s="170">
        <f t="shared" ref="V20:V67" si="10">E20*U20</f>
        <v>77624.389759760437</v>
      </c>
      <c r="W20" s="170">
        <f t="shared" ref="W20:W67" si="11">E20*S20</f>
        <v>100873.71337076805</v>
      </c>
      <c r="X20" s="171">
        <f t="shared" ref="X20:X51" si="12">(K20-K19)/K19</f>
        <v>0.10009354536950424</v>
      </c>
      <c r="Y20" s="171">
        <f t="shared" ref="Y20:Y51" si="13">(N20-N19)/N19</f>
        <v>3.296580021499438E-2</v>
      </c>
      <c r="Z20" s="184">
        <f t="shared" ref="Z20:Z74" si="14">X20-Y20</f>
        <v>6.7127745154509866E-2</v>
      </c>
      <c r="AA20" s="171">
        <f t="shared" ref="AA20:AA74" si="15">X20*0.3+Z20*0.7</f>
        <v>7.7017485219008169E-2</v>
      </c>
      <c r="AB20" s="170">
        <f t="shared" ref="AB20:AB51" si="16">V20-V19</f>
        <v>77364.347082747336</v>
      </c>
      <c r="AC20" s="184">
        <f>AA20+AC19</f>
        <v>7.7276354312983728E-2</v>
      </c>
    </row>
    <row r="21" spans="1:29" s="170" customFormat="1" x14ac:dyDescent="0.15">
      <c r="B21" s="172">
        <v>42444</v>
      </c>
      <c r="C21" s="166" t="s">
        <v>34</v>
      </c>
      <c r="D21" s="166" t="s">
        <v>35</v>
      </c>
      <c r="E21" s="170">
        <v>1004533.5</v>
      </c>
      <c r="F21" s="170">
        <f t="shared" si="0"/>
        <v>1080530</v>
      </c>
      <c r="G21" s="170">
        <f t="shared" ref="G21:G24" si="17">G20*(1+Q20)</f>
        <v>1082180.2144982948</v>
      </c>
      <c r="H21" s="170">
        <f t="shared" si="1"/>
        <v>1064555.3361742462</v>
      </c>
      <c r="I21" s="170">
        <v>47000</v>
      </c>
      <c r="J21" s="166">
        <v>23.52</v>
      </c>
      <c r="K21" s="166">
        <v>22.99</v>
      </c>
      <c r="L21" s="171">
        <f t="shared" si="2"/>
        <v>-2.2534013605442226E-2</v>
      </c>
      <c r="M21" s="170">
        <v>5690.59</v>
      </c>
      <c r="N21" s="170">
        <v>5639.8010000000004</v>
      </c>
      <c r="O21" s="171">
        <f t="shared" si="3"/>
        <v>-8.9250850966243848E-3</v>
      </c>
      <c r="P21" s="184">
        <f t="shared" si="4"/>
        <v>-1.3608928508817841E-2</v>
      </c>
      <c r="Q21" s="171">
        <f t="shared" si="5"/>
        <v>-1.6286454037805157E-2</v>
      </c>
      <c r="R21" s="170">
        <f t="shared" si="6"/>
        <v>-17624.878324048605</v>
      </c>
      <c r="S21" s="171">
        <f t="shared" si="7"/>
        <v>6.8747738457084887E-2</v>
      </c>
      <c r="T21" s="171">
        <f t="shared" si="8"/>
        <v>2.3843247409872266E-2</v>
      </c>
      <c r="U21" s="184">
        <f t="shared" si="9"/>
        <v>5.2057465270174297E-2</v>
      </c>
      <c r="V21" s="170">
        <f t="shared" si="10"/>
        <v>52293.467788976632</v>
      </c>
      <c r="W21" s="170">
        <f t="shared" si="11"/>
        <v>69059.406329380086</v>
      </c>
      <c r="X21" s="171">
        <f t="shared" si="12"/>
        <v>-2.2534013605442226E-2</v>
      </c>
      <c r="Y21" s="171">
        <f t="shared" si="13"/>
        <v>-8.9250850966243848E-3</v>
      </c>
      <c r="Z21" s="184">
        <f t="shared" si="14"/>
        <v>-1.3608928508817841E-2</v>
      </c>
      <c r="AA21" s="171">
        <f t="shared" si="15"/>
        <v>-1.6286454037805157E-2</v>
      </c>
      <c r="AB21" s="170">
        <f t="shared" si="16"/>
        <v>-25330.921970783806</v>
      </c>
      <c r="AC21" s="184">
        <f t="shared" ref="AC21:AC74" si="18">AA21+AC20</f>
        <v>6.0989900275178574E-2</v>
      </c>
    </row>
    <row r="22" spans="1:29" s="170" customFormat="1" x14ac:dyDescent="0.15">
      <c r="B22" s="172">
        <v>42445</v>
      </c>
      <c r="C22" s="166" t="s">
        <v>34</v>
      </c>
      <c r="D22" s="166" t="s">
        <v>35</v>
      </c>
      <c r="E22" s="170">
        <v>1004533.5</v>
      </c>
      <c r="F22" s="170">
        <f t="shared" si="0"/>
        <v>1064080</v>
      </c>
      <c r="G22" s="170">
        <f t="shared" si="17"/>
        <v>1064555.3361742462</v>
      </c>
      <c r="H22" s="170">
        <f t="shared" si="1"/>
        <v>1058522.1732060134</v>
      </c>
      <c r="I22" s="170">
        <v>47000</v>
      </c>
      <c r="J22" s="166">
        <v>22.99</v>
      </c>
      <c r="K22" s="166">
        <v>22.64</v>
      </c>
      <c r="L22" s="171">
        <f t="shared" si="2"/>
        <v>-1.5224010439321353E-2</v>
      </c>
      <c r="M22" s="170">
        <v>5639.8010000000004</v>
      </c>
      <c r="N22" s="170">
        <v>5562.8040000000001</v>
      </c>
      <c r="O22" s="171">
        <f t="shared" si="3"/>
        <v>-1.3652432062762549E-2</v>
      </c>
      <c r="P22" s="184">
        <f t="shared" si="4"/>
        <v>-1.5715783765588038E-3</v>
      </c>
      <c r="Q22" s="171">
        <f t="shared" si="5"/>
        <v>-5.6673079953875683E-3</v>
      </c>
      <c r="R22" s="170">
        <f t="shared" si="6"/>
        <v>-6033.1629682328057</v>
      </c>
      <c r="S22" s="171">
        <f t="shared" si="7"/>
        <v>5.5108604110945578E-2</v>
      </c>
      <c r="T22" s="171">
        <f t="shared" si="8"/>
        <v>9.8652970316907961E-3</v>
      </c>
      <c r="U22" s="184">
        <f t="shared" si="9"/>
        <v>4.8202896188762015E-2</v>
      </c>
      <c r="V22" s="170">
        <f t="shared" si="10"/>
        <v>48421.42401863377</v>
      </c>
      <c r="W22" s="170">
        <f t="shared" si="11"/>
        <v>55358.438967682552</v>
      </c>
      <c r="X22" s="171">
        <f t="shared" si="12"/>
        <v>-1.5224010439321353E-2</v>
      </c>
      <c r="Y22" s="171">
        <f t="shared" si="13"/>
        <v>-1.3652432062762549E-2</v>
      </c>
      <c r="Z22" s="184">
        <f t="shared" si="14"/>
        <v>-1.5715783765588038E-3</v>
      </c>
      <c r="AA22" s="171">
        <f t="shared" si="15"/>
        <v>-5.6673079953875683E-3</v>
      </c>
      <c r="AB22" s="170">
        <f t="shared" si="16"/>
        <v>-3872.0437703428615</v>
      </c>
      <c r="AC22" s="184">
        <f t="shared" si="18"/>
        <v>5.5322592279791007E-2</v>
      </c>
    </row>
    <row r="23" spans="1:29" s="170" customFormat="1" x14ac:dyDescent="0.15">
      <c r="B23" s="172">
        <v>42446</v>
      </c>
      <c r="C23" s="166" t="s">
        <v>34</v>
      </c>
      <c r="D23" s="166" t="s">
        <v>35</v>
      </c>
      <c r="E23" s="170">
        <v>1004533.5</v>
      </c>
      <c r="F23" s="170">
        <f t="shared" si="0"/>
        <v>1147270</v>
      </c>
      <c r="G23" s="170">
        <f t="shared" si="17"/>
        <v>1058522.1732060134</v>
      </c>
      <c r="H23" s="170">
        <f t="shared" si="1"/>
        <v>1116879.2829923157</v>
      </c>
      <c r="I23" s="170">
        <v>47000</v>
      </c>
      <c r="J23" s="166">
        <v>22.64</v>
      </c>
      <c r="K23" s="166">
        <v>24.41</v>
      </c>
      <c r="L23" s="171">
        <f t="shared" si="2"/>
        <v>7.8180212014134248E-2</v>
      </c>
      <c r="M23" s="170">
        <v>5562.8040000000001</v>
      </c>
      <c r="N23" s="170">
        <v>5745.9750000000004</v>
      </c>
      <c r="O23" s="171">
        <f t="shared" si="3"/>
        <v>3.2927818416755343E-2</v>
      </c>
      <c r="P23" s="184">
        <f t="shared" si="4"/>
        <v>4.5252393597378905E-2</v>
      </c>
      <c r="Q23" s="171">
        <f t="shared" si="5"/>
        <v>5.5130739122405507E-2</v>
      </c>
      <c r="R23" s="170">
        <f t="shared" si="6"/>
        <v>58357.109786302462</v>
      </c>
      <c r="S23" s="171">
        <f t="shared" si="7"/>
        <v>0.13414076009322606</v>
      </c>
      <c r="T23" s="171">
        <f t="shared" si="8"/>
        <v>4.3117958157733005E-2</v>
      </c>
      <c r="U23" s="184">
        <f t="shared" si="9"/>
        <v>0.10395818938281295</v>
      </c>
      <c r="V23" s="170">
        <f t="shared" si="10"/>
        <v>104429.48383437993</v>
      </c>
      <c r="W23" s="170">
        <f t="shared" si="11"/>
        <v>134748.88722910872</v>
      </c>
      <c r="X23" s="171">
        <f t="shared" si="12"/>
        <v>7.8180212014134248E-2</v>
      </c>
      <c r="Y23" s="171">
        <f t="shared" si="13"/>
        <v>3.2927818416755343E-2</v>
      </c>
      <c r="Z23" s="184">
        <f t="shared" si="14"/>
        <v>4.5252393597378905E-2</v>
      </c>
      <c r="AA23" s="171">
        <f t="shared" si="15"/>
        <v>5.5130739122405507E-2</v>
      </c>
      <c r="AB23" s="170">
        <f t="shared" si="16"/>
        <v>56008.059815746165</v>
      </c>
      <c r="AC23" s="184">
        <f t="shared" si="18"/>
        <v>0.11045333140219651</v>
      </c>
    </row>
    <row r="24" spans="1:29" s="170" customFormat="1" x14ac:dyDescent="0.15">
      <c r="B24" s="172">
        <v>42447</v>
      </c>
      <c r="C24" s="166" t="s">
        <v>34</v>
      </c>
      <c r="D24" s="166" t="s">
        <v>35</v>
      </c>
      <c r="E24" s="170">
        <v>1004533.5</v>
      </c>
      <c r="F24" s="170">
        <f t="shared" si="0"/>
        <v>1192390</v>
      </c>
      <c r="G24" s="170">
        <f t="shared" si="17"/>
        <v>1116879.2829923157</v>
      </c>
      <c r="H24" s="170">
        <f t="shared" si="1"/>
        <v>1133144.065447049</v>
      </c>
      <c r="I24" s="170">
        <v>47000</v>
      </c>
      <c r="J24" s="166">
        <v>24.41</v>
      </c>
      <c r="K24" s="166">
        <v>25.37</v>
      </c>
      <c r="L24" s="171">
        <f t="shared" si="2"/>
        <v>3.9328144203195449E-2</v>
      </c>
      <c r="M24" s="170">
        <v>5745.9750000000004</v>
      </c>
      <c r="N24" s="170">
        <v>5949.2629999999999</v>
      </c>
      <c r="O24" s="171">
        <f t="shared" si="3"/>
        <v>3.5379200222764549E-2</v>
      </c>
      <c r="P24" s="184">
        <f t="shared" si="4"/>
        <v>3.9489439804308996E-3</v>
      </c>
      <c r="Q24" s="171">
        <f t="shared" si="5"/>
        <v>1.4562704047260263E-2</v>
      </c>
      <c r="R24" s="170">
        <f t="shared" si="6"/>
        <v>16264.782454733337</v>
      </c>
      <c r="S24" s="171">
        <f t="shared" si="7"/>
        <v>0.16374218797667511</v>
      </c>
      <c r="T24" s="171">
        <f t="shared" si="8"/>
        <v>8.0022637255356771E-2</v>
      </c>
      <c r="U24" s="184">
        <f t="shared" si="9"/>
        <v>0.10772634189792538</v>
      </c>
      <c r="V24" s="170">
        <f t="shared" si="10"/>
        <v>108214.71926891962</v>
      </c>
      <c r="W24" s="170">
        <f t="shared" si="11"/>
        <v>164484.51318586737</v>
      </c>
      <c r="X24" s="171">
        <f t="shared" si="12"/>
        <v>3.9328144203195449E-2</v>
      </c>
      <c r="Y24" s="171">
        <f t="shared" si="13"/>
        <v>3.5379200222764549E-2</v>
      </c>
      <c r="Z24" s="184">
        <f t="shared" si="14"/>
        <v>3.9489439804308996E-3</v>
      </c>
      <c r="AA24" s="171">
        <f t="shared" si="15"/>
        <v>1.4562704047260263E-2</v>
      </c>
      <c r="AB24" s="170">
        <f t="shared" si="16"/>
        <v>3785.2354345396889</v>
      </c>
      <c r="AC24" s="184">
        <f t="shared" si="18"/>
        <v>0.12501603544945677</v>
      </c>
    </row>
    <row r="25" spans="1:29" s="170" customFormat="1" x14ac:dyDescent="0.15">
      <c r="A25" s="170" t="s">
        <v>36</v>
      </c>
      <c r="B25" s="172">
        <v>42450</v>
      </c>
      <c r="C25" s="166" t="s">
        <v>34</v>
      </c>
      <c r="D25" s="166" t="s">
        <v>35</v>
      </c>
      <c r="E25" s="197">
        <v>640530</v>
      </c>
      <c r="F25" s="170">
        <f t="shared" si="0"/>
        <v>987648</v>
      </c>
      <c r="G25" s="170">
        <f>I25*J25</f>
        <v>745344</v>
      </c>
      <c r="H25" s="170">
        <f t="shared" si="1"/>
        <v>916398.05532912281</v>
      </c>
      <c r="I25" s="170">
        <v>38400</v>
      </c>
      <c r="J25" s="198">
        <v>19.41</v>
      </c>
      <c r="K25" s="166">
        <v>25.72</v>
      </c>
      <c r="L25" s="171">
        <f>(K25-J25)/J25</f>
        <v>0.32509015971148886</v>
      </c>
      <c r="M25" s="170">
        <v>5366.6066884249149</v>
      </c>
      <c r="N25" s="170">
        <v>6099.4809999999998</v>
      </c>
      <c r="O25" s="171">
        <f>(N25-M25)/M25</f>
        <v>0.13656195695425216</v>
      </c>
      <c r="P25" s="184">
        <f t="shared" si="4"/>
        <v>0.1885282027572367</v>
      </c>
      <c r="Q25" s="171">
        <f t="shared" si="5"/>
        <v>0.22949678984351232</v>
      </c>
      <c r="R25" s="170">
        <f t="shared" si="6"/>
        <v>171054.05532912284</v>
      </c>
      <c r="S25" s="171">
        <f>(K25-$J$25)/$J$25</f>
        <v>0.32509015971148886</v>
      </c>
      <c r="T25" s="171">
        <f>(N25-$M$25)/$M$25</f>
        <v>0.13656195695425216</v>
      </c>
      <c r="U25" s="184">
        <f t="shared" si="9"/>
        <v>0.22949678984351232</v>
      </c>
      <c r="V25" s="170">
        <f t="shared" si="10"/>
        <v>146999.57879846494</v>
      </c>
      <c r="W25" s="170">
        <f t="shared" si="11"/>
        <v>208229.99999999997</v>
      </c>
      <c r="X25" s="171">
        <f t="shared" si="12"/>
        <v>1.3795821836815051E-2</v>
      </c>
      <c r="Y25" s="171">
        <f t="shared" si="13"/>
        <v>2.5249850275571924E-2</v>
      </c>
      <c r="Z25" s="184">
        <f t="shared" si="14"/>
        <v>-1.1454028438756873E-2</v>
      </c>
      <c r="AA25" s="171">
        <f t="shared" si="15"/>
        <v>-3.879073356085296E-3</v>
      </c>
      <c r="AB25" s="170">
        <f t="shared" si="16"/>
        <v>38784.859529545312</v>
      </c>
      <c r="AC25" s="184">
        <f t="shared" si="18"/>
        <v>0.12113696209337148</v>
      </c>
    </row>
    <row r="26" spans="1:29" s="170" customFormat="1" x14ac:dyDescent="0.15">
      <c r="B26" s="172">
        <v>42451</v>
      </c>
      <c r="C26" s="166" t="s">
        <v>34</v>
      </c>
      <c r="D26" s="166" t="s">
        <v>35</v>
      </c>
      <c r="E26" s="198">
        <v>640530</v>
      </c>
      <c r="F26" s="170">
        <f t="shared" si="0"/>
        <v>967680</v>
      </c>
      <c r="G26" s="170">
        <f>G25*(1+Q25)</f>
        <v>916398.05532912281</v>
      </c>
      <c r="H26" s="170">
        <f t="shared" si="1"/>
        <v>900393.47570090869</v>
      </c>
      <c r="I26" s="170">
        <v>38400</v>
      </c>
      <c r="J26" s="170">
        <v>25.72</v>
      </c>
      <c r="K26" s="166">
        <v>25.2</v>
      </c>
      <c r="L26" s="171">
        <f t="shared" ref="L26:L80" si="19">(K26-J26)/J26</f>
        <v>-2.0217729393468102E-2</v>
      </c>
      <c r="M26" s="170">
        <v>6099.4809999999998</v>
      </c>
      <c r="N26" s="170">
        <v>6075.4920000000002</v>
      </c>
      <c r="O26" s="171">
        <f t="shared" ref="O26:O69" si="20">(N26-M26)/M26</f>
        <v>-3.9329575745870151E-3</v>
      </c>
      <c r="P26" s="184">
        <f t="shared" si="4"/>
        <v>-1.6284771818881088E-2</v>
      </c>
      <c r="Q26" s="171">
        <f t="shared" si="5"/>
        <v>-1.746465909125719E-2</v>
      </c>
      <c r="R26" s="170">
        <f t="shared" si="6"/>
        <v>-16004.579628214175</v>
      </c>
      <c r="S26" s="171">
        <f t="shared" ref="S26:S63" si="21">(K26-$J$25)/$J$25</f>
        <v>0.29829984544049454</v>
      </c>
      <c r="T26" s="171">
        <f t="shared" ref="T26:T63" si="22">(N26-$M$25)/$M$25</f>
        <v>0.13209190699666148</v>
      </c>
      <c r="U26" s="184">
        <f t="shared" si="9"/>
        <v>0.2058355105428315</v>
      </c>
      <c r="V26" s="170">
        <f t="shared" si="10"/>
        <v>131843.81956799986</v>
      </c>
      <c r="W26" s="170">
        <f t="shared" si="11"/>
        <v>191069.99999999997</v>
      </c>
      <c r="X26" s="171">
        <f t="shared" si="12"/>
        <v>-2.0217729393468102E-2</v>
      </c>
      <c r="Y26" s="171">
        <f t="shared" si="13"/>
        <v>-3.9329575745870151E-3</v>
      </c>
      <c r="Z26" s="184">
        <f t="shared" si="14"/>
        <v>-1.6284771818881088E-2</v>
      </c>
      <c r="AA26" s="171">
        <f t="shared" si="15"/>
        <v>-1.746465909125719E-2</v>
      </c>
      <c r="AB26" s="170">
        <f t="shared" si="16"/>
        <v>-15155.759230465075</v>
      </c>
      <c r="AC26" s="184">
        <f t="shared" si="18"/>
        <v>0.10367230300211429</v>
      </c>
    </row>
    <row r="27" spans="1:29" s="170" customFormat="1" x14ac:dyDescent="0.15">
      <c r="B27" s="172">
        <v>42452</v>
      </c>
      <c r="C27" s="166" t="s">
        <v>34</v>
      </c>
      <c r="D27" s="166" t="s">
        <v>35</v>
      </c>
      <c r="E27" s="198">
        <v>640530</v>
      </c>
      <c r="F27" s="170">
        <f t="shared" si="0"/>
        <v>970368</v>
      </c>
      <c r="G27" s="170">
        <f t="shared" ref="G27:G63" si="23">G26*(1+Q26)</f>
        <v>900393.47570090869</v>
      </c>
      <c r="H27" s="170">
        <f t="shared" si="1"/>
        <v>898384.54807272123</v>
      </c>
      <c r="I27" s="170">
        <v>38400</v>
      </c>
      <c r="J27" s="170">
        <v>25.2</v>
      </c>
      <c r="K27" s="166">
        <v>25.27</v>
      </c>
      <c r="L27" s="171">
        <f t="shared" si="19"/>
        <v>2.7777777777777892E-3</v>
      </c>
      <c r="M27" s="170">
        <v>6075.4920000000002</v>
      </c>
      <c r="N27" s="170">
        <v>6118.9660000000003</v>
      </c>
      <c r="O27" s="171">
        <f t="shared" si="20"/>
        <v>7.1556344737183685E-3</v>
      </c>
      <c r="P27" s="184">
        <f t="shared" si="4"/>
        <v>-4.3778566959405789E-3</v>
      </c>
      <c r="Q27" s="171">
        <f t="shared" si="5"/>
        <v>-2.2311663538250679E-3</v>
      </c>
      <c r="R27" s="170">
        <f t="shared" si="6"/>
        <v>-2008.9276281874763</v>
      </c>
      <c r="S27" s="171">
        <f t="shared" si="21"/>
        <v>0.3019062339000515</v>
      </c>
      <c r="T27" s="171">
        <f t="shared" si="22"/>
        <v>0.14019274287378436</v>
      </c>
      <c r="U27" s="184">
        <f t="shared" si="9"/>
        <v>0.20377131388840242</v>
      </c>
      <c r="V27" s="170">
        <f t="shared" si="10"/>
        <v>130521.6396849384</v>
      </c>
      <c r="W27" s="170">
        <f t="shared" si="11"/>
        <v>193380</v>
      </c>
      <c r="X27" s="171">
        <f t="shared" si="12"/>
        <v>2.7777777777777892E-3</v>
      </c>
      <c r="Y27" s="171">
        <f t="shared" si="13"/>
        <v>7.1556344737183685E-3</v>
      </c>
      <c r="Z27" s="184">
        <f t="shared" si="14"/>
        <v>-4.3778566959405789E-3</v>
      </c>
      <c r="AA27" s="171">
        <f t="shared" si="15"/>
        <v>-2.2311663538250679E-3</v>
      </c>
      <c r="AB27" s="170">
        <f t="shared" si="16"/>
        <v>-1322.1798830614571</v>
      </c>
      <c r="AC27" s="184">
        <f t="shared" si="18"/>
        <v>0.10144113664828922</v>
      </c>
    </row>
    <row r="28" spans="1:29" s="170" customFormat="1" x14ac:dyDescent="0.15">
      <c r="B28" s="172">
        <v>42453</v>
      </c>
      <c r="C28" s="166" t="s">
        <v>34</v>
      </c>
      <c r="D28" s="166" t="s">
        <v>35</v>
      </c>
      <c r="E28" s="198">
        <v>640530</v>
      </c>
      <c r="F28" s="170">
        <f t="shared" si="0"/>
        <v>953471.99999999988</v>
      </c>
      <c r="G28" s="170">
        <f t="shared" si="23"/>
        <v>898384.54807272123</v>
      </c>
      <c r="H28" s="170">
        <f t="shared" si="1"/>
        <v>893075.00044913974</v>
      </c>
      <c r="I28" s="170">
        <v>38400</v>
      </c>
      <c r="J28" s="170">
        <v>25.27</v>
      </c>
      <c r="K28" s="166">
        <v>24.83</v>
      </c>
      <c r="L28" s="171">
        <f t="shared" si="19"/>
        <v>-1.741195092995652E-2</v>
      </c>
      <c r="M28" s="170">
        <v>6118.9660000000003</v>
      </c>
      <c r="N28" s="170">
        <v>6018.424</v>
      </c>
      <c r="O28" s="171">
        <f t="shared" si="20"/>
        <v>-1.6431207494861121E-2</v>
      </c>
      <c r="P28" s="184">
        <f t="shared" si="4"/>
        <v>-9.8074343509539988E-4</v>
      </c>
      <c r="Q28" s="171">
        <f t="shared" si="5"/>
        <v>-5.9101056835537359E-3</v>
      </c>
      <c r="R28" s="170">
        <f t="shared" si="6"/>
        <v>-5309.547623581444</v>
      </c>
      <c r="S28" s="171">
        <f t="shared" si="21"/>
        <v>0.2792375064399793</v>
      </c>
      <c r="T28" s="171">
        <f t="shared" si="22"/>
        <v>0.12145799933149037</v>
      </c>
      <c r="U28" s="184">
        <f t="shared" si="9"/>
        <v>0.19421690690793603</v>
      </c>
      <c r="V28" s="170">
        <f t="shared" si="10"/>
        <v>124401.75538174027</v>
      </c>
      <c r="W28" s="170">
        <f t="shared" si="11"/>
        <v>178859.99999999994</v>
      </c>
      <c r="X28" s="171">
        <f t="shared" si="12"/>
        <v>-1.741195092995652E-2</v>
      </c>
      <c r="Y28" s="171">
        <f t="shared" si="13"/>
        <v>-1.6431207494861121E-2</v>
      </c>
      <c r="Z28" s="184">
        <f t="shared" si="14"/>
        <v>-9.8074343509539988E-4</v>
      </c>
      <c r="AA28" s="171">
        <f t="shared" si="15"/>
        <v>-5.9101056835537359E-3</v>
      </c>
      <c r="AB28" s="170">
        <f t="shared" si="16"/>
        <v>-6119.8843031981378</v>
      </c>
      <c r="AC28" s="184">
        <f t="shared" si="18"/>
        <v>9.5531030964735475E-2</v>
      </c>
    </row>
    <row r="29" spans="1:29" s="170" customFormat="1" x14ac:dyDescent="0.15">
      <c r="B29" s="172">
        <v>42454</v>
      </c>
      <c r="C29" s="166" t="s">
        <v>34</v>
      </c>
      <c r="D29" s="166" t="s">
        <v>35</v>
      </c>
      <c r="E29" s="198">
        <v>640530</v>
      </c>
      <c r="F29" s="170">
        <f t="shared" si="0"/>
        <v>938880</v>
      </c>
      <c r="G29" s="170">
        <f t="shared" si="23"/>
        <v>893075.00044913974</v>
      </c>
      <c r="H29" s="170">
        <f t="shared" si="1"/>
        <v>873278.07880967122</v>
      </c>
      <c r="I29" s="170">
        <v>38400</v>
      </c>
      <c r="J29" s="170">
        <v>24.83</v>
      </c>
      <c r="K29" s="166">
        <v>24.45</v>
      </c>
      <c r="L29" s="171">
        <f t="shared" si="19"/>
        <v>-1.5304067660088563E-2</v>
      </c>
      <c r="M29" s="170">
        <v>6018.424</v>
      </c>
      <c r="N29" s="170">
        <v>6077.4309999999996</v>
      </c>
      <c r="O29" s="171">
        <f t="shared" si="20"/>
        <v>9.8043939742363789E-3</v>
      </c>
      <c r="P29" s="184">
        <f t="shared" si="4"/>
        <v>-2.5108461634324942E-2</v>
      </c>
      <c r="Q29" s="171">
        <f t="shared" si="5"/>
        <v>-2.2167143442054026E-2</v>
      </c>
      <c r="R29" s="170">
        <f t="shared" si="6"/>
        <v>-19796.921639468543</v>
      </c>
      <c r="S29" s="171">
        <f t="shared" si="21"/>
        <v>0.25965996908809885</v>
      </c>
      <c r="T29" s="171">
        <f t="shared" si="22"/>
        <v>0.13245321538249524</v>
      </c>
      <c r="U29" s="184">
        <f t="shared" si="9"/>
        <v>0.16694271832035218</v>
      </c>
      <c r="V29" s="170">
        <f t="shared" si="10"/>
        <v>106931.81936573518</v>
      </c>
      <c r="W29" s="170">
        <f t="shared" si="11"/>
        <v>166319.99999999997</v>
      </c>
      <c r="X29" s="171">
        <f t="shared" si="12"/>
        <v>-1.5304067660088563E-2</v>
      </c>
      <c r="Y29" s="171">
        <f t="shared" si="13"/>
        <v>9.8043939742363789E-3</v>
      </c>
      <c r="Z29" s="184">
        <f t="shared" si="14"/>
        <v>-2.5108461634324942E-2</v>
      </c>
      <c r="AA29" s="171">
        <f t="shared" si="15"/>
        <v>-2.2167143442054026E-2</v>
      </c>
      <c r="AB29" s="170">
        <f t="shared" si="16"/>
        <v>-17469.936016005086</v>
      </c>
      <c r="AC29" s="184">
        <f t="shared" si="18"/>
        <v>7.3363887522681442E-2</v>
      </c>
    </row>
    <row r="30" spans="1:29" s="170" customFormat="1" x14ac:dyDescent="0.15">
      <c r="B30" s="172">
        <v>42457</v>
      </c>
      <c r="C30" s="166" t="s">
        <v>34</v>
      </c>
      <c r="D30" s="166" t="s">
        <v>35</v>
      </c>
      <c r="E30" s="198">
        <v>640530</v>
      </c>
      <c r="F30" s="170">
        <f t="shared" si="0"/>
        <v>910080</v>
      </c>
      <c r="G30" s="170">
        <f t="shared" si="23"/>
        <v>873278.07880967122</v>
      </c>
      <c r="H30" s="170">
        <f t="shared" si="1"/>
        <v>850478.88027057494</v>
      </c>
      <c r="I30" s="170">
        <v>38400</v>
      </c>
      <c r="J30" s="170">
        <v>24.45</v>
      </c>
      <c r="K30" s="166">
        <v>23.7</v>
      </c>
      <c r="L30" s="171">
        <f t="shared" si="19"/>
        <v>-3.0674846625766871E-2</v>
      </c>
      <c r="M30" s="170">
        <v>6077.4309999999996</v>
      </c>
      <c r="N30" s="170">
        <v>6037.7780000000002</v>
      </c>
      <c r="O30" s="171">
        <f t="shared" si="20"/>
        <v>-6.5246318715916872E-3</v>
      </c>
      <c r="P30" s="184">
        <f t="shared" si="4"/>
        <v>-2.4150214754175184E-2</v>
      </c>
      <c r="Q30" s="171">
        <f t="shared" si="5"/>
        <v>-2.6107604315652688E-2</v>
      </c>
      <c r="R30" s="170">
        <f t="shared" si="6"/>
        <v>-22799.198539096262</v>
      </c>
      <c r="S30" s="171">
        <f t="shared" si="21"/>
        <v>0.22102009273570319</v>
      </c>
      <c r="T30" s="171">
        <f t="shared" si="22"/>
        <v>0.12506437504032411</v>
      </c>
      <c r="U30" s="184">
        <f t="shared" si="9"/>
        <v>0.13347503020747631</v>
      </c>
      <c r="V30" s="170">
        <f t="shared" si="10"/>
        <v>85494.761098794799</v>
      </c>
      <c r="W30" s="170">
        <f t="shared" si="11"/>
        <v>141569.99999999997</v>
      </c>
      <c r="X30" s="171">
        <f t="shared" si="12"/>
        <v>-3.0674846625766871E-2</v>
      </c>
      <c r="Y30" s="171">
        <f t="shared" si="13"/>
        <v>-6.5246318715916872E-3</v>
      </c>
      <c r="Z30" s="184">
        <f t="shared" si="14"/>
        <v>-2.4150214754175184E-2</v>
      </c>
      <c r="AA30" s="171">
        <f t="shared" si="15"/>
        <v>-2.6107604315652688E-2</v>
      </c>
      <c r="AB30" s="170">
        <f t="shared" si="16"/>
        <v>-21437.058266940381</v>
      </c>
      <c r="AC30" s="184">
        <f t="shared" si="18"/>
        <v>4.7256283207028751E-2</v>
      </c>
    </row>
    <row r="31" spans="1:29" s="170" customFormat="1" x14ac:dyDescent="0.15">
      <c r="B31" s="172">
        <v>42458</v>
      </c>
      <c r="C31" s="166" t="s">
        <v>34</v>
      </c>
      <c r="D31" s="166" t="s">
        <v>35</v>
      </c>
      <c r="E31" s="198">
        <v>640530</v>
      </c>
      <c r="F31" s="170">
        <f t="shared" si="0"/>
        <v>883968</v>
      </c>
      <c r="G31" s="170">
        <f t="shared" si="23"/>
        <v>850478.88027057494</v>
      </c>
      <c r="H31" s="170">
        <f t="shared" si="1"/>
        <v>837505.97703093034</v>
      </c>
      <c r="I31" s="170">
        <v>38400</v>
      </c>
      <c r="J31" s="170">
        <v>23.7</v>
      </c>
      <c r="K31" s="166">
        <v>23.02</v>
      </c>
      <c r="L31" s="171">
        <f t="shared" si="19"/>
        <v>-2.8691983122362857E-2</v>
      </c>
      <c r="M31" s="170">
        <v>6037.7780000000002</v>
      </c>
      <c r="N31" s="170">
        <v>5921.8670000000002</v>
      </c>
      <c r="O31" s="171">
        <f t="shared" si="20"/>
        <v>-1.9197625351578023E-2</v>
      </c>
      <c r="P31" s="184">
        <f t="shared" si="4"/>
        <v>-9.4943577707848337E-3</v>
      </c>
      <c r="Q31" s="171">
        <f t="shared" si="5"/>
        <v>-1.525364537625824E-2</v>
      </c>
      <c r="R31" s="170">
        <f t="shared" si="6"/>
        <v>-12972.90323964454</v>
      </c>
      <c r="S31" s="171">
        <f t="shared" si="21"/>
        <v>0.18598660484286447</v>
      </c>
      <c r="T31" s="171">
        <f t="shared" si="22"/>
        <v>0.1034658106718927</v>
      </c>
      <c r="U31" s="184">
        <f t="shared" si="9"/>
        <v>0.11356053737253957</v>
      </c>
      <c r="V31" s="170">
        <f t="shared" si="10"/>
        <v>72738.931003232778</v>
      </c>
      <c r="W31" s="170">
        <f t="shared" si="11"/>
        <v>119129.99999999999</v>
      </c>
      <c r="X31" s="171">
        <f t="shared" si="12"/>
        <v>-2.8691983122362857E-2</v>
      </c>
      <c r="Y31" s="171">
        <f t="shared" si="13"/>
        <v>-1.9197625351578023E-2</v>
      </c>
      <c r="Z31" s="184">
        <f t="shared" si="14"/>
        <v>-9.4943577707848337E-3</v>
      </c>
      <c r="AA31" s="171">
        <f t="shared" si="15"/>
        <v>-1.525364537625824E-2</v>
      </c>
      <c r="AB31" s="170">
        <f t="shared" si="16"/>
        <v>-12755.830095562022</v>
      </c>
      <c r="AC31" s="184">
        <f t="shared" si="18"/>
        <v>3.2002637830770508E-2</v>
      </c>
    </row>
    <row r="32" spans="1:29" s="170" customFormat="1" x14ac:dyDescent="0.15">
      <c r="B32" s="172">
        <v>42459</v>
      </c>
      <c r="C32" s="166" t="s">
        <v>34</v>
      </c>
      <c r="D32" s="166" t="s">
        <v>35</v>
      </c>
      <c r="E32" s="198">
        <v>640530</v>
      </c>
      <c r="F32" s="170">
        <f t="shared" si="0"/>
        <v>949632</v>
      </c>
      <c r="G32" s="170">
        <f t="shared" si="23"/>
        <v>837505.97703093034</v>
      </c>
      <c r="H32" s="170">
        <f t="shared" si="1"/>
        <v>878371.05157120852</v>
      </c>
      <c r="I32" s="170">
        <v>38400</v>
      </c>
      <c r="J32" s="170">
        <v>23.02</v>
      </c>
      <c r="K32" s="166">
        <v>24.73</v>
      </c>
      <c r="L32" s="171">
        <f t="shared" si="19"/>
        <v>7.4283231972198133E-2</v>
      </c>
      <c r="M32" s="170">
        <v>5921.8670000000002</v>
      </c>
      <c r="N32" s="170">
        <v>6137.5029999999997</v>
      </c>
      <c r="O32" s="171">
        <f t="shared" si="20"/>
        <v>3.6413516210343715E-2</v>
      </c>
      <c r="P32" s="184">
        <f t="shared" si="4"/>
        <v>3.7869715761854418E-2</v>
      </c>
      <c r="Q32" s="171">
        <f t="shared" si="5"/>
        <v>4.879377062495753E-2</v>
      </c>
      <c r="R32" s="170">
        <f t="shared" si="6"/>
        <v>40865.074540278169</v>
      </c>
      <c r="S32" s="171">
        <f t="shared" si="21"/>
        <v>0.27408552292632665</v>
      </c>
      <c r="T32" s="171">
        <f t="shared" si="22"/>
        <v>0.14364688085635374</v>
      </c>
      <c r="U32" s="184">
        <f t="shared" si="9"/>
        <v>0.17353270632687903</v>
      </c>
      <c r="V32" s="170">
        <f t="shared" si="10"/>
        <v>111152.90438355583</v>
      </c>
      <c r="W32" s="170">
        <f t="shared" si="11"/>
        <v>175560</v>
      </c>
      <c r="X32" s="171">
        <f t="shared" si="12"/>
        <v>7.4283231972198133E-2</v>
      </c>
      <c r="Y32" s="171">
        <f t="shared" si="13"/>
        <v>3.6413516210343715E-2</v>
      </c>
      <c r="Z32" s="184">
        <f t="shared" si="14"/>
        <v>3.7869715761854418E-2</v>
      </c>
      <c r="AA32" s="171">
        <f t="shared" si="15"/>
        <v>4.879377062495753E-2</v>
      </c>
      <c r="AB32" s="170">
        <f t="shared" si="16"/>
        <v>38413.973380323048</v>
      </c>
      <c r="AC32" s="184">
        <f t="shared" si="18"/>
        <v>8.0796408455728039E-2</v>
      </c>
    </row>
    <row r="33" spans="2:29" s="170" customFormat="1" x14ac:dyDescent="0.15">
      <c r="B33" s="172">
        <v>42460</v>
      </c>
      <c r="C33" s="166" t="s">
        <v>34</v>
      </c>
      <c r="D33" s="166" t="s">
        <v>35</v>
      </c>
      <c r="E33" s="198">
        <v>640530</v>
      </c>
      <c r="F33" s="170">
        <f t="shared" si="0"/>
        <v>930048</v>
      </c>
      <c r="G33" s="170">
        <f t="shared" si="23"/>
        <v>878371.05157120852</v>
      </c>
      <c r="H33" s="170">
        <f t="shared" si="1"/>
        <v>858422.23658568691</v>
      </c>
      <c r="I33" s="170">
        <v>38400</v>
      </c>
      <c r="J33" s="170">
        <v>24.73</v>
      </c>
      <c r="K33" s="166">
        <v>24.22</v>
      </c>
      <c r="L33" s="171">
        <f t="shared" si="19"/>
        <v>-2.0622725434694764E-2</v>
      </c>
      <c r="M33" s="170">
        <v>6137.5029999999997</v>
      </c>
      <c r="N33" s="170">
        <v>6155.8140000000003</v>
      </c>
      <c r="O33" s="171">
        <f t="shared" si="20"/>
        <v>2.98346086348155E-3</v>
      </c>
      <c r="P33" s="184">
        <f t="shared" si="4"/>
        <v>-2.3606186298176315E-2</v>
      </c>
      <c r="Q33" s="171">
        <f t="shared" si="5"/>
        <v>-2.2711148039131851E-2</v>
      </c>
      <c r="R33" s="170">
        <f t="shared" si="6"/>
        <v>-19948.814985521632</v>
      </c>
      <c r="S33" s="171">
        <f t="shared" si="21"/>
        <v>0.24781040700669751</v>
      </c>
      <c r="T33" s="171">
        <f t="shared" si="22"/>
        <v>0.14705890656703141</v>
      </c>
      <c r="U33" s="184">
        <f t="shared" si="9"/>
        <v>0.14486917240977551</v>
      </c>
      <c r="V33" s="170">
        <f t="shared" si="10"/>
        <v>92793.051003633504</v>
      </c>
      <c r="W33" s="170">
        <f t="shared" si="11"/>
        <v>158729.99999999997</v>
      </c>
      <c r="X33" s="171">
        <f t="shared" si="12"/>
        <v>-2.0622725434694764E-2</v>
      </c>
      <c r="Y33" s="171">
        <f t="shared" si="13"/>
        <v>2.98346086348155E-3</v>
      </c>
      <c r="Z33" s="184">
        <f t="shared" si="14"/>
        <v>-2.3606186298176315E-2</v>
      </c>
      <c r="AA33" s="171">
        <f t="shared" si="15"/>
        <v>-2.2711148039131851E-2</v>
      </c>
      <c r="AB33" s="170">
        <f t="shared" si="16"/>
        <v>-18359.853379922322</v>
      </c>
      <c r="AC33" s="184">
        <f t="shared" si="18"/>
        <v>5.8085260416596188E-2</v>
      </c>
    </row>
    <row r="34" spans="2:29" s="170" customFormat="1" x14ac:dyDescent="0.15">
      <c r="B34" s="172">
        <v>42461</v>
      </c>
      <c r="C34" s="166" t="s">
        <v>34</v>
      </c>
      <c r="D34" s="166" t="s">
        <v>35</v>
      </c>
      <c r="E34" s="198">
        <v>640530</v>
      </c>
      <c r="F34" s="170">
        <f t="shared" si="0"/>
        <v>910464</v>
      </c>
      <c r="G34" s="170">
        <f t="shared" si="23"/>
        <v>858422.23658568691</v>
      </c>
      <c r="H34" s="170">
        <f t="shared" si="1"/>
        <v>843400.42014160962</v>
      </c>
      <c r="I34" s="170">
        <v>38400</v>
      </c>
      <c r="J34" s="170">
        <v>24.22</v>
      </c>
      <c r="K34" s="166">
        <v>23.71</v>
      </c>
      <c r="L34" s="171">
        <f t="shared" si="19"/>
        <v>-2.1056977704376468E-2</v>
      </c>
      <c r="M34" s="170">
        <v>6155.8140000000003</v>
      </c>
      <c r="N34" s="170">
        <v>6124.5280000000002</v>
      </c>
      <c r="O34" s="171">
        <f t="shared" si="20"/>
        <v>-5.082349791595402E-3</v>
      </c>
      <c r="P34" s="184">
        <f t="shared" si="4"/>
        <v>-1.5974627912781064E-2</v>
      </c>
      <c r="Q34" s="171">
        <f t="shared" si="5"/>
        <v>-1.7499332850259685E-2</v>
      </c>
      <c r="R34" s="170">
        <f t="shared" si="6"/>
        <v>-15021.816444077302</v>
      </c>
      <c r="S34" s="171">
        <f t="shared" si="21"/>
        <v>0.22153529108706857</v>
      </c>
      <c r="T34" s="171">
        <f t="shared" si="22"/>
        <v>0.14122915197229283</v>
      </c>
      <c r="U34" s="184">
        <f t="shared" si="9"/>
        <v>0.12267488470646358</v>
      </c>
      <c r="V34" s="170">
        <f t="shared" si="10"/>
        <v>78576.943901031118</v>
      </c>
      <c r="W34" s="170">
        <f t="shared" si="11"/>
        <v>141900.00000000003</v>
      </c>
      <c r="X34" s="171">
        <f t="shared" si="12"/>
        <v>-2.1056977704376468E-2</v>
      </c>
      <c r="Y34" s="171">
        <f t="shared" si="13"/>
        <v>-5.082349791595402E-3</v>
      </c>
      <c r="Z34" s="184">
        <f t="shared" si="14"/>
        <v>-1.5974627912781064E-2</v>
      </c>
      <c r="AA34" s="171">
        <f t="shared" si="15"/>
        <v>-1.7499332850259685E-2</v>
      </c>
      <c r="AB34" s="170">
        <f t="shared" si="16"/>
        <v>-14216.107102602386</v>
      </c>
      <c r="AC34" s="184">
        <f t="shared" si="18"/>
        <v>4.0585927566336499E-2</v>
      </c>
    </row>
    <row r="35" spans="2:29" s="170" customFormat="1" x14ac:dyDescent="0.15">
      <c r="B35" s="172">
        <v>42465</v>
      </c>
      <c r="C35" s="166" t="s">
        <v>34</v>
      </c>
      <c r="D35" s="166" t="s">
        <v>35</v>
      </c>
      <c r="E35" s="198">
        <v>640530</v>
      </c>
      <c r="F35" s="170">
        <f t="shared" si="0"/>
        <v>957696</v>
      </c>
      <c r="G35" s="170">
        <f t="shared" si="23"/>
        <v>843400.42014160962</v>
      </c>
      <c r="H35" s="170">
        <f t="shared" si="1"/>
        <v>871531.91165679309</v>
      </c>
      <c r="I35" s="170">
        <v>38400</v>
      </c>
      <c r="J35" s="170">
        <v>23.71</v>
      </c>
      <c r="K35" s="166">
        <v>24.94</v>
      </c>
      <c r="L35" s="171">
        <f t="shared" si="19"/>
        <v>5.1876845212990318E-2</v>
      </c>
      <c r="M35" s="170">
        <v>6124.5280000000002</v>
      </c>
      <c r="N35" s="170">
        <v>6286.5829999999996</v>
      </c>
      <c r="O35" s="171">
        <f t="shared" si="20"/>
        <v>2.6459998223536473E-2</v>
      </c>
      <c r="P35" s="184">
        <f t="shared" si="4"/>
        <v>2.5416846989453845E-2</v>
      </c>
      <c r="Q35" s="171">
        <f t="shared" si="5"/>
        <v>3.3354846456514785E-2</v>
      </c>
      <c r="R35" s="170">
        <f t="shared" si="6"/>
        <v>28131.491515183447</v>
      </c>
      <c r="S35" s="171">
        <f t="shared" si="21"/>
        <v>0.28490468830499749</v>
      </c>
      <c r="T35" s="171">
        <f t="shared" si="22"/>
        <v>0.17142607330612772</v>
      </c>
      <c r="U35" s="184">
        <f t="shared" si="9"/>
        <v>0.16490643699070806</v>
      </c>
      <c r="V35" s="170">
        <f t="shared" si="10"/>
        <v>105627.52008565824</v>
      </c>
      <c r="W35" s="170">
        <f t="shared" si="11"/>
        <v>182490.00000000003</v>
      </c>
      <c r="X35" s="171">
        <f t="shared" si="12"/>
        <v>5.1876845212990318E-2</v>
      </c>
      <c r="Y35" s="171">
        <f t="shared" si="13"/>
        <v>2.6459998223536473E-2</v>
      </c>
      <c r="Z35" s="184">
        <f t="shared" si="14"/>
        <v>2.5416846989453845E-2</v>
      </c>
      <c r="AA35" s="171">
        <f t="shared" si="15"/>
        <v>3.3354846456514785E-2</v>
      </c>
      <c r="AB35" s="170">
        <f t="shared" si="16"/>
        <v>27050.57618462712</v>
      </c>
      <c r="AC35" s="184">
        <f t="shared" si="18"/>
        <v>7.3940774022851291E-2</v>
      </c>
    </row>
    <row r="36" spans="2:29" s="170" customFormat="1" x14ac:dyDescent="0.15">
      <c r="B36" s="172">
        <v>42466</v>
      </c>
      <c r="C36" s="166" t="s">
        <v>34</v>
      </c>
      <c r="D36" s="166" t="s">
        <v>35</v>
      </c>
      <c r="E36" s="198">
        <v>640530</v>
      </c>
      <c r="F36" s="170">
        <f t="shared" si="0"/>
        <v>981120</v>
      </c>
      <c r="G36" s="170">
        <f t="shared" si="23"/>
        <v>871531.91165679309</v>
      </c>
      <c r="H36" s="170">
        <f t="shared" si="1"/>
        <v>889272.29809424945</v>
      </c>
      <c r="I36" s="170">
        <v>38400</v>
      </c>
      <c r="J36" s="170">
        <v>24.94</v>
      </c>
      <c r="K36" s="166">
        <v>25.55</v>
      </c>
      <c r="L36" s="171">
        <f t="shared" si="19"/>
        <v>2.4458700882117056E-2</v>
      </c>
      <c r="M36" s="170">
        <v>6286.5829999999996</v>
      </c>
      <c r="N36" s="170">
        <v>6323.4340000000002</v>
      </c>
      <c r="O36" s="171">
        <f t="shared" si="20"/>
        <v>5.8618489567385922E-3</v>
      </c>
      <c r="P36" s="184">
        <f t="shared" si="4"/>
        <v>1.8596851925378466E-2</v>
      </c>
      <c r="Q36" s="171">
        <f t="shared" si="5"/>
        <v>2.0355406612400043E-2</v>
      </c>
      <c r="R36" s="170">
        <f t="shared" si="6"/>
        <v>17740.386437456338</v>
      </c>
      <c r="S36" s="171">
        <f t="shared" si="21"/>
        <v>0.31633178773827925</v>
      </c>
      <c r="T36" s="171">
        <f t="shared" si="22"/>
        <v>0.17829279601183362</v>
      </c>
      <c r="U36" s="184">
        <f t="shared" si="9"/>
        <v>0.1915268305299957</v>
      </c>
      <c r="V36" s="170">
        <f t="shared" si="10"/>
        <v>122678.68075937814</v>
      </c>
      <c r="W36" s="170">
        <f t="shared" si="11"/>
        <v>202620</v>
      </c>
      <c r="X36" s="171">
        <f t="shared" si="12"/>
        <v>2.4458700882117056E-2</v>
      </c>
      <c r="Y36" s="171">
        <f t="shared" si="13"/>
        <v>5.8618489567385922E-3</v>
      </c>
      <c r="Z36" s="184">
        <f t="shared" si="14"/>
        <v>1.8596851925378466E-2</v>
      </c>
      <c r="AA36" s="171">
        <f t="shared" si="15"/>
        <v>2.0355406612400043E-2</v>
      </c>
      <c r="AB36" s="170">
        <f t="shared" si="16"/>
        <v>17051.160673719904</v>
      </c>
      <c r="AC36" s="184">
        <f t="shared" si="18"/>
        <v>9.4296180635251331E-2</v>
      </c>
    </row>
    <row r="37" spans="2:29" s="170" customFormat="1" x14ac:dyDescent="0.15">
      <c r="B37" s="172">
        <v>42467</v>
      </c>
      <c r="C37" s="166" t="s">
        <v>34</v>
      </c>
      <c r="D37" s="166" t="s">
        <v>35</v>
      </c>
      <c r="E37" s="198">
        <v>640530</v>
      </c>
      <c r="F37" s="170">
        <f t="shared" si="0"/>
        <v>963840</v>
      </c>
      <c r="G37" s="170">
        <f t="shared" si="23"/>
        <v>889272.29809424945</v>
      </c>
      <c r="H37" s="170">
        <f t="shared" si="1"/>
        <v>882908.78614795429</v>
      </c>
      <c r="I37" s="170">
        <v>38400</v>
      </c>
      <c r="J37" s="170">
        <v>25.55</v>
      </c>
      <c r="K37" s="166">
        <v>25.1</v>
      </c>
      <c r="L37" s="171">
        <f t="shared" si="19"/>
        <v>-1.7612524461839502E-2</v>
      </c>
      <c r="M37" s="170">
        <v>6323.4340000000002</v>
      </c>
      <c r="N37" s="170">
        <v>6228.9740000000002</v>
      </c>
      <c r="O37" s="171">
        <f t="shared" si="20"/>
        <v>-1.4938085856514046E-2</v>
      </c>
      <c r="P37" s="184">
        <f t="shared" si="4"/>
        <v>-2.6744386053254559E-3</v>
      </c>
      <c r="Q37" s="171">
        <f t="shared" si="5"/>
        <v>-7.1558643622796694E-3</v>
      </c>
      <c r="R37" s="170">
        <f t="shared" si="6"/>
        <v>-6363.5119462951825</v>
      </c>
      <c r="S37" s="171">
        <f t="shared" si="21"/>
        <v>0.29314786192684189</v>
      </c>
      <c r="T37" s="171">
        <f t="shared" si="22"/>
        <v>0.16069135706089688</v>
      </c>
      <c r="U37" s="184">
        <f t="shared" si="9"/>
        <v>0.18066391198421405</v>
      </c>
      <c r="V37" s="170">
        <f t="shared" si="10"/>
        <v>115720.65554324863</v>
      </c>
      <c r="W37" s="170">
        <f t="shared" si="11"/>
        <v>187770.00000000003</v>
      </c>
      <c r="X37" s="171">
        <f t="shared" si="12"/>
        <v>-1.7612524461839502E-2</v>
      </c>
      <c r="Y37" s="171">
        <f t="shared" si="13"/>
        <v>-1.4938085856514046E-2</v>
      </c>
      <c r="Z37" s="184">
        <f t="shared" si="14"/>
        <v>-2.6744386053254559E-3</v>
      </c>
      <c r="AA37" s="171">
        <f t="shared" si="15"/>
        <v>-7.1558643622796694E-3</v>
      </c>
      <c r="AB37" s="170">
        <f t="shared" si="16"/>
        <v>-6958.0252161295066</v>
      </c>
      <c r="AC37" s="184">
        <f t="shared" si="18"/>
        <v>8.7140316272971668E-2</v>
      </c>
    </row>
    <row r="38" spans="2:29" s="170" customFormat="1" x14ac:dyDescent="0.15">
      <c r="B38" s="172">
        <v>42468</v>
      </c>
      <c r="C38" s="166" t="s">
        <v>34</v>
      </c>
      <c r="D38" s="166" t="s">
        <v>35</v>
      </c>
      <c r="E38" s="198">
        <v>640530</v>
      </c>
      <c r="F38" s="170">
        <f t="shared" si="0"/>
        <v>944256</v>
      </c>
      <c r="G38" s="170">
        <f t="shared" si="23"/>
        <v>882908.78614795429</v>
      </c>
      <c r="H38" s="170">
        <f t="shared" si="1"/>
        <v>870945.39864984574</v>
      </c>
      <c r="I38" s="170">
        <v>38400</v>
      </c>
      <c r="J38" s="170">
        <v>25.1</v>
      </c>
      <c r="K38" s="166">
        <v>24.59</v>
      </c>
      <c r="L38" s="171">
        <f t="shared" si="19"/>
        <v>-2.0318725099601656E-2</v>
      </c>
      <c r="M38" s="170">
        <v>6228.9740000000002</v>
      </c>
      <c r="N38" s="170">
        <v>6168.7420000000002</v>
      </c>
      <c r="O38" s="171">
        <f t="shared" si="20"/>
        <v>-9.6696502505870096E-3</v>
      </c>
      <c r="P38" s="184">
        <f t="shared" si="4"/>
        <v>-1.0649074849014646E-2</v>
      </c>
      <c r="Q38" s="171">
        <f t="shared" si="5"/>
        <v>-1.3549969924190748E-2</v>
      </c>
      <c r="R38" s="170">
        <f t="shared" si="6"/>
        <v>-11963.387498108543</v>
      </c>
      <c r="S38" s="171">
        <f t="shared" si="21"/>
        <v>0.26687274600721278</v>
      </c>
      <c r="T38" s="171">
        <f t="shared" si="22"/>
        <v>0.1494678775892388</v>
      </c>
      <c r="U38" s="184">
        <f t="shared" si="9"/>
        <v>0.16224523169474561</v>
      </c>
      <c r="V38" s="170">
        <f t="shared" si="10"/>
        <v>103922.93825743541</v>
      </c>
      <c r="W38" s="170">
        <f t="shared" si="11"/>
        <v>170940</v>
      </c>
      <c r="X38" s="171">
        <f t="shared" si="12"/>
        <v>-2.0318725099601656E-2</v>
      </c>
      <c r="Y38" s="171">
        <f t="shared" si="13"/>
        <v>-9.6696502505870096E-3</v>
      </c>
      <c r="Z38" s="184">
        <f t="shared" si="14"/>
        <v>-1.0649074849014646E-2</v>
      </c>
      <c r="AA38" s="171">
        <f t="shared" si="15"/>
        <v>-1.3549969924190748E-2</v>
      </c>
      <c r="AB38" s="170">
        <f t="shared" si="16"/>
        <v>-11797.717285813225</v>
      </c>
      <c r="AC38" s="184">
        <f t="shared" si="18"/>
        <v>7.3590346348780922E-2</v>
      </c>
    </row>
    <row r="39" spans="2:29" s="170" customFormat="1" x14ac:dyDescent="0.15">
      <c r="B39" s="172">
        <v>42471</v>
      </c>
      <c r="C39" s="166" t="s">
        <v>34</v>
      </c>
      <c r="D39" s="166" t="s">
        <v>35</v>
      </c>
      <c r="E39" s="198">
        <v>640530</v>
      </c>
      <c r="F39" s="170">
        <f t="shared" si="0"/>
        <v>986880</v>
      </c>
      <c r="G39" s="170">
        <f t="shared" si="23"/>
        <v>870945.39864984574</v>
      </c>
      <c r="H39" s="170">
        <f t="shared" si="1"/>
        <v>896862.82887012686</v>
      </c>
      <c r="I39" s="170">
        <v>38400</v>
      </c>
      <c r="J39" s="170">
        <v>24.59</v>
      </c>
      <c r="K39" s="166">
        <v>25.7</v>
      </c>
      <c r="L39" s="171">
        <f t="shared" si="19"/>
        <v>4.5140300935339543E-2</v>
      </c>
      <c r="M39" s="170">
        <v>6168.7420000000002</v>
      </c>
      <c r="N39" s="170">
        <v>6304.3</v>
      </c>
      <c r="O39" s="171">
        <f t="shared" si="20"/>
        <v>2.1974982905752904E-2</v>
      </c>
      <c r="P39" s="184">
        <f t="shared" si="4"/>
        <v>2.3165318029586639E-2</v>
      </c>
      <c r="Q39" s="171">
        <f t="shared" si="5"/>
        <v>2.9757812901312512E-2</v>
      </c>
      <c r="R39" s="170">
        <f t="shared" si="6"/>
        <v>25917.430220281149</v>
      </c>
      <c r="S39" s="171">
        <f t="shared" si="21"/>
        <v>0.32405976300875833</v>
      </c>
      <c r="T39" s="171">
        <f t="shared" si="22"/>
        <v>0.1747274145499744</v>
      </c>
      <c r="U39" s="184">
        <f t="shared" si="9"/>
        <v>0.20175057282377623</v>
      </c>
      <c r="V39" s="170">
        <f t="shared" si="10"/>
        <v>129227.2944108134</v>
      </c>
      <c r="W39" s="170">
        <f t="shared" si="11"/>
        <v>207569.99999999997</v>
      </c>
      <c r="X39" s="171">
        <f t="shared" si="12"/>
        <v>4.5140300935339543E-2</v>
      </c>
      <c r="Y39" s="171">
        <f t="shared" si="13"/>
        <v>2.1974982905752904E-2</v>
      </c>
      <c r="Z39" s="184">
        <f t="shared" si="14"/>
        <v>2.3165318029586639E-2</v>
      </c>
      <c r="AA39" s="171">
        <f t="shared" si="15"/>
        <v>2.9757812901312512E-2</v>
      </c>
      <c r="AB39" s="170">
        <f t="shared" si="16"/>
        <v>25304.356153377987</v>
      </c>
      <c r="AC39" s="184">
        <f t="shared" si="18"/>
        <v>0.10334815925009344</v>
      </c>
    </row>
    <row r="40" spans="2:29" s="170" customFormat="1" x14ac:dyDescent="0.15">
      <c r="B40" s="172">
        <v>42472</v>
      </c>
      <c r="C40" s="166" t="s">
        <v>34</v>
      </c>
      <c r="D40" s="166" t="s">
        <v>35</v>
      </c>
      <c r="E40" s="198">
        <v>640530</v>
      </c>
      <c r="F40" s="170">
        <f t="shared" si="0"/>
        <v>986880</v>
      </c>
      <c r="G40" s="170">
        <f t="shared" si="23"/>
        <v>896862.82887012686</v>
      </c>
      <c r="H40" s="170">
        <f t="shared" si="1"/>
        <v>901994.06559557351</v>
      </c>
      <c r="I40" s="170">
        <v>38400</v>
      </c>
      <c r="J40" s="170">
        <v>25.7</v>
      </c>
      <c r="K40" s="166">
        <v>25.7</v>
      </c>
      <c r="L40" s="171">
        <f t="shared" si="19"/>
        <v>0</v>
      </c>
      <c r="M40" s="170">
        <v>6304.3</v>
      </c>
      <c r="N40" s="170">
        <v>6252.7730000000001</v>
      </c>
      <c r="O40" s="171">
        <f t="shared" si="20"/>
        <v>-8.1733102802848921E-3</v>
      </c>
      <c r="P40" s="184">
        <f t="shared" si="4"/>
        <v>8.1733102802848921E-3</v>
      </c>
      <c r="Q40" s="171">
        <f t="shared" si="5"/>
        <v>5.721317196199424E-3</v>
      </c>
      <c r="R40" s="170">
        <f t="shared" si="6"/>
        <v>5131.2367254467181</v>
      </c>
      <c r="S40" s="171">
        <f t="shared" si="21"/>
        <v>0.32405976300875833</v>
      </c>
      <c r="T40" s="171">
        <f t="shared" si="22"/>
        <v>0.16512600289610058</v>
      </c>
      <c r="U40" s="184">
        <f t="shared" si="9"/>
        <v>0.20847156098148792</v>
      </c>
      <c r="V40" s="170">
        <f t="shared" si="10"/>
        <v>133532.28895547247</v>
      </c>
      <c r="W40" s="170">
        <f t="shared" si="11"/>
        <v>207569.99999999997</v>
      </c>
      <c r="X40" s="171">
        <f t="shared" si="12"/>
        <v>0</v>
      </c>
      <c r="Y40" s="171">
        <f t="shared" si="13"/>
        <v>-8.1733102802848921E-3</v>
      </c>
      <c r="Z40" s="184">
        <f t="shared" si="14"/>
        <v>8.1733102802848921E-3</v>
      </c>
      <c r="AA40" s="171">
        <f t="shared" si="15"/>
        <v>5.721317196199424E-3</v>
      </c>
      <c r="AB40" s="170">
        <f t="shared" si="16"/>
        <v>4304.9945446590718</v>
      </c>
      <c r="AC40" s="184">
        <f t="shared" si="18"/>
        <v>0.10906947644629286</v>
      </c>
    </row>
    <row r="41" spans="2:29" s="170" customFormat="1" x14ac:dyDescent="0.15">
      <c r="B41" s="172">
        <v>42473</v>
      </c>
      <c r="C41" s="166" t="s">
        <v>34</v>
      </c>
      <c r="D41" s="166" t="s">
        <v>35</v>
      </c>
      <c r="E41" s="198">
        <v>640530</v>
      </c>
      <c r="F41" s="170">
        <f t="shared" si="0"/>
        <v>986880</v>
      </c>
      <c r="G41" s="170">
        <f t="shared" si="23"/>
        <v>901994.06559557351</v>
      </c>
      <c r="H41" s="170">
        <f t="shared" si="1"/>
        <v>892759.27579964802</v>
      </c>
      <c r="I41" s="170">
        <v>38400</v>
      </c>
      <c r="J41" s="170">
        <v>25.7</v>
      </c>
      <c r="K41" s="166">
        <v>25.7</v>
      </c>
      <c r="L41" s="171">
        <f t="shared" si="19"/>
        <v>0</v>
      </c>
      <c r="M41" s="170">
        <v>6252.7730000000001</v>
      </c>
      <c r="N41" s="170">
        <v>6344.2259999999997</v>
      </c>
      <c r="O41" s="171">
        <f t="shared" si="20"/>
        <v>1.462599074042821E-2</v>
      </c>
      <c r="P41" s="184">
        <f t="shared" si="4"/>
        <v>-1.462599074042821E-2</v>
      </c>
      <c r="Q41" s="171">
        <f t="shared" si="5"/>
        <v>-1.0238193518299746E-2</v>
      </c>
      <c r="R41" s="170">
        <f t="shared" si="6"/>
        <v>-9234.7897959254369</v>
      </c>
      <c r="S41" s="171">
        <f t="shared" si="21"/>
        <v>0.32405976300875833</v>
      </c>
      <c r="T41" s="171">
        <f t="shared" si="22"/>
        <v>0.18216712502589108</v>
      </c>
      <c r="U41" s="184">
        <f t="shared" si="9"/>
        <v>0.19654277549063456</v>
      </c>
      <c r="V41" s="170">
        <f t="shared" si="10"/>
        <v>125891.54398501616</v>
      </c>
      <c r="W41" s="170">
        <f t="shared" si="11"/>
        <v>207569.99999999997</v>
      </c>
      <c r="X41" s="171">
        <f t="shared" si="12"/>
        <v>0</v>
      </c>
      <c r="Y41" s="171">
        <f t="shared" si="13"/>
        <v>1.462599074042821E-2</v>
      </c>
      <c r="Z41" s="184">
        <f t="shared" si="14"/>
        <v>-1.462599074042821E-2</v>
      </c>
      <c r="AA41" s="171">
        <f t="shared" si="15"/>
        <v>-1.0238193518299746E-2</v>
      </c>
      <c r="AB41" s="170">
        <f t="shared" si="16"/>
        <v>-7640.7449704563041</v>
      </c>
      <c r="AC41" s="184">
        <f t="shared" si="18"/>
        <v>9.8831282927993119E-2</v>
      </c>
    </row>
    <row r="42" spans="2:29" s="170" customFormat="1" x14ac:dyDescent="0.15">
      <c r="B42" s="172">
        <v>42474</v>
      </c>
      <c r="C42" s="166" t="s">
        <v>34</v>
      </c>
      <c r="D42" s="166" t="s">
        <v>35</v>
      </c>
      <c r="E42" s="198">
        <v>640530</v>
      </c>
      <c r="F42" s="170">
        <f t="shared" si="0"/>
        <v>986880</v>
      </c>
      <c r="G42" s="170">
        <f t="shared" si="23"/>
        <v>892759.27579964802</v>
      </c>
      <c r="H42" s="170">
        <f t="shared" si="1"/>
        <v>887082.59009936859</v>
      </c>
      <c r="I42" s="170">
        <v>38400</v>
      </c>
      <c r="J42" s="170">
        <v>25.7</v>
      </c>
      <c r="K42" s="166">
        <v>25.7</v>
      </c>
      <c r="L42" s="171">
        <f t="shared" si="19"/>
        <v>0</v>
      </c>
      <c r="M42" s="170">
        <v>6344.2259999999997</v>
      </c>
      <c r="N42" s="170">
        <v>6401.8549999999996</v>
      </c>
      <c r="O42" s="171">
        <f t="shared" si="20"/>
        <v>9.0836927940460988E-3</v>
      </c>
      <c r="P42" s="184">
        <f t="shared" si="4"/>
        <v>-9.0836927940460988E-3</v>
      </c>
      <c r="Q42" s="171">
        <f t="shared" si="5"/>
        <v>-6.3585849558322688E-3</v>
      </c>
      <c r="R42" s="170">
        <f t="shared" si="6"/>
        <v>-5676.6857002793531</v>
      </c>
      <c r="S42" s="171">
        <f t="shared" si="21"/>
        <v>0.32405976300875833</v>
      </c>
      <c r="T42" s="171">
        <f t="shared" si="22"/>
        <v>0.19290556802084696</v>
      </c>
      <c r="U42" s="184">
        <f t="shared" si="9"/>
        <v>0.18902586539416544</v>
      </c>
      <c r="V42" s="170">
        <f t="shared" si="10"/>
        <v>121076.73756092478</v>
      </c>
      <c r="W42" s="170">
        <f t="shared" si="11"/>
        <v>207569.99999999997</v>
      </c>
      <c r="X42" s="171">
        <f t="shared" si="12"/>
        <v>0</v>
      </c>
      <c r="Y42" s="171">
        <f t="shared" si="13"/>
        <v>9.0836927940460988E-3</v>
      </c>
      <c r="Z42" s="184">
        <f t="shared" si="14"/>
        <v>-9.0836927940460988E-3</v>
      </c>
      <c r="AA42" s="171">
        <f t="shared" si="15"/>
        <v>-6.3585849558322688E-3</v>
      </c>
      <c r="AB42" s="170">
        <f t="shared" si="16"/>
        <v>-4814.8064240913809</v>
      </c>
      <c r="AC42" s="184">
        <f t="shared" si="18"/>
        <v>9.2472697972160844E-2</v>
      </c>
    </row>
    <row r="43" spans="2:29" s="170" customFormat="1" x14ac:dyDescent="0.15">
      <c r="B43" s="172">
        <v>42475</v>
      </c>
      <c r="C43" s="166" t="s">
        <v>34</v>
      </c>
      <c r="D43" s="166" t="s">
        <v>35</v>
      </c>
      <c r="E43" s="198">
        <v>640530</v>
      </c>
      <c r="F43" s="170">
        <f t="shared" si="0"/>
        <v>986880</v>
      </c>
      <c r="G43" s="170">
        <f t="shared" si="23"/>
        <v>887082.59009936859</v>
      </c>
      <c r="H43" s="170">
        <f t="shared" si="1"/>
        <v>888780.51460996468</v>
      </c>
      <c r="I43" s="170">
        <v>38400</v>
      </c>
      <c r="J43" s="170">
        <v>25.7</v>
      </c>
      <c r="K43" s="166">
        <v>25.7</v>
      </c>
      <c r="L43" s="171">
        <f t="shared" si="19"/>
        <v>0</v>
      </c>
      <c r="M43" s="170">
        <v>6401.8549999999996</v>
      </c>
      <c r="N43" s="170">
        <v>6384.35</v>
      </c>
      <c r="O43" s="171">
        <f t="shared" si="20"/>
        <v>-2.7343637117677923E-3</v>
      </c>
      <c r="P43" s="184">
        <f t="shared" si="4"/>
        <v>2.7343637117677923E-3</v>
      </c>
      <c r="Q43" s="171">
        <f t="shared" si="5"/>
        <v>1.9140545982374545E-3</v>
      </c>
      <c r="R43" s="170">
        <f t="shared" si="6"/>
        <v>1697.9245105960874</v>
      </c>
      <c r="S43" s="171">
        <f t="shared" si="21"/>
        <v>0.32405976300875833</v>
      </c>
      <c r="T43" s="171">
        <f t="shared" si="22"/>
        <v>0.18964373032408502</v>
      </c>
      <c r="U43" s="184">
        <f t="shared" si="9"/>
        <v>0.19130915178189881</v>
      </c>
      <c r="V43" s="170">
        <f t="shared" si="10"/>
        <v>122539.25099085964</v>
      </c>
      <c r="W43" s="170">
        <f t="shared" si="11"/>
        <v>207569.99999999997</v>
      </c>
      <c r="X43" s="171">
        <f t="shared" si="12"/>
        <v>0</v>
      </c>
      <c r="Y43" s="171">
        <f t="shared" si="13"/>
        <v>-2.7343637117677923E-3</v>
      </c>
      <c r="Z43" s="184">
        <f t="shared" si="14"/>
        <v>2.7343637117677923E-3</v>
      </c>
      <c r="AA43" s="171">
        <f t="shared" si="15"/>
        <v>1.9140545982374545E-3</v>
      </c>
      <c r="AB43" s="170">
        <f t="shared" si="16"/>
        <v>1462.5134299348574</v>
      </c>
      <c r="AC43" s="184">
        <f t="shared" si="18"/>
        <v>9.4386752570398302E-2</v>
      </c>
    </row>
    <row r="44" spans="2:29" s="170" customFormat="1" x14ac:dyDescent="0.15">
      <c r="B44" s="172">
        <v>42478</v>
      </c>
      <c r="C44" s="166" t="s">
        <v>34</v>
      </c>
      <c r="D44" s="166" t="s">
        <v>35</v>
      </c>
      <c r="E44" s="198">
        <v>640530</v>
      </c>
      <c r="F44" s="170">
        <f t="shared" si="0"/>
        <v>986880</v>
      </c>
      <c r="G44" s="170">
        <f t="shared" si="23"/>
        <v>888780.51460996468</v>
      </c>
      <c r="H44" s="170">
        <f t="shared" si="1"/>
        <v>898832.14911695314</v>
      </c>
      <c r="I44" s="170">
        <v>38400</v>
      </c>
      <c r="J44" s="170">
        <v>25.7</v>
      </c>
      <c r="K44" s="166">
        <v>25.7</v>
      </c>
      <c r="L44" s="171">
        <f t="shared" si="19"/>
        <v>0</v>
      </c>
      <c r="M44" s="170">
        <v>6384.35</v>
      </c>
      <c r="N44" s="170">
        <v>6281.2020000000002</v>
      </c>
      <c r="O44" s="171">
        <f t="shared" si="20"/>
        <v>-1.6156382403846929E-2</v>
      </c>
      <c r="P44" s="184">
        <f t="shared" si="4"/>
        <v>1.6156382403846929E-2</v>
      </c>
      <c r="Q44" s="171">
        <f t="shared" si="5"/>
        <v>1.1309467682692849E-2</v>
      </c>
      <c r="R44" s="170">
        <f t="shared" si="6"/>
        <v>10051.634506988516</v>
      </c>
      <c r="S44" s="171">
        <f t="shared" si="21"/>
        <v>0.32405976300875833</v>
      </c>
      <c r="T44" s="171">
        <f t="shared" si="22"/>
        <v>0.17042339129263015</v>
      </c>
      <c r="U44" s="184">
        <f t="shared" si="9"/>
        <v>0.20476338910391723</v>
      </c>
      <c r="V44" s="170">
        <f t="shared" si="10"/>
        <v>131157.09362273209</v>
      </c>
      <c r="W44" s="170">
        <f t="shared" si="11"/>
        <v>207569.99999999997</v>
      </c>
      <c r="X44" s="171">
        <f t="shared" si="12"/>
        <v>0</v>
      </c>
      <c r="Y44" s="171">
        <f t="shared" si="13"/>
        <v>-1.6156382403846929E-2</v>
      </c>
      <c r="Z44" s="184">
        <f t="shared" si="14"/>
        <v>1.6156382403846929E-2</v>
      </c>
      <c r="AA44" s="171">
        <f t="shared" si="15"/>
        <v>1.1309467682692849E-2</v>
      </c>
      <c r="AB44" s="170">
        <f t="shared" si="16"/>
        <v>8617.8426318724523</v>
      </c>
      <c r="AC44" s="184">
        <f t="shared" si="18"/>
        <v>0.10569622025309115</v>
      </c>
    </row>
    <row r="45" spans="2:29" s="170" customFormat="1" x14ac:dyDescent="0.15">
      <c r="B45" s="172">
        <v>42479</v>
      </c>
      <c r="C45" s="166" t="s">
        <v>34</v>
      </c>
      <c r="D45" s="166" t="s">
        <v>35</v>
      </c>
      <c r="E45" s="198">
        <v>640530</v>
      </c>
      <c r="F45" s="170">
        <f t="shared" si="0"/>
        <v>986880</v>
      </c>
      <c r="G45" s="170">
        <f t="shared" si="23"/>
        <v>898832.14911695314</v>
      </c>
      <c r="H45" s="170">
        <f t="shared" si="1"/>
        <v>896124.87819238659</v>
      </c>
      <c r="I45" s="170">
        <v>38400</v>
      </c>
      <c r="J45" s="170">
        <v>25.7</v>
      </c>
      <c r="K45" s="166">
        <v>25.7</v>
      </c>
      <c r="L45" s="171">
        <f t="shared" si="19"/>
        <v>0</v>
      </c>
      <c r="M45" s="170">
        <v>6281.2020000000002</v>
      </c>
      <c r="N45" s="170">
        <v>6308.2290000000003</v>
      </c>
      <c r="O45" s="171">
        <f t="shared" si="20"/>
        <v>4.3028388515446636E-3</v>
      </c>
      <c r="P45" s="184">
        <f t="shared" si="4"/>
        <v>-4.3028388515446636E-3</v>
      </c>
      <c r="Q45" s="171">
        <f t="shared" si="5"/>
        <v>-3.0119871960812643E-3</v>
      </c>
      <c r="R45" s="170">
        <f t="shared" si="6"/>
        <v>-2707.2709245664687</v>
      </c>
      <c r="S45" s="171">
        <f t="shared" si="21"/>
        <v>0.32405976300875833</v>
      </c>
      <c r="T45" s="171">
        <f t="shared" si="22"/>
        <v>0.17545953453344074</v>
      </c>
      <c r="U45" s="184">
        <f t="shared" si="9"/>
        <v>0.2012380888353498</v>
      </c>
      <c r="V45" s="170">
        <f t="shared" si="10"/>
        <v>128899.0330417066</v>
      </c>
      <c r="W45" s="170">
        <f t="shared" si="11"/>
        <v>207569.99999999997</v>
      </c>
      <c r="X45" s="171">
        <f t="shared" si="12"/>
        <v>0</v>
      </c>
      <c r="Y45" s="171">
        <f t="shared" si="13"/>
        <v>4.3028388515446636E-3</v>
      </c>
      <c r="Z45" s="184">
        <f t="shared" si="14"/>
        <v>-4.3028388515446636E-3</v>
      </c>
      <c r="AA45" s="171">
        <f t="shared" si="15"/>
        <v>-3.0119871960812643E-3</v>
      </c>
      <c r="AB45" s="170">
        <f t="shared" si="16"/>
        <v>-2258.0605810254929</v>
      </c>
      <c r="AC45" s="184">
        <f t="shared" si="18"/>
        <v>0.10268423305700988</v>
      </c>
    </row>
    <row r="46" spans="2:29" s="170" customFormat="1" x14ac:dyDescent="0.15">
      <c r="B46" s="172">
        <v>42480</v>
      </c>
      <c r="C46" s="166" t="s">
        <v>34</v>
      </c>
      <c r="D46" s="166" t="s">
        <v>35</v>
      </c>
      <c r="E46" s="198">
        <v>640530</v>
      </c>
      <c r="F46" s="170">
        <f t="shared" si="0"/>
        <v>986880</v>
      </c>
      <c r="G46" s="170">
        <f t="shared" si="23"/>
        <v>896124.87819238659</v>
      </c>
      <c r="H46" s="170">
        <f t="shared" si="1"/>
        <v>924566.17878764903</v>
      </c>
      <c r="I46" s="170">
        <v>38400</v>
      </c>
      <c r="J46" s="170">
        <v>25.7</v>
      </c>
      <c r="K46" s="166">
        <v>25.7</v>
      </c>
      <c r="L46" s="171">
        <f t="shared" si="19"/>
        <v>0</v>
      </c>
      <c r="M46" s="170">
        <v>6308.2290000000003</v>
      </c>
      <c r="N46" s="170">
        <v>6022.2129999999997</v>
      </c>
      <c r="O46" s="171">
        <f t="shared" si="20"/>
        <v>-4.5340142217411658E-2</v>
      </c>
      <c r="P46" s="184">
        <f t="shared" si="4"/>
        <v>4.5340142217411658E-2</v>
      </c>
      <c r="Q46" s="171">
        <f t="shared" si="5"/>
        <v>3.1738099552188162E-2</v>
      </c>
      <c r="R46" s="170">
        <f t="shared" si="6"/>
        <v>28441.300595262455</v>
      </c>
      <c r="S46" s="171">
        <f t="shared" si="21"/>
        <v>0.32405976300875833</v>
      </c>
      <c r="T46" s="171">
        <f t="shared" si="22"/>
        <v>0.12216403206688203</v>
      </c>
      <c r="U46" s="184">
        <f t="shared" si="9"/>
        <v>0.23854494056194087</v>
      </c>
      <c r="V46" s="170">
        <f t="shared" si="10"/>
        <v>152795.19077813998</v>
      </c>
      <c r="W46" s="170">
        <f t="shared" si="11"/>
        <v>207569.99999999997</v>
      </c>
      <c r="X46" s="171">
        <f t="shared" si="12"/>
        <v>0</v>
      </c>
      <c r="Y46" s="171">
        <f t="shared" si="13"/>
        <v>-4.5340142217411658E-2</v>
      </c>
      <c r="Z46" s="184">
        <f t="shared" si="14"/>
        <v>4.5340142217411658E-2</v>
      </c>
      <c r="AA46" s="171">
        <f t="shared" si="15"/>
        <v>3.1738099552188162E-2</v>
      </c>
      <c r="AB46" s="170">
        <f t="shared" si="16"/>
        <v>23896.157736433379</v>
      </c>
      <c r="AC46" s="184">
        <f t="shared" si="18"/>
        <v>0.13442233260919806</v>
      </c>
    </row>
    <row r="47" spans="2:29" s="170" customFormat="1" x14ac:dyDescent="0.15">
      <c r="B47" s="172">
        <v>42481</v>
      </c>
      <c r="C47" s="166" t="s">
        <v>34</v>
      </c>
      <c r="D47" s="166" t="s">
        <v>35</v>
      </c>
      <c r="E47" s="198">
        <v>640530</v>
      </c>
      <c r="F47" s="170">
        <f t="shared" si="0"/>
        <v>986880</v>
      </c>
      <c r="G47" s="170">
        <f t="shared" si="23"/>
        <v>924566.17878764903</v>
      </c>
      <c r="H47" s="170">
        <f t="shared" si="1"/>
        <v>930104.12203731062</v>
      </c>
      <c r="I47" s="170">
        <v>38400</v>
      </c>
      <c r="J47" s="170">
        <v>25.7</v>
      </c>
      <c r="K47" s="166">
        <v>25.7</v>
      </c>
      <c r="L47" s="171">
        <f t="shared" si="19"/>
        <v>0</v>
      </c>
      <c r="M47" s="170">
        <v>6022.2129999999997</v>
      </c>
      <c r="N47" s="170">
        <v>5970.6819999999998</v>
      </c>
      <c r="O47" s="171">
        <f t="shared" si="20"/>
        <v>-8.5568212217003864E-3</v>
      </c>
      <c r="P47" s="184">
        <f t="shared" si="4"/>
        <v>8.5568212217003864E-3</v>
      </c>
      <c r="Q47" s="171">
        <f t="shared" si="5"/>
        <v>5.98977485519027E-3</v>
      </c>
      <c r="R47" s="170">
        <f t="shared" si="6"/>
        <v>5537.9432496616118</v>
      </c>
      <c r="S47" s="171">
        <f t="shared" si="21"/>
        <v>0.32405976300875833</v>
      </c>
      <c r="T47" s="171">
        <f t="shared" si="22"/>
        <v>0.11256187506306325</v>
      </c>
      <c r="U47" s="184">
        <f t="shared" si="9"/>
        <v>0.24526645046461404</v>
      </c>
      <c r="V47" s="170">
        <f t="shared" si="10"/>
        <v>157100.51951609924</v>
      </c>
      <c r="W47" s="170">
        <f t="shared" si="11"/>
        <v>207569.99999999997</v>
      </c>
      <c r="X47" s="171">
        <f t="shared" si="12"/>
        <v>0</v>
      </c>
      <c r="Y47" s="171">
        <f t="shared" si="13"/>
        <v>-8.5568212217003864E-3</v>
      </c>
      <c r="Z47" s="184">
        <f t="shared" si="14"/>
        <v>8.5568212217003864E-3</v>
      </c>
      <c r="AA47" s="171">
        <f t="shared" si="15"/>
        <v>5.98977485519027E-3</v>
      </c>
      <c r="AB47" s="170">
        <f t="shared" si="16"/>
        <v>4305.3287379592657</v>
      </c>
      <c r="AC47" s="184">
        <f t="shared" si="18"/>
        <v>0.14041210746438834</v>
      </c>
    </row>
    <row r="48" spans="2:29" s="170" customFormat="1" x14ac:dyDescent="0.15">
      <c r="B48" s="172">
        <v>42482</v>
      </c>
      <c r="C48" s="166" t="s">
        <v>34</v>
      </c>
      <c r="D48" s="166" t="s">
        <v>35</v>
      </c>
      <c r="E48" s="198">
        <v>640530</v>
      </c>
      <c r="F48" s="170">
        <f t="shared" si="0"/>
        <v>986880</v>
      </c>
      <c r="G48" s="170">
        <f t="shared" si="23"/>
        <v>930104.12203731062</v>
      </c>
      <c r="H48" s="170">
        <f t="shared" si="1"/>
        <v>925672.7522343389</v>
      </c>
      <c r="I48" s="170">
        <v>38400</v>
      </c>
      <c r="J48" s="170">
        <v>25.7</v>
      </c>
      <c r="K48" s="166">
        <v>25.7</v>
      </c>
      <c r="L48" s="171">
        <f t="shared" si="19"/>
        <v>0</v>
      </c>
      <c r="M48" s="170">
        <v>5970.6819999999998</v>
      </c>
      <c r="N48" s="170">
        <v>6011.32</v>
      </c>
      <c r="O48" s="171">
        <f t="shared" si="20"/>
        <v>6.8062576435991605E-3</v>
      </c>
      <c r="P48" s="184">
        <f t="shared" si="4"/>
        <v>-6.8062576435991605E-3</v>
      </c>
      <c r="Q48" s="171">
        <f t="shared" si="5"/>
        <v>-4.7643803505194125E-3</v>
      </c>
      <c r="R48" s="170">
        <f t="shared" si="6"/>
        <v>-4431.3698029716725</v>
      </c>
      <c r="S48" s="171">
        <f t="shared" si="21"/>
        <v>0.32405976300875833</v>
      </c>
      <c r="T48" s="171">
        <f t="shared" si="22"/>
        <v>0.12013425782918825</v>
      </c>
      <c r="U48" s="184">
        <f t="shared" si="9"/>
        <v>0.23996578252832657</v>
      </c>
      <c r="V48" s="170">
        <f t="shared" si="10"/>
        <v>153705.282682869</v>
      </c>
      <c r="W48" s="170">
        <f t="shared" si="11"/>
        <v>207569.99999999997</v>
      </c>
      <c r="X48" s="171">
        <f t="shared" si="12"/>
        <v>0</v>
      </c>
      <c r="Y48" s="171">
        <f t="shared" si="13"/>
        <v>6.8062576435991605E-3</v>
      </c>
      <c r="Z48" s="184">
        <f t="shared" si="14"/>
        <v>-6.8062576435991605E-3</v>
      </c>
      <c r="AA48" s="171">
        <f t="shared" si="15"/>
        <v>-4.7643803505194125E-3</v>
      </c>
      <c r="AB48" s="170">
        <f t="shared" si="16"/>
        <v>-3395.2368332302431</v>
      </c>
      <c r="AC48" s="184">
        <f t="shared" si="18"/>
        <v>0.13564772711386894</v>
      </c>
    </row>
    <row r="49" spans="1:29" s="170" customFormat="1" x14ac:dyDescent="0.15">
      <c r="B49" s="172">
        <v>42485</v>
      </c>
      <c r="C49" s="166" t="s">
        <v>34</v>
      </c>
      <c r="D49" s="166" t="s">
        <v>35</v>
      </c>
      <c r="E49" s="198">
        <v>640530</v>
      </c>
      <c r="F49" s="170">
        <f t="shared" si="0"/>
        <v>888192</v>
      </c>
      <c r="G49" s="170">
        <f t="shared" si="23"/>
        <v>925672.7522343389</v>
      </c>
      <c r="H49" s="170">
        <f t="shared" si="1"/>
        <v>836688.79939463572</v>
      </c>
      <c r="I49" s="170">
        <v>38400</v>
      </c>
      <c r="J49" s="170">
        <v>25.7</v>
      </c>
      <c r="K49" s="166">
        <v>23.13</v>
      </c>
      <c r="L49" s="171">
        <f t="shared" si="19"/>
        <v>-0.10000000000000002</v>
      </c>
      <c r="M49" s="170">
        <v>6011.32</v>
      </c>
      <c r="N49" s="170">
        <v>5978.0770000000002</v>
      </c>
      <c r="O49" s="171">
        <f t="shared" si="20"/>
        <v>-5.5300666076667825E-3</v>
      </c>
      <c r="P49" s="184">
        <f t="shared" si="4"/>
        <v>-9.4469933392333241E-2</v>
      </c>
      <c r="Q49" s="171">
        <f t="shared" si="5"/>
        <v>-9.6128953374633258E-2</v>
      </c>
      <c r="R49" s="170">
        <f t="shared" si="6"/>
        <v>-88983.952839703212</v>
      </c>
      <c r="S49" s="171">
        <f t="shared" si="21"/>
        <v>0.19165378670788247</v>
      </c>
      <c r="T49" s="171">
        <f t="shared" si="22"/>
        <v>0.11393984077386345</v>
      </c>
      <c r="U49" s="184">
        <f t="shared" si="9"/>
        <v>0.11189589816617805</v>
      </c>
      <c r="V49" s="170">
        <f t="shared" si="10"/>
        <v>71672.679652382023</v>
      </c>
      <c r="W49" s="170">
        <f t="shared" si="11"/>
        <v>122759.99999999996</v>
      </c>
      <c r="X49" s="171">
        <f t="shared" si="12"/>
        <v>-0.10000000000000002</v>
      </c>
      <c r="Y49" s="171">
        <f t="shared" si="13"/>
        <v>-5.5300666076667825E-3</v>
      </c>
      <c r="Z49" s="184">
        <f t="shared" si="14"/>
        <v>-9.4469933392333241E-2</v>
      </c>
      <c r="AA49" s="171">
        <f t="shared" si="15"/>
        <v>-9.6128953374633258E-2</v>
      </c>
      <c r="AB49" s="170">
        <f t="shared" si="16"/>
        <v>-82032.603030486978</v>
      </c>
      <c r="AC49" s="184">
        <f t="shared" si="18"/>
        <v>3.951877373923568E-2</v>
      </c>
    </row>
    <row r="50" spans="1:29" s="170" customFormat="1" x14ac:dyDescent="0.15">
      <c r="B50" s="172">
        <v>42486</v>
      </c>
      <c r="C50" s="166" t="s">
        <v>34</v>
      </c>
      <c r="D50" s="166" t="s">
        <v>35</v>
      </c>
      <c r="E50" s="198">
        <v>640530</v>
      </c>
      <c r="F50" s="170">
        <f t="shared" si="0"/>
        <v>908160</v>
      </c>
      <c r="G50" s="170">
        <f t="shared" si="23"/>
        <v>836688.79939463572</v>
      </c>
      <c r="H50" s="170">
        <f t="shared" si="1"/>
        <v>848768.66219542758</v>
      </c>
      <c r="I50" s="170">
        <v>38400</v>
      </c>
      <c r="J50" s="170">
        <v>23.13</v>
      </c>
      <c r="K50" s="166">
        <v>23.65</v>
      </c>
      <c r="L50" s="171">
        <f t="shared" si="19"/>
        <v>2.2481625594466044E-2</v>
      </c>
      <c r="M50" s="170">
        <v>5978.0770000000002</v>
      </c>
      <c r="N50" s="170">
        <v>6046.7730000000001</v>
      </c>
      <c r="O50" s="171">
        <f t="shared" si="20"/>
        <v>1.1491320703965491E-2</v>
      </c>
      <c r="P50" s="184">
        <f t="shared" si="4"/>
        <v>1.0990304890500553E-2</v>
      </c>
      <c r="Q50" s="171">
        <f t="shared" si="5"/>
        <v>1.4437701101690199E-2</v>
      </c>
      <c r="R50" s="170">
        <f t="shared" si="6"/>
        <v>12079.862800791781</v>
      </c>
      <c r="S50" s="171">
        <f t="shared" si="21"/>
        <v>0.21844410097887679</v>
      </c>
      <c r="T50" s="171">
        <f t="shared" si="22"/>
        <v>0.12674048072912017</v>
      </c>
      <c r="U50" s="184">
        <f t="shared" si="9"/>
        <v>0.12972576446849265</v>
      </c>
      <c r="V50" s="170">
        <f t="shared" si="10"/>
        <v>83093.243915003593</v>
      </c>
      <c r="W50" s="170">
        <f t="shared" si="11"/>
        <v>139919.99999999994</v>
      </c>
      <c r="X50" s="171">
        <f t="shared" si="12"/>
        <v>2.2481625594466044E-2</v>
      </c>
      <c r="Y50" s="171">
        <f t="shared" si="13"/>
        <v>1.1491320703965491E-2</v>
      </c>
      <c r="Z50" s="184">
        <f t="shared" si="14"/>
        <v>1.0990304890500553E-2</v>
      </c>
      <c r="AA50" s="171">
        <f t="shared" si="15"/>
        <v>1.4437701101690199E-2</v>
      </c>
      <c r="AB50" s="170">
        <f t="shared" si="16"/>
        <v>11420.56426262157</v>
      </c>
      <c r="AC50" s="184">
        <f t="shared" si="18"/>
        <v>5.3956474840925875E-2</v>
      </c>
    </row>
    <row r="51" spans="1:29" s="170" customFormat="1" x14ac:dyDescent="0.15">
      <c r="B51" s="172">
        <v>42487</v>
      </c>
      <c r="C51" s="166" t="s">
        <v>34</v>
      </c>
      <c r="D51" s="166" t="s">
        <v>35</v>
      </c>
      <c r="E51" s="198">
        <v>640530</v>
      </c>
      <c r="F51" s="170">
        <f t="shared" si="0"/>
        <v>892800</v>
      </c>
      <c r="G51" s="170">
        <f t="shared" si="23"/>
        <v>848768.66219542758</v>
      </c>
      <c r="H51" s="170">
        <f t="shared" si="1"/>
        <v>837368.14930648345</v>
      </c>
      <c r="I51" s="170">
        <v>38400</v>
      </c>
      <c r="J51" s="170">
        <v>23.65</v>
      </c>
      <c r="K51" s="166">
        <v>23.25</v>
      </c>
      <c r="L51" s="171">
        <f t="shared" si="19"/>
        <v>-1.6913319238900576E-2</v>
      </c>
      <c r="M51" s="170">
        <v>6046.7730000000001</v>
      </c>
      <c r="N51" s="170">
        <v>6016.6989999999996</v>
      </c>
      <c r="O51" s="171">
        <f t="shared" si="20"/>
        <v>-4.9735619312979871E-3</v>
      </c>
      <c r="P51" s="184">
        <f t="shared" si="4"/>
        <v>-1.1939757307602588E-2</v>
      </c>
      <c r="Q51" s="171">
        <f t="shared" si="5"/>
        <v>-1.3431825886991985E-2</v>
      </c>
      <c r="R51" s="170">
        <f t="shared" si="6"/>
        <v>-11400.512888944098</v>
      </c>
      <c r="S51" s="171">
        <f t="shared" si="21"/>
        <v>0.19783616692426584</v>
      </c>
      <c r="T51" s="171">
        <f t="shared" si="22"/>
        <v>0.12113656716771341</v>
      </c>
      <c r="U51" s="184">
        <f t="shared" si="9"/>
        <v>0.11304056990686645</v>
      </c>
      <c r="V51" s="170">
        <f t="shared" si="10"/>
        <v>72405.876242445171</v>
      </c>
      <c r="W51" s="170">
        <f t="shared" si="11"/>
        <v>126720</v>
      </c>
      <c r="X51" s="171">
        <f t="shared" si="12"/>
        <v>-1.6913319238900576E-2</v>
      </c>
      <c r="Y51" s="171">
        <f t="shared" si="13"/>
        <v>-4.9735619312979871E-3</v>
      </c>
      <c r="Z51" s="184">
        <f t="shared" si="14"/>
        <v>-1.1939757307602588E-2</v>
      </c>
      <c r="AA51" s="171">
        <f t="shared" si="15"/>
        <v>-1.3431825886991985E-2</v>
      </c>
      <c r="AB51" s="170">
        <f t="shared" si="16"/>
        <v>-10687.367672558423</v>
      </c>
      <c r="AC51" s="184">
        <f t="shared" si="18"/>
        <v>4.0524648953933887E-2</v>
      </c>
    </row>
    <row r="52" spans="1:29" s="170" customFormat="1" x14ac:dyDescent="0.15">
      <c r="B52" s="172">
        <v>42488</v>
      </c>
      <c r="C52" s="166" t="s">
        <v>34</v>
      </c>
      <c r="D52" s="166" t="s">
        <v>35</v>
      </c>
      <c r="E52" s="198">
        <v>640530</v>
      </c>
      <c r="F52" s="170">
        <f t="shared" si="0"/>
        <v>900864</v>
      </c>
      <c r="G52" s="170">
        <f t="shared" si="23"/>
        <v>837368.14930648345</v>
      </c>
      <c r="H52" s="170">
        <f t="shared" si="1"/>
        <v>847500.48764568649</v>
      </c>
      <c r="I52" s="170">
        <v>38400</v>
      </c>
      <c r="J52" s="170">
        <v>23.25</v>
      </c>
      <c r="K52" s="166">
        <v>23.46</v>
      </c>
      <c r="L52" s="171">
        <f t="shared" si="19"/>
        <v>9.0322580645161663E-3</v>
      </c>
      <c r="M52" s="170">
        <v>6016.6989999999996</v>
      </c>
      <c r="N52" s="170">
        <v>5990.3289999999997</v>
      </c>
      <c r="O52" s="171">
        <f t="shared" si="20"/>
        <v>-4.3828019317569142E-3</v>
      </c>
      <c r="P52" s="184">
        <f t="shared" si="4"/>
        <v>1.3415059996273081E-2</v>
      </c>
      <c r="Q52" s="171">
        <f t="shared" si="5"/>
        <v>1.2100219416746006E-2</v>
      </c>
      <c r="R52" s="170">
        <f t="shared" si="6"/>
        <v>10132.338339202979</v>
      </c>
      <c r="S52" s="171">
        <f t="shared" si="21"/>
        <v>0.20865533230293667</v>
      </c>
      <c r="T52" s="171">
        <f t="shared" si="22"/>
        <v>0.11622284765536744</v>
      </c>
      <c r="U52" s="184">
        <f t="shared" si="9"/>
        <v>0.12729933894417944</v>
      </c>
      <c r="V52" s="170">
        <f t="shared" si="10"/>
        <v>81539.045573915253</v>
      </c>
      <c r="W52" s="170">
        <f t="shared" si="11"/>
        <v>133650.00000000003</v>
      </c>
      <c r="X52" s="171">
        <f t="shared" ref="X52:X74" si="24">(K52-K51)/K51</f>
        <v>9.0322580645161663E-3</v>
      </c>
      <c r="Y52" s="171">
        <f t="shared" ref="Y52:Y74" si="25">(N52-N51)/N51</f>
        <v>-4.3828019317569142E-3</v>
      </c>
      <c r="Z52" s="184">
        <f t="shared" si="14"/>
        <v>1.3415059996273081E-2</v>
      </c>
      <c r="AA52" s="171">
        <f t="shared" si="15"/>
        <v>1.2100219416746006E-2</v>
      </c>
      <c r="AB52" s="170">
        <f t="shared" ref="AB52:AB73" si="26">V52-V51</f>
        <v>9133.1693314700824</v>
      </c>
      <c r="AC52" s="184">
        <f t="shared" si="18"/>
        <v>5.2624868370679895E-2</v>
      </c>
    </row>
    <row r="53" spans="1:29" s="170" customFormat="1" x14ac:dyDescent="0.15">
      <c r="B53" s="172">
        <v>42489</v>
      </c>
      <c r="C53" s="166" t="s">
        <v>34</v>
      </c>
      <c r="D53" s="166" t="s">
        <v>35</v>
      </c>
      <c r="E53" s="198">
        <v>640530</v>
      </c>
      <c r="F53" s="170">
        <f t="shared" si="0"/>
        <v>906240</v>
      </c>
      <c r="G53" s="170">
        <f t="shared" si="23"/>
        <v>847500.48764568649</v>
      </c>
      <c r="H53" s="170">
        <f t="shared" si="1"/>
        <v>853026.96454294398</v>
      </c>
      <c r="I53" s="170">
        <v>38400</v>
      </c>
      <c r="J53" s="170">
        <v>23.46</v>
      </c>
      <c r="K53" s="166">
        <v>23.6</v>
      </c>
      <c r="L53" s="171">
        <f t="shared" si="19"/>
        <v>5.9676044330776029E-3</v>
      </c>
      <c r="M53" s="170">
        <v>5990.3289999999997</v>
      </c>
      <c r="N53" s="170">
        <v>5985.5940000000001</v>
      </c>
      <c r="O53" s="171">
        <f t="shared" si="20"/>
        <v>-7.9044072537579697E-4</v>
      </c>
      <c r="P53" s="184">
        <f t="shared" si="4"/>
        <v>6.7580451584533996E-3</v>
      </c>
      <c r="Q53" s="171">
        <f t="shared" si="5"/>
        <v>6.52091294084066E-3</v>
      </c>
      <c r="R53" s="170">
        <f t="shared" si="6"/>
        <v>5526.4768972575266</v>
      </c>
      <c r="S53" s="171">
        <f t="shared" si="21"/>
        <v>0.21586810922205055</v>
      </c>
      <c r="T53" s="171">
        <f t="shared" si="22"/>
        <v>0.1153405396579857</v>
      </c>
      <c r="U53" s="184">
        <f t="shared" si="9"/>
        <v>0.13512973146146057</v>
      </c>
      <c r="V53" s="170">
        <f t="shared" si="10"/>
        <v>86554.64689300934</v>
      </c>
      <c r="W53" s="170">
        <f t="shared" si="11"/>
        <v>138270.00000000003</v>
      </c>
      <c r="X53" s="171">
        <f t="shared" si="24"/>
        <v>5.9676044330776029E-3</v>
      </c>
      <c r="Y53" s="171">
        <f t="shared" si="25"/>
        <v>-7.9044072537579697E-4</v>
      </c>
      <c r="Z53" s="184">
        <f t="shared" si="14"/>
        <v>6.7580451584533996E-3</v>
      </c>
      <c r="AA53" s="171">
        <f t="shared" si="15"/>
        <v>6.52091294084066E-3</v>
      </c>
      <c r="AB53" s="170">
        <f t="shared" si="26"/>
        <v>5015.6013190940866</v>
      </c>
      <c r="AC53" s="184">
        <f t="shared" si="18"/>
        <v>5.9145781311520554E-2</v>
      </c>
    </row>
    <row r="54" spans="1:29" s="170" customFormat="1" x14ac:dyDescent="0.15">
      <c r="B54" s="172">
        <v>42493</v>
      </c>
      <c r="C54" s="166" t="s">
        <v>34</v>
      </c>
      <c r="D54" s="166" t="s">
        <v>35</v>
      </c>
      <c r="E54" s="198">
        <v>640530</v>
      </c>
      <c r="F54" s="170">
        <f t="shared" si="0"/>
        <v>956160</v>
      </c>
      <c r="G54" s="170">
        <f t="shared" si="23"/>
        <v>853026.96454294398</v>
      </c>
      <c r="H54" s="170">
        <f t="shared" si="1"/>
        <v>881873.5054063322</v>
      </c>
      <c r="I54" s="170">
        <v>38400</v>
      </c>
      <c r="J54" s="170">
        <v>23.6</v>
      </c>
      <c r="K54" s="166">
        <v>24.9</v>
      </c>
      <c r="L54" s="171">
        <f t="shared" si="19"/>
        <v>5.5084745762711738E-2</v>
      </c>
      <c r="M54" s="170">
        <v>5985.5940000000001</v>
      </c>
      <c r="N54" s="170">
        <v>6167.4539999999997</v>
      </c>
      <c r="O54" s="171">
        <f t="shared" si="20"/>
        <v>3.0382949461657385E-2</v>
      </c>
      <c r="P54" s="184">
        <f t="shared" si="4"/>
        <v>2.4701796301054353E-2</v>
      </c>
      <c r="Q54" s="171">
        <f t="shared" si="5"/>
        <v>3.3816681139551566E-2</v>
      </c>
      <c r="R54" s="170">
        <f t="shared" si="6"/>
        <v>28846.540863388298</v>
      </c>
      <c r="S54" s="171">
        <f t="shared" si="21"/>
        <v>0.28284389489953626</v>
      </c>
      <c r="T54" s="171">
        <f t="shared" si="22"/>
        <v>0.14922787490695194</v>
      </c>
      <c r="U54" s="184">
        <f t="shared" si="9"/>
        <v>0.17838438246466989</v>
      </c>
      <c r="V54" s="170">
        <f t="shared" si="10"/>
        <v>114260.54850009501</v>
      </c>
      <c r="W54" s="170">
        <f t="shared" si="11"/>
        <v>181169.99999999997</v>
      </c>
      <c r="X54" s="171">
        <f t="shared" si="24"/>
        <v>5.5084745762711738E-2</v>
      </c>
      <c r="Y54" s="171">
        <f t="shared" si="25"/>
        <v>3.0382949461657385E-2</v>
      </c>
      <c r="Z54" s="184">
        <f t="shared" si="14"/>
        <v>2.4701796301054353E-2</v>
      </c>
      <c r="AA54" s="171">
        <f t="shared" si="15"/>
        <v>3.3816681139551566E-2</v>
      </c>
      <c r="AB54" s="170">
        <f t="shared" si="26"/>
        <v>27705.901607085674</v>
      </c>
      <c r="AC54" s="184">
        <f t="shared" si="18"/>
        <v>9.296246245107212E-2</v>
      </c>
    </row>
    <row r="55" spans="1:29" s="170" customFormat="1" x14ac:dyDescent="0.15">
      <c r="B55" s="172">
        <v>42494</v>
      </c>
      <c r="C55" s="166" t="s">
        <v>34</v>
      </c>
      <c r="D55" s="166" t="s">
        <v>35</v>
      </c>
      <c r="E55" s="198">
        <v>640530</v>
      </c>
      <c r="F55" s="170">
        <f t="shared" si="0"/>
        <v>962688</v>
      </c>
      <c r="G55" s="170">
        <f t="shared" si="23"/>
        <v>881873.5054063322</v>
      </c>
      <c r="H55" s="170">
        <f t="shared" si="1"/>
        <v>887661.21477815858</v>
      </c>
      <c r="I55" s="170">
        <v>38400</v>
      </c>
      <c r="J55" s="170">
        <v>24.9</v>
      </c>
      <c r="K55" s="166">
        <v>25.07</v>
      </c>
      <c r="L55" s="171">
        <f t="shared" si="19"/>
        <v>6.8273092369478599E-3</v>
      </c>
      <c r="M55" s="170">
        <v>6167.4539999999997</v>
      </c>
      <c r="N55" s="170">
        <v>6169.7830000000004</v>
      </c>
      <c r="O55" s="171">
        <f t="shared" si="20"/>
        <v>3.7762746183443496E-4</v>
      </c>
      <c r="P55" s="184">
        <f t="shared" si="4"/>
        <v>6.4496817751134253E-3</v>
      </c>
      <c r="Q55" s="171">
        <f t="shared" si="5"/>
        <v>6.5629700136637555E-3</v>
      </c>
      <c r="R55" s="170">
        <f t="shared" si="6"/>
        <v>5787.7093718263004</v>
      </c>
      <c r="S55" s="171">
        <f t="shared" si="21"/>
        <v>0.29160226687274599</v>
      </c>
      <c r="T55" s="171">
        <f t="shared" si="22"/>
        <v>0.14966185491242245</v>
      </c>
      <c r="U55" s="184">
        <f t="shared" si="9"/>
        <v>0.18683896843405023</v>
      </c>
      <c r="V55" s="170">
        <f t="shared" si="10"/>
        <v>119675.9644510622</v>
      </c>
      <c r="W55" s="170">
        <f t="shared" si="11"/>
        <v>186780</v>
      </c>
      <c r="X55" s="171">
        <f t="shared" si="24"/>
        <v>6.8273092369478599E-3</v>
      </c>
      <c r="Y55" s="171">
        <f t="shared" si="25"/>
        <v>3.7762746183443496E-4</v>
      </c>
      <c r="Z55" s="184">
        <f t="shared" si="14"/>
        <v>6.4496817751134253E-3</v>
      </c>
      <c r="AA55" s="171">
        <f t="shared" si="15"/>
        <v>6.5629700136637555E-3</v>
      </c>
      <c r="AB55" s="170">
        <f t="shared" si="26"/>
        <v>5415.4159509671881</v>
      </c>
      <c r="AC55" s="184">
        <f t="shared" si="18"/>
        <v>9.9525432464735872E-2</v>
      </c>
    </row>
    <row r="56" spans="1:29" s="170" customFormat="1" x14ac:dyDescent="0.15">
      <c r="B56" s="172">
        <v>42495</v>
      </c>
      <c r="C56" s="166" t="s">
        <v>34</v>
      </c>
      <c r="D56" s="166" t="s">
        <v>35</v>
      </c>
      <c r="E56" s="198">
        <v>640530</v>
      </c>
      <c r="F56" s="170">
        <f t="shared" si="0"/>
        <v>962304</v>
      </c>
      <c r="G56" s="170">
        <f t="shared" si="23"/>
        <v>887661.21477815858</v>
      </c>
      <c r="H56" s="170">
        <f t="shared" si="1"/>
        <v>883879.55546756473</v>
      </c>
      <c r="I56" s="170">
        <v>38400</v>
      </c>
      <c r="J56" s="170">
        <v>25.07</v>
      </c>
      <c r="K56" s="166">
        <v>25.06</v>
      </c>
      <c r="L56" s="171">
        <f t="shared" si="19"/>
        <v>-3.9888312724377996E-4</v>
      </c>
      <c r="M56" s="170">
        <v>6169.7830000000004</v>
      </c>
      <c r="N56" s="170">
        <v>6203.817</v>
      </c>
      <c r="O56" s="171">
        <f t="shared" si="20"/>
        <v>5.5162393879978674E-3</v>
      </c>
      <c r="P56" s="184">
        <f t="shared" si="4"/>
        <v>-5.9151225152416472E-3</v>
      </c>
      <c r="Q56" s="171">
        <f t="shared" si="5"/>
        <v>-4.2602506988422871E-3</v>
      </c>
      <c r="R56" s="170">
        <f t="shared" si="6"/>
        <v>-3781.6593105938437</v>
      </c>
      <c r="S56" s="171">
        <f t="shared" si="21"/>
        <v>0.29108706852138067</v>
      </c>
      <c r="T56" s="171">
        <f t="shared" si="22"/>
        <v>0.15600366491936904</v>
      </c>
      <c r="U56" s="184">
        <f t="shared" si="9"/>
        <v>0.18188450307782233</v>
      </c>
      <c r="V56" s="170">
        <f t="shared" si="10"/>
        <v>116502.48075643754</v>
      </c>
      <c r="W56" s="170">
        <f t="shared" si="11"/>
        <v>186449.99999999997</v>
      </c>
      <c r="X56" s="171">
        <f t="shared" si="24"/>
        <v>-3.9888312724377996E-4</v>
      </c>
      <c r="Y56" s="171">
        <f t="shared" si="25"/>
        <v>5.5162393879978674E-3</v>
      </c>
      <c r="Z56" s="184">
        <f t="shared" si="14"/>
        <v>-5.9151225152416472E-3</v>
      </c>
      <c r="AA56" s="171">
        <f t="shared" si="15"/>
        <v>-4.2602506988422871E-3</v>
      </c>
      <c r="AB56" s="170">
        <f t="shared" si="26"/>
        <v>-3173.4836946246651</v>
      </c>
      <c r="AC56" s="184">
        <f t="shared" si="18"/>
        <v>9.5265181765893589E-2</v>
      </c>
    </row>
    <row r="57" spans="1:29" s="170" customFormat="1" x14ac:dyDescent="0.15">
      <c r="B57" s="172">
        <v>42496</v>
      </c>
      <c r="C57" s="166" t="s">
        <v>34</v>
      </c>
      <c r="D57" s="166" t="s">
        <v>35</v>
      </c>
      <c r="E57" s="198">
        <v>640530</v>
      </c>
      <c r="F57" s="170">
        <f t="shared" si="0"/>
        <v>933120</v>
      </c>
      <c r="G57" s="170">
        <f t="shared" si="23"/>
        <v>883879.55546756473</v>
      </c>
      <c r="H57" s="170">
        <f t="shared" si="1"/>
        <v>881241.67418191547</v>
      </c>
      <c r="I57" s="170">
        <v>38400</v>
      </c>
      <c r="J57" s="170">
        <v>25.06</v>
      </c>
      <c r="K57" s="166">
        <v>24.3</v>
      </c>
      <c r="L57" s="171">
        <f t="shared" si="19"/>
        <v>-3.0327214684756507E-2</v>
      </c>
      <c r="M57" s="170">
        <v>6203.817</v>
      </c>
      <c r="N57" s="170">
        <v>5961.4889999999996</v>
      </c>
      <c r="O57" s="171">
        <f t="shared" si="20"/>
        <v>-3.9061113504798808E-2</v>
      </c>
      <c r="P57" s="184">
        <f t="shared" si="4"/>
        <v>8.7338988200423018E-3</v>
      </c>
      <c r="Q57" s="171">
        <f t="shared" si="5"/>
        <v>-2.9844352313973402E-3</v>
      </c>
      <c r="R57" s="170">
        <f t="shared" si="6"/>
        <v>-2637.8812856492195</v>
      </c>
      <c r="S57" s="171">
        <f t="shared" si="21"/>
        <v>0.25193199381761983</v>
      </c>
      <c r="T57" s="171">
        <f t="shared" si="22"/>
        <v>0.11084887455199016</v>
      </c>
      <c r="U57" s="184">
        <f t="shared" si="9"/>
        <v>0.17433778163122671</v>
      </c>
      <c r="V57" s="170">
        <f t="shared" si="10"/>
        <v>111668.57926824964</v>
      </c>
      <c r="W57" s="170">
        <f t="shared" si="11"/>
        <v>161370.00000000003</v>
      </c>
      <c r="X57" s="171">
        <f t="shared" si="24"/>
        <v>-3.0327214684756507E-2</v>
      </c>
      <c r="Y57" s="171">
        <f t="shared" si="25"/>
        <v>-3.9061113504798808E-2</v>
      </c>
      <c r="Z57" s="184">
        <f t="shared" si="14"/>
        <v>8.7338988200423018E-3</v>
      </c>
      <c r="AA57" s="171">
        <f t="shared" si="15"/>
        <v>-2.9844352313973402E-3</v>
      </c>
      <c r="AB57" s="170">
        <f t="shared" si="26"/>
        <v>-4833.9014881878975</v>
      </c>
      <c r="AC57" s="184">
        <f t="shared" si="18"/>
        <v>9.228074653449625E-2</v>
      </c>
    </row>
    <row r="58" spans="1:29" s="170" customFormat="1" x14ac:dyDescent="0.15">
      <c r="B58" s="172">
        <v>42499</v>
      </c>
      <c r="C58" s="166" t="s">
        <v>34</v>
      </c>
      <c r="D58" s="166" t="s">
        <v>35</v>
      </c>
      <c r="E58" s="198">
        <v>640530</v>
      </c>
      <c r="F58" s="170">
        <f t="shared" si="0"/>
        <v>900864</v>
      </c>
      <c r="G58" s="170">
        <f t="shared" si="23"/>
        <v>881241.67418191547</v>
      </c>
      <c r="H58" s="170">
        <f t="shared" si="1"/>
        <v>873320.34970954433</v>
      </c>
      <c r="I58" s="170">
        <v>38400</v>
      </c>
      <c r="J58" s="170">
        <v>24.3</v>
      </c>
      <c r="K58" s="166">
        <v>23.46</v>
      </c>
      <c r="L58" s="171">
        <f t="shared" si="19"/>
        <v>-3.4567901234567891E-2</v>
      </c>
      <c r="M58" s="170">
        <v>5961.4889999999996</v>
      </c>
      <c r="N58" s="170">
        <v>5743.6469999999999</v>
      </c>
      <c r="O58" s="171">
        <f t="shared" si="20"/>
        <v>-3.6541541886599083E-2</v>
      </c>
      <c r="P58" s="184">
        <f t="shared" si="4"/>
        <v>1.9736406520311917E-3</v>
      </c>
      <c r="Q58" s="171">
        <f t="shared" si="5"/>
        <v>-8.9888219139485324E-3</v>
      </c>
      <c r="R58" s="170">
        <f t="shared" si="6"/>
        <v>-7921.3244723710941</v>
      </c>
      <c r="S58" s="171">
        <f t="shared" si="21"/>
        <v>0.20865533230293667</v>
      </c>
      <c r="T58" s="171">
        <f t="shared" si="22"/>
        <v>7.0256743872867164E-2</v>
      </c>
      <c r="U58" s="184">
        <f t="shared" si="9"/>
        <v>0.15947561159192966</v>
      </c>
      <c r="V58" s="170">
        <f t="shared" si="10"/>
        <v>102148.91349297871</v>
      </c>
      <c r="W58" s="170">
        <f t="shared" si="11"/>
        <v>133650.00000000003</v>
      </c>
      <c r="X58" s="171">
        <f t="shared" si="24"/>
        <v>-3.4567901234567891E-2</v>
      </c>
      <c r="Y58" s="171">
        <f t="shared" si="25"/>
        <v>-3.6541541886599083E-2</v>
      </c>
      <c r="Z58" s="184">
        <f t="shared" si="14"/>
        <v>1.9736406520311917E-3</v>
      </c>
      <c r="AA58" s="171">
        <f t="shared" si="15"/>
        <v>-8.9888219139485324E-3</v>
      </c>
      <c r="AB58" s="170">
        <f t="shared" si="26"/>
        <v>-9519.6657752709289</v>
      </c>
      <c r="AC58" s="184">
        <f t="shared" si="18"/>
        <v>8.3291924620547714E-2</v>
      </c>
    </row>
    <row r="59" spans="1:29" s="170" customFormat="1" x14ac:dyDescent="0.15">
      <c r="B59" s="172">
        <v>42500</v>
      </c>
      <c r="C59" s="166" t="s">
        <v>34</v>
      </c>
      <c r="D59" s="166" t="s">
        <v>35</v>
      </c>
      <c r="E59" s="198">
        <v>640530</v>
      </c>
      <c r="F59" s="170">
        <f t="shared" si="0"/>
        <v>894720</v>
      </c>
      <c r="G59" s="170">
        <f t="shared" si="23"/>
        <v>873320.34970954433</v>
      </c>
      <c r="H59" s="170">
        <f t="shared" si="1"/>
        <v>867869.87269561633</v>
      </c>
      <c r="I59" s="170">
        <v>38400</v>
      </c>
      <c r="J59" s="170">
        <v>23.46</v>
      </c>
      <c r="K59" s="166">
        <v>23.3</v>
      </c>
      <c r="L59" s="171">
        <f t="shared" si="19"/>
        <v>-6.8201193520886676E-3</v>
      </c>
      <c r="M59" s="170">
        <v>5743.6469999999999</v>
      </c>
      <c r="N59" s="170">
        <v>5738.8959999999997</v>
      </c>
      <c r="O59" s="171">
        <f t="shared" si="20"/>
        <v>-8.2717478981563517E-4</v>
      </c>
      <c r="P59" s="184">
        <f t="shared" si="4"/>
        <v>-5.992944562273032E-3</v>
      </c>
      <c r="Q59" s="171">
        <f t="shared" si="5"/>
        <v>-6.2410969992177222E-3</v>
      </c>
      <c r="R59" s="170">
        <f t="shared" si="6"/>
        <v>-5450.477013928009</v>
      </c>
      <c r="S59" s="171">
        <f t="shared" si="21"/>
        <v>0.20041215868109225</v>
      </c>
      <c r="T59" s="171">
        <f t="shared" si="22"/>
        <v>6.9371454475705363E-2</v>
      </c>
      <c r="U59" s="184">
        <f t="shared" si="9"/>
        <v>0.15185214054809848</v>
      </c>
      <c r="V59" s="170">
        <f t="shared" si="10"/>
        <v>97265.851585273515</v>
      </c>
      <c r="W59" s="170">
        <f t="shared" si="11"/>
        <v>128370.00000000001</v>
      </c>
      <c r="X59" s="171">
        <f t="shared" si="24"/>
        <v>-6.8201193520886676E-3</v>
      </c>
      <c r="Y59" s="171">
        <f t="shared" si="25"/>
        <v>-8.2717478981563517E-4</v>
      </c>
      <c r="Z59" s="184">
        <f t="shared" si="14"/>
        <v>-5.992944562273032E-3</v>
      </c>
      <c r="AA59" s="171">
        <f t="shared" si="15"/>
        <v>-6.2410969992177222E-3</v>
      </c>
      <c r="AB59" s="170">
        <f t="shared" si="26"/>
        <v>-4883.0619077051961</v>
      </c>
      <c r="AC59" s="184">
        <f t="shared" si="18"/>
        <v>7.705082762132999E-2</v>
      </c>
    </row>
    <row r="60" spans="1:29" s="170" customFormat="1" x14ac:dyDescent="0.15">
      <c r="B60" s="172">
        <v>42501</v>
      </c>
      <c r="C60" s="166" t="s">
        <v>34</v>
      </c>
      <c r="D60" s="166" t="s">
        <v>35</v>
      </c>
      <c r="E60" s="198">
        <v>640530</v>
      </c>
      <c r="F60" s="170">
        <f t="shared" si="0"/>
        <v>871296</v>
      </c>
      <c r="G60" s="170">
        <f t="shared" si="23"/>
        <v>867869.87269561633</v>
      </c>
      <c r="H60" s="170">
        <f t="shared" si="1"/>
        <v>846788.13524621341</v>
      </c>
      <c r="I60" s="170">
        <v>38400</v>
      </c>
      <c r="J60" s="170">
        <v>23.3</v>
      </c>
      <c r="K60" s="166">
        <v>22.69</v>
      </c>
      <c r="L60" s="171">
        <f t="shared" si="19"/>
        <v>-2.6180257510729589E-2</v>
      </c>
      <c r="M60" s="170">
        <v>5738.8959999999997</v>
      </c>
      <c r="N60" s="170">
        <v>5723.41</v>
      </c>
      <c r="O60" s="171">
        <f t="shared" si="20"/>
        <v>-2.6984284085301209E-3</v>
      </c>
      <c r="P60" s="184">
        <f t="shared" si="4"/>
        <v>-2.3481829102199467E-2</v>
      </c>
      <c r="Q60" s="171">
        <f t="shared" si="5"/>
        <v>-2.4291357624758501E-2</v>
      </c>
      <c r="R60" s="170">
        <f t="shared" si="6"/>
        <v>-21081.737449402848</v>
      </c>
      <c r="S60" s="171">
        <f t="shared" si="21"/>
        <v>0.16898505924781046</v>
      </c>
      <c r="T60" s="171">
        <f t="shared" si="22"/>
        <v>6.6485832163676942E-2</v>
      </c>
      <c r="U60" s="184">
        <f t="shared" si="9"/>
        <v>0.12244497673323659</v>
      </c>
      <c r="V60" s="170">
        <f t="shared" si="10"/>
        <v>78429.680946940032</v>
      </c>
      <c r="W60" s="170">
        <f t="shared" si="11"/>
        <v>108240.00000000003</v>
      </c>
      <c r="X60" s="171">
        <f t="shared" si="24"/>
        <v>-2.6180257510729589E-2</v>
      </c>
      <c r="Y60" s="171">
        <f t="shared" si="25"/>
        <v>-2.6984284085301209E-3</v>
      </c>
      <c r="Z60" s="184">
        <f t="shared" si="14"/>
        <v>-2.3481829102199467E-2</v>
      </c>
      <c r="AA60" s="171">
        <f t="shared" si="15"/>
        <v>-2.4291357624758501E-2</v>
      </c>
      <c r="AB60" s="170">
        <f t="shared" si="26"/>
        <v>-18836.170638333482</v>
      </c>
      <c r="AC60" s="184">
        <f t="shared" si="18"/>
        <v>5.2759469996571488E-2</v>
      </c>
    </row>
    <row r="61" spans="1:29" s="170" customFormat="1" x14ac:dyDescent="0.15">
      <c r="B61" s="172">
        <v>42502</v>
      </c>
      <c r="C61" s="166" t="s">
        <v>34</v>
      </c>
      <c r="D61" s="166" t="s">
        <v>35</v>
      </c>
      <c r="E61" s="198">
        <v>640530</v>
      </c>
      <c r="F61" s="170">
        <f t="shared" si="0"/>
        <v>866688</v>
      </c>
      <c r="G61" s="170">
        <f t="shared" si="23"/>
        <v>846788.13524621341</v>
      </c>
      <c r="H61" s="170">
        <f t="shared" si="1"/>
        <v>841994.39032942627</v>
      </c>
      <c r="I61" s="170">
        <v>38400</v>
      </c>
      <c r="J61" s="170">
        <v>22.69</v>
      </c>
      <c r="K61" s="166">
        <v>22.57</v>
      </c>
      <c r="L61" s="171">
        <f t="shared" si="19"/>
        <v>-5.2886734244160854E-3</v>
      </c>
      <c r="M61" s="170">
        <v>5723.41</v>
      </c>
      <c r="N61" s="170">
        <v>5726.4549999999999</v>
      </c>
      <c r="O61" s="171">
        <f t="shared" si="20"/>
        <v>5.3202548830156725E-4</v>
      </c>
      <c r="P61" s="184">
        <f t="shared" si="4"/>
        <v>-5.8206989127176523E-3</v>
      </c>
      <c r="Q61" s="171">
        <f t="shared" si="5"/>
        <v>-5.6610912662271827E-3</v>
      </c>
      <c r="R61" s="170">
        <f t="shared" si="6"/>
        <v>-4793.7449167871409</v>
      </c>
      <c r="S61" s="171">
        <f t="shared" si="21"/>
        <v>0.16280267903142712</v>
      </c>
      <c r="T61" s="171">
        <f t="shared" si="22"/>
        <v>6.7053229809300521E-2</v>
      </c>
      <c r="U61" s="184">
        <f t="shared" si="9"/>
        <v>0.11586541816491674</v>
      </c>
      <c r="V61" s="170">
        <f t="shared" si="10"/>
        <v>74215.276297174118</v>
      </c>
      <c r="W61" s="170">
        <f t="shared" si="11"/>
        <v>104280.00000000001</v>
      </c>
      <c r="X61" s="171">
        <f t="shared" si="24"/>
        <v>-5.2886734244160854E-3</v>
      </c>
      <c r="Y61" s="171">
        <f t="shared" si="25"/>
        <v>5.3202548830156725E-4</v>
      </c>
      <c r="Z61" s="184">
        <f t="shared" si="14"/>
        <v>-5.8206989127176523E-3</v>
      </c>
      <c r="AA61" s="171">
        <f t="shared" si="15"/>
        <v>-5.6610912662271827E-3</v>
      </c>
      <c r="AB61" s="170">
        <f t="shared" si="26"/>
        <v>-4214.4046497659147</v>
      </c>
      <c r="AC61" s="184">
        <f t="shared" si="18"/>
        <v>4.7098378730344309E-2</v>
      </c>
    </row>
    <row r="62" spans="1:29" s="170" customFormat="1" x14ac:dyDescent="0.15">
      <c r="B62" s="172">
        <v>42503</v>
      </c>
      <c r="C62" s="166" t="s">
        <v>34</v>
      </c>
      <c r="D62" s="166" t="s">
        <v>35</v>
      </c>
      <c r="E62" s="198">
        <v>640530</v>
      </c>
      <c r="F62" s="170">
        <f t="shared" si="0"/>
        <v>856320</v>
      </c>
      <c r="G62" s="170">
        <f t="shared" si="23"/>
        <v>841994.39032942627</v>
      </c>
      <c r="H62" s="170">
        <f t="shared" si="1"/>
        <v>833171.82020332187</v>
      </c>
      <c r="I62" s="170">
        <v>38400</v>
      </c>
      <c r="J62" s="170">
        <v>22.57</v>
      </c>
      <c r="K62" s="166">
        <v>22.3</v>
      </c>
      <c r="L62" s="171">
        <f t="shared" si="19"/>
        <v>-1.1962782454585714E-2</v>
      </c>
      <c r="M62" s="170">
        <v>5726.4549999999999</v>
      </c>
      <c r="N62" s="170">
        <v>5714.31</v>
      </c>
      <c r="O62" s="171">
        <f t="shared" si="20"/>
        <v>-2.1208583670000946E-3</v>
      </c>
      <c r="P62" s="184">
        <f t="shared" si="4"/>
        <v>-9.8419240875856195E-3</v>
      </c>
      <c r="Q62" s="171">
        <f t="shared" si="5"/>
        <v>-1.0478181597685647E-2</v>
      </c>
      <c r="R62" s="170">
        <f t="shared" si="6"/>
        <v>-8822.5701261043396</v>
      </c>
      <c r="S62" s="171">
        <f t="shared" si="21"/>
        <v>0.14889232354456469</v>
      </c>
      <c r="T62" s="171">
        <f t="shared" si="22"/>
        <v>6.4790161038824998E-2</v>
      </c>
      <c r="U62" s="184">
        <f t="shared" si="9"/>
        <v>0.10353921081738718</v>
      </c>
      <c r="V62" s="170">
        <f t="shared" si="10"/>
        <v>66319.970704861014</v>
      </c>
      <c r="W62" s="170">
        <f t="shared" si="11"/>
        <v>95370.000000000029</v>
      </c>
      <c r="X62" s="171">
        <f t="shared" si="24"/>
        <v>-1.1962782454585714E-2</v>
      </c>
      <c r="Y62" s="171">
        <f t="shared" si="25"/>
        <v>-2.1208583670000946E-3</v>
      </c>
      <c r="Z62" s="184">
        <f t="shared" si="14"/>
        <v>-9.8419240875856195E-3</v>
      </c>
      <c r="AA62" s="171">
        <f t="shared" si="15"/>
        <v>-1.0478181597685647E-2</v>
      </c>
      <c r="AB62" s="170">
        <f t="shared" si="26"/>
        <v>-7895.3055923131033</v>
      </c>
      <c r="AC62" s="184">
        <f t="shared" si="18"/>
        <v>3.6620197132658662E-2</v>
      </c>
    </row>
    <row r="63" spans="1:29" s="170" customFormat="1" x14ac:dyDescent="0.15">
      <c r="B63" s="172">
        <v>42506</v>
      </c>
      <c r="C63" s="166" t="s">
        <v>34</v>
      </c>
      <c r="D63" s="166" t="s">
        <v>35</v>
      </c>
      <c r="E63" s="198">
        <v>640530</v>
      </c>
      <c r="F63" s="170">
        <f t="shared" si="0"/>
        <v>868224</v>
      </c>
      <c r="G63" s="170">
        <f t="shared" si="23"/>
        <v>833171.82020332187</v>
      </c>
      <c r="H63" s="170">
        <f t="shared" si="1"/>
        <v>834728.16552834911</v>
      </c>
      <c r="I63" s="170">
        <v>38400</v>
      </c>
      <c r="J63" s="170">
        <v>22.3</v>
      </c>
      <c r="K63" s="166">
        <v>22.61</v>
      </c>
      <c r="L63" s="171">
        <f t="shared" si="19"/>
        <v>1.3901345291479763E-2</v>
      </c>
      <c r="M63" s="170">
        <v>5714.31</v>
      </c>
      <c r="N63" s="170">
        <v>5812.5420000000004</v>
      </c>
      <c r="O63" s="171">
        <f t="shared" si="20"/>
        <v>1.7190526940260499E-2</v>
      </c>
      <c r="P63" s="184">
        <f t="shared" si="4"/>
        <v>-3.2891816487807361E-3</v>
      </c>
      <c r="Q63" s="171">
        <f t="shared" si="5"/>
        <v>1.8679764332974139E-3</v>
      </c>
      <c r="R63" s="170">
        <f t="shared" si="6"/>
        <v>1556.3453250273155</v>
      </c>
      <c r="S63" s="171">
        <f t="shared" si="21"/>
        <v>0.16486347243688818</v>
      </c>
      <c r="T63" s="171">
        <f t="shared" si="22"/>
        <v>8.3094464987887223E-2</v>
      </c>
      <c r="U63" s="184">
        <f t="shared" si="9"/>
        <v>0.10669734694536712</v>
      </c>
      <c r="V63" s="170">
        <f t="shared" si="10"/>
        <v>68342.851638915992</v>
      </c>
      <c r="W63" s="170">
        <f t="shared" si="11"/>
        <v>105599.99999999999</v>
      </c>
      <c r="X63" s="171">
        <f t="shared" si="24"/>
        <v>1.3901345291479763E-2</v>
      </c>
      <c r="Y63" s="171">
        <f t="shared" si="25"/>
        <v>1.7190526940260499E-2</v>
      </c>
      <c r="Z63" s="184">
        <f t="shared" si="14"/>
        <v>-3.2891816487807361E-3</v>
      </c>
      <c r="AA63" s="171">
        <f t="shared" si="15"/>
        <v>1.8679764332974139E-3</v>
      </c>
      <c r="AB63" s="170">
        <f t="shared" si="26"/>
        <v>2022.8809340549778</v>
      </c>
      <c r="AC63" s="184">
        <f t="shared" si="18"/>
        <v>3.8488173565956074E-2</v>
      </c>
    </row>
    <row r="64" spans="1:29" s="170" customFormat="1" x14ac:dyDescent="0.15">
      <c r="A64" s="170" t="s">
        <v>37</v>
      </c>
      <c r="B64" s="172">
        <v>42507</v>
      </c>
      <c r="C64" s="166" t="s">
        <v>34</v>
      </c>
      <c r="D64" s="166" t="s">
        <v>35</v>
      </c>
      <c r="E64" s="193">
        <v>2749530</v>
      </c>
      <c r="F64" s="170">
        <f t="shared" si="0"/>
        <v>2952960</v>
      </c>
      <c r="G64" s="170">
        <v>2786144</v>
      </c>
      <c r="H64" s="170">
        <f t="shared" si="1"/>
        <v>2944503.3033542321</v>
      </c>
      <c r="I64" s="170">
        <v>128000</v>
      </c>
      <c r="J64" s="199">
        <v>21.480703125000002</v>
      </c>
      <c r="K64" s="166">
        <v>23.07</v>
      </c>
      <c r="L64" s="171">
        <f t="shared" si="19"/>
        <v>7.3987190538019165E-2</v>
      </c>
      <c r="M64" s="170">
        <v>5651.8778347891193</v>
      </c>
      <c r="N64" s="170">
        <v>5790.3410000000003</v>
      </c>
      <c r="O64" s="171">
        <f t="shared" si="20"/>
        <v>2.4498612542294504E-2</v>
      </c>
      <c r="P64" s="184">
        <f t="shared" si="4"/>
        <v>4.9488577995724661E-2</v>
      </c>
      <c r="Q64" s="171">
        <f t="shared" si="5"/>
        <v>5.6838161758413011E-2</v>
      </c>
      <c r="R64" s="170">
        <f>G64*Q64</f>
        <v>158359.30335423187</v>
      </c>
      <c r="S64" s="171">
        <f>(K64-$J$64)/$J$64</f>
        <v>7.3987190538019165E-2</v>
      </c>
      <c r="T64" s="171">
        <f>(N64-$M$64)/$M$64</f>
        <v>2.4498612542294504E-2</v>
      </c>
      <c r="U64" s="184">
        <f t="shared" si="9"/>
        <v>5.6838161758413011E-2</v>
      </c>
      <c r="V64" s="170">
        <f t="shared" si="10"/>
        <v>156278.23089960933</v>
      </c>
      <c r="W64" s="170">
        <f t="shared" si="11"/>
        <v>203429.99999999983</v>
      </c>
      <c r="X64" s="171">
        <f t="shared" si="24"/>
        <v>2.0344980097302116E-2</v>
      </c>
      <c r="Y64" s="171">
        <f t="shared" si="25"/>
        <v>-3.8194992827578745E-3</v>
      </c>
      <c r="Z64" s="184">
        <f t="shared" si="14"/>
        <v>2.416447938005999E-2</v>
      </c>
      <c r="AA64" s="171">
        <f t="shared" si="15"/>
        <v>2.3018629595232626E-2</v>
      </c>
      <c r="AB64" s="170">
        <f t="shared" si="26"/>
        <v>87935.379260693342</v>
      </c>
      <c r="AC64" s="184">
        <f t="shared" si="18"/>
        <v>6.15068031611887E-2</v>
      </c>
    </row>
    <row r="65" spans="1:29" s="170" customFormat="1" x14ac:dyDescent="0.15">
      <c r="B65" s="172">
        <v>42508</v>
      </c>
      <c r="C65" s="166" t="s">
        <v>34</v>
      </c>
      <c r="D65" s="166" t="s">
        <v>35</v>
      </c>
      <c r="E65" s="193">
        <v>2749530</v>
      </c>
      <c r="F65" s="170">
        <f t="shared" si="0"/>
        <v>2905600</v>
      </c>
      <c r="G65" s="170">
        <f>G64*(1+Q64)</f>
        <v>2944503.3033542321</v>
      </c>
      <c r="H65" s="170">
        <f t="shared" si="1"/>
        <v>2953930.9422896206</v>
      </c>
      <c r="I65" s="170">
        <v>128000</v>
      </c>
      <c r="J65" s="166">
        <v>23.07</v>
      </c>
      <c r="K65" s="185">
        <v>22.7</v>
      </c>
      <c r="L65" s="171">
        <f t="shared" si="19"/>
        <v>-1.6038144776766405E-2</v>
      </c>
      <c r="M65" s="170">
        <v>5790.3410000000003</v>
      </c>
      <c r="N65" s="170">
        <v>5631.1900000000005</v>
      </c>
      <c r="O65" s="171">
        <f t="shared" si="20"/>
        <v>-2.7485600588980828E-2</v>
      </c>
      <c r="P65" s="184">
        <f t="shared" si="4"/>
        <v>1.1447455812214423E-2</v>
      </c>
      <c r="Q65" s="171">
        <f t="shared" si="5"/>
        <v>3.2017756355201751E-3</v>
      </c>
      <c r="R65" s="170">
        <f>G65*Q65</f>
        <v>9427.6389353882514</v>
      </c>
      <c r="S65" s="171">
        <f t="shared" ref="S65:S72" si="27">(K65-$J$64)/$J$64</f>
        <v>5.6762428487777801E-2</v>
      </c>
      <c r="T65" s="171">
        <f t="shared" ref="T65:T67" si="28">(N65-$M$64)/$M$64</f>
        <v>-3.6603471260080269E-3</v>
      </c>
      <c r="U65" s="184">
        <f t="shared" si="9"/>
        <v>5.9324671475983415E-2</v>
      </c>
      <c r="V65" s="170">
        <f t="shared" si="10"/>
        <v>163114.96396336067</v>
      </c>
      <c r="W65" s="170">
        <f t="shared" si="11"/>
        <v>156069.99999999971</v>
      </c>
      <c r="X65" s="171">
        <f t="shared" si="24"/>
        <v>-1.6038144776766405E-2</v>
      </c>
      <c r="Y65" s="171">
        <f t="shared" si="25"/>
        <v>-2.7485600588980828E-2</v>
      </c>
      <c r="Z65" s="184">
        <f t="shared" si="14"/>
        <v>1.1447455812214423E-2</v>
      </c>
      <c r="AA65" s="171">
        <f t="shared" si="15"/>
        <v>3.2017756355201751E-3</v>
      </c>
      <c r="AB65" s="170">
        <f t="shared" si="26"/>
        <v>6836.7330637513369</v>
      </c>
      <c r="AC65" s="184">
        <f t="shared" si="18"/>
        <v>6.4708578796708882E-2</v>
      </c>
    </row>
    <row r="66" spans="1:29" s="170" customFormat="1" x14ac:dyDescent="0.15">
      <c r="B66" s="172">
        <v>42509</v>
      </c>
      <c r="C66" s="166" t="s">
        <v>34</v>
      </c>
      <c r="D66" s="166" t="s">
        <v>35</v>
      </c>
      <c r="E66" s="193">
        <v>2749530</v>
      </c>
      <c r="F66" s="170">
        <f t="shared" si="0"/>
        <v>2926080</v>
      </c>
      <c r="G66" s="170">
        <f t="shared" ref="G66:G69" si="29">G65*(1+Q65)</f>
        <v>2953930.9422896206</v>
      </c>
      <c r="H66" s="170">
        <f t="shared" si="1"/>
        <v>2961701.4473968865</v>
      </c>
      <c r="I66" s="170">
        <v>128000</v>
      </c>
      <c r="J66" s="185">
        <v>22.7</v>
      </c>
      <c r="K66" s="185">
        <v>22.86</v>
      </c>
      <c r="L66" s="171">
        <f t="shared" si="19"/>
        <v>7.0484581497797421E-3</v>
      </c>
      <c r="M66" s="170">
        <v>5631.1900000000005</v>
      </c>
      <c r="N66" s="170">
        <v>5666.73</v>
      </c>
      <c r="O66" s="171">
        <f t="shared" si="20"/>
        <v>6.3112770124963023E-3</v>
      </c>
      <c r="P66" s="184">
        <f t="shared" si="4"/>
        <v>7.3718113728343977E-4</v>
      </c>
      <c r="Q66" s="171">
        <f t="shared" si="5"/>
        <v>2.6305642410323305E-3</v>
      </c>
      <c r="R66" s="170">
        <f t="shared" ref="R66:R72" si="30">G66*Q66</f>
        <v>7770.5051072660126</v>
      </c>
      <c r="S66" s="171">
        <f t="shared" si="27"/>
        <v>6.4210974239233512E-2</v>
      </c>
      <c r="T66" s="171">
        <f t="shared" si="28"/>
        <v>2.6278284218141435E-3</v>
      </c>
      <c r="U66" s="184">
        <f t="shared" si="9"/>
        <v>6.2371494343963607E-2</v>
      </c>
      <c r="V66" s="170">
        <f t="shared" si="10"/>
        <v>171492.29484355825</v>
      </c>
      <c r="W66" s="170">
        <f t="shared" si="11"/>
        <v>176549.99999999971</v>
      </c>
      <c r="X66" s="171">
        <f t="shared" si="24"/>
        <v>7.0484581497797421E-3</v>
      </c>
      <c r="Y66" s="171">
        <f t="shared" si="25"/>
        <v>6.3112770124963023E-3</v>
      </c>
      <c r="Z66" s="184">
        <f t="shared" si="14"/>
        <v>7.3718113728343977E-4</v>
      </c>
      <c r="AA66" s="171">
        <f t="shared" si="15"/>
        <v>2.6305642410323305E-3</v>
      </c>
      <c r="AB66" s="170">
        <f t="shared" si="26"/>
        <v>8377.33088019758</v>
      </c>
      <c r="AC66" s="184">
        <f t="shared" si="18"/>
        <v>6.7339143037741217E-2</v>
      </c>
    </row>
    <row r="67" spans="1:29" s="170" customFormat="1" x14ac:dyDescent="0.15">
      <c r="B67" s="172">
        <v>42510</v>
      </c>
      <c r="C67" s="166" t="s">
        <v>34</v>
      </c>
      <c r="D67" s="166" t="s">
        <v>35</v>
      </c>
      <c r="E67" s="193">
        <v>2749530</v>
      </c>
      <c r="F67" s="170">
        <f t="shared" si="0"/>
        <v>2995200</v>
      </c>
      <c r="G67" s="170">
        <f t="shared" si="29"/>
        <v>2961701.4473968865</v>
      </c>
      <c r="H67" s="170">
        <f t="shared" si="1"/>
        <v>3007454.3960625287</v>
      </c>
      <c r="I67" s="170">
        <v>128000</v>
      </c>
      <c r="J67" s="185">
        <v>22.86</v>
      </c>
      <c r="K67" s="185">
        <v>23.4</v>
      </c>
      <c r="L67" s="171">
        <f t="shared" si="19"/>
        <v>2.3622047244094453E-2</v>
      </c>
      <c r="M67" s="170">
        <v>5666.73</v>
      </c>
      <c r="N67" s="170">
        <v>5732.9</v>
      </c>
      <c r="O67" s="171">
        <f t="shared" si="20"/>
        <v>1.1676928316683533E-2</v>
      </c>
      <c r="P67" s="184">
        <f t="shared" si="4"/>
        <v>1.194511892741092E-2</v>
      </c>
      <c r="Q67" s="171">
        <f t="shared" si="5"/>
        <v>1.5448197422415979E-2</v>
      </c>
      <c r="R67" s="170">
        <f t="shared" si="30"/>
        <v>45752.94866564226</v>
      </c>
      <c r="S67" s="171">
        <f t="shared" si="27"/>
        <v>8.9349816150396472E-2</v>
      </c>
      <c r="T67" s="171">
        <f t="shared" si="28"/>
        <v>1.4335441702607744E-2</v>
      </c>
      <c r="U67" s="184">
        <f t="shared" si="9"/>
        <v>7.9315006958571049E-2</v>
      </c>
      <c r="V67" s="170">
        <f t="shared" si="10"/>
        <v>218078.99108279985</v>
      </c>
      <c r="W67" s="170">
        <f t="shared" si="11"/>
        <v>245669.99999999962</v>
      </c>
      <c r="X67" s="171">
        <f t="shared" si="24"/>
        <v>2.3622047244094453E-2</v>
      </c>
      <c r="Y67" s="171">
        <f t="shared" si="25"/>
        <v>1.1676928316683533E-2</v>
      </c>
      <c r="Z67" s="184">
        <f t="shared" si="14"/>
        <v>1.194511892741092E-2</v>
      </c>
      <c r="AA67" s="171">
        <f t="shared" si="15"/>
        <v>1.5448197422415979E-2</v>
      </c>
      <c r="AB67" s="170">
        <f t="shared" si="26"/>
        <v>46586.696239241603</v>
      </c>
      <c r="AC67" s="184">
        <f t="shared" si="18"/>
        <v>8.2787340460157191E-2</v>
      </c>
    </row>
    <row r="68" spans="1:29" s="170" customFormat="1" x14ac:dyDescent="0.15">
      <c r="B68" s="172">
        <v>42513</v>
      </c>
      <c r="C68" s="166" t="s">
        <v>34</v>
      </c>
      <c r="D68" s="166" t="s">
        <v>35</v>
      </c>
      <c r="E68" s="193">
        <v>2749530</v>
      </c>
      <c r="F68" s="170">
        <f t="shared" si="0"/>
        <v>3294720</v>
      </c>
      <c r="G68" s="170">
        <f>G67*(1+Q67)</f>
        <v>3007454.3960625287</v>
      </c>
      <c r="H68" s="170">
        <f t="shared" si="1"/>
        <v>3280078.3613093249</v>
      </c>
      <c r="I68" s="170">
        <v>128000</v>
      </c>
      <c r="J68" s="185">
        <v>23.4</v>
      </c>
      <c r="K68" s="178">
        <v>25.74</v>
      </c>
      <c r="L68" s="171">
        <f t="shared" si="19"/>
        <v>0.1</v>
      </c>
      <c r="M68" s="170">
        <v>5732.9</v>
      </c>
      <c r="N68" s="170">
        <v>5809.48</v>
      </c>
      <c r="O68" s="171">
        <f t="shared" si="20"/>
        <v>1.3357986359434132E-2</v>
      </c>
      <c r="P68" s="184">
        <f t="shared" ref="P68:P69" si="31">L68-O68</f>
        <v>8.6642013640565868E-2</v>
      </c>
      <c r="Q68" s="171">
        <f t="shared" ref="Q68:Q69" si="32">L68*0.3+P68*0.7</f>
        <v>9.0649409548396093E-2</v>
      </c>
      <c r="R68" s="170">
        <f t="shared" si="30"/>
        <v>272623.96524679638</v>
      </c>
      <c r="S68" s="171">
        <f t="shared" si="27"/>
        <v>0.19828479776543612</v>
      </c>
      <c r="T68" s="171">
        <f t="shared" ref="T68:T72" si="33">(N68-$M$64)/$M$64</f>
        <v>2.7884920696761774E-2</v>
      </c>
      <c r="U68" s="184">
        <f t="shared" ref="U68:U74" si="34">(S68-T68)*0.7+S68*0.3</f>
        <v>0.17876535327770288</v>
      </c>
      <c r="V68" s="170">
        <f t="shared" ref="V68:V74" si="35">E68*U68</f>
        <v>491520.7017976424</v>
      </c>
      <c r="W68" s="170">
        <f t="shared" ref="W68:W74" si="36">E68*S68</f>
        <v>545189.99999999953</v>
      </c>
      <c r="X68" s="171">
        <f t="shared" si="24"/>
        <v>0.1</v>
      </c>
      <c r="Y68" s="171">
        <f t="shared" si="25"/>
        <v>1.3357986359434132E-2</v>
      </c>
      <c r="Z68" s="184">
        <f t="shared" si="14"/>
        <v>8.6642013640565868E-2</v>
      </c>
      <c r="AA68" s="171">
        <f t="shared" si="15"/>
        <v>9.0649409548396093E-2</v>
      </c>
      <c r="AB68" s="170">
        <f t="shared" si="26"/>
        <v>273441.71071484254</v>
      </c>
      <c r="AC68" s="184">
        <f t="shared" si="18"/>
        <v>0.1734367500085533</v>
      </c>
    </row>
    <row r="69" spans="1:29" s="170" customFormat="1" x14ac:dyDescent="0.15">
      <c r="B69" s="172">
        <v>42514</v>
      </c>
      <c r="C69" s="166" t="s">
        <v>34</v>
      </c>
      <c r="D69" s="166" t="s">
        <v>35</v>
      </c>
      <c r="E69" s="193">
        <v>2749530</v>
      </c>
      <c r="F69" s="170">
        <f t="shared" si="0"/>
        <v>3219200</v>
      </c>
      <c r="G69" s="170">
        <f t="shared" si="29"/>
        <v>3280078.3613093249</v>
      </c>
      <c r="H69" s="170">
        <f t="shared" si="1"/>
        <v>3231097.423071858</v>
      </c>
      <c r="I69" s="170">
        <v>128000</v>
      </c>
      <c r="J69" s="178">
        <v>25.74</v>
      </c>
      <c r="K69" s="178">
        <v>25.15</v>
      </c>
      <c r="L69" s="171">
        <f t="shared" si="19"/>
        <v>-2.2921522921522917E-2</v>
      </c>
      <c r="M69" s="170">
        <v>5809.48</v>
      </c>
      <c r="N69" s="170">
        <v>5743.18</v>
      </c>
      <c r="O69" s="171">
        <f t="shared" si="20"/>
        <v>-1.1412381142546196E-2</v>
      </c>
      <c r="P69" s="184">
        <f t="shared" si="31"/>
        <v>-1.150914177897672E-2</v>
      </c>
      <c r="Q69" s="171">
        <f t="shared" si="32"/>
        <v>-1.4932856121740577E-2</v>
      </c>
      <c r="R69" s="170">
        <f t="shared" si="30"/>
        <v>-48980.938237466755</v>
      </c>
      <c r="S69" s="171">
        <f t="shared" si="27"/>
        <v>0.17081828530694321</v>
      </c>
      <c r="T69" s="171">
        <f t="shared" si="33"/>
        <v>1.6154306211094455E-2</v>
      </c>
      <c r="U69" s="184">
        <f t="shared" si="34"/>
        <v>0.15951027095917708</v>
      </c>
      <c r="V69" s="170">
        <f t="shared" si="35"/>
        <v>438578.27531038615</v>
      </c>
      <c r="W69" s="170">
        <f t="shared" si="36"/>
        <v>469669.99999999953</v>
      </c>
      <c r="X69" s="171">
        <f t="shared" si="24"/>
        <v>-2.2921522921522917E-2</v>
      </c>
      <c r="Y69" s="171">
        <f t="shared" si="25"/>
        <v>-1.1412381142546196E-2</v>
      </c>
      <c r="Z69" s="184">
        <f t="shared" si="14"/>
        <v>-1.150914177897672E-2</v>
      </c>
      <c r="AA69" s="171">
        <f t="shared" si="15"/>
        <v>-1.4932856121740577E-2</v>
      </c>
      <c r="AB69" s="170">
        <f t="shared" si="26"/>
        <v>-52942.426487256249</v>
      </c>
      <c r="AC69" s="184">
        <f t="shared" si="18"/>
        <v>0.15850389388681271</v>
      </c>
    </row>
    <row r="70" spans="1:29" x14ac:dyDescent="0.15">
      <c r="B70" s="172">
        <v>42515</v>
      </c>
      <c r="C70" s="166" t="s">
        <v>34</v>
      </c>
      <c r="D70" s="166" t="s">
        <v>35</v>
      </c>
      <c r="E70" s="193">
        <v>2749530</v>
      </c>
      <c r="F70" s="170">
        <f t="shared" si="0"/>
        <v>3232000</v>
      </c>
      <c r="G70" s="170">
        <f t="shared" ref="G70" si="37">G69*(1+Q69)</f>
        <v>3231097.423071858</v>
      </c>
      <c r="H70" s="170">
        <f t="shared" ref="H70" si="38">G70*(1+Q70)</f>
        <v>3254971.6355368765</v>
      </c>
      <c r="I70" s="170">
        <v>128000</v>
      </c>
      <c r="J70" s="178">
        <v>25.15</v>
      </c>
      <c r="K70" s="178">
        <v>25.25</v>
      </c>
      <c r="L70" s="65">
        <f t="shared" si="19"/>
        <v>3.9761431411531383E-3</v>
      </c>
      <c r="M70" s="177">
        <v>5743.18</v>
      </c>
      <c r="N70" s="177">
        <v>5715.18</v>
      </c>
      <c r="O70" s="171">
        <f t="shared" ref="O70:O79" si="39">(N70-M70)/M70</f>
        <v>-4.8753478038299335E-3</v>
      </c>
      <c r="P70" s="184">
        <f t="shared" ref="P70:P79" si="40">L70-O70</f>
        <v>8.851490944983071E-3</v>
      </c>
      <c r="Q70" s="171">
        <f t="shared" ref="Q70:Q79" si="41">L70*0.3+P70*0.7</f>
        <v>7.3888866038340903E-3</v>
      </c>
      <c r="R70" s="170">
        <f t="shared" si="30"/>
        <v>23874.212465018503</v>
      </c>
      <c r="S70" s="67">
        <f t="shared" si="27"/>
        <v>0.17547362640160311</v>
      </c>
      <c r="T70" s="67">
        <f t="shared" si="33"/>
        <v>1.1200200545955868E-2</v>
      </c>
      <c r="U70" s="192">
        <f t="shared" si="34"/>
        <v>0.16763348601943401</v>
      </c>
      <c r="V70" s="183">
        <f t="shared" si="35"/>
        <v>460913.29881501436</v>
      </c>
      <c r="W70" s="183">
        <f t="shared" si="36"/>
        <v>482469.99999999977</v>
      </c>
      <c r="X70" s="171">
        <f t="shared" si="24"/>
        <v>3.9761431411531383E-3</v>
      </c>
      <c r="Y70" s="171">
        <f t="shared" si="25"/>
        <v>-4.8753478038299335E-3</v>
      </c>
      <c r="Z70" s="184">
        <f t="shared" si="14"/>
        <v>8.851490944983071E-3</v>
      </c>
      <c r="AA70" s="171">
        <f t="shared" si="15"/>
        <v>7.3888866038340903E-3</v>
      </c>
      <c r="AB70" s="170">
        <f t="shared" si="26"/>
        <v>22335.023504628218</v>
      </c>
      <c r="AC70" s="184">
        <f t="shared" si="18"/>
        <v>0.16589278049064679</v>
      </c>
    </row>
    <row r="71" spans="1:29" x14ac:dyDescent="0.15">
      <c r="B71" s="172">
        <v>42516</v>
      </c>
      <c r="C71" s="166" t="s">
        <v>34</v>
      </c>
      <c r="D71" s="166" t="s">
        <v>35</v>
      </c>
      <c r="E71" s="193">
        <v>2749530</v>
      </c>
      <c r="F71" s="183">
        <f t="shared" si="0"/>
        <v>3372800</v>
      </c>
      <c r="G71" s="170">
        <f t="shared" ref="G71" si="42">G70*(1+Q70)</f>
        <v>3254971.6355368765</v>
      </c>
      <c r="H71" s="170">
        <f t="shared" ref="H71" si="43">G71*(1+Q71)</f>
        <v>3385127.1816482968</v>
      </c>
      <c r="I71" s="170">
        <v>128000</v>
      </c>
      <c r="J71" s="178">
        <v>25.25</v>
      </c>
      <c r="K71" s="178">
        <v>26.35</v>
      </c>
      <c r="L71" s="65">
        <f t="shared" si="19"/>
        <v>4.3564356435643624E-2</v>
      </c>
      <c r="M71" s="177">
        <v>5715.18</v>
      </c>
      <c r="N71" s="177">
        <v>5744.39</v>
      </c>
      <c r="O71" s="171">
        <f t="shared" si="39"/>
        <v>5.1109501363036745E-3</v>
      </c>
      <c r="P71" s="184">
        <f t="shared" si="40"/>
        <v>3.8453406299339951E-2</v>
      </c>
      <c r="Q71" s="171">
        <f t="shared" si="41"/>
        <v>3.9986691340231049E-2</v>
      </c>
      <c r="R71" s="170">
        <f t="shared" si="30"/>
        <v>130155.54611142012</v>
      </c>
      <c r="S71" s="67">
        <f t="shared" si="27"/>
        <v>0.22668237844286113</v>
      </c>
      <c r="T71" s="67">
        <f t="shared" si="33"/>
        <v>1.6368394348766524E-2</v>
      </c>
      <c r="U71" s="192">
        <f t="shared" si="34"/>
        <v>0.21522450239872454</v>
      </c>
      <c r="V71" s="183">
        <f t="shared" si="35"/>
        <v>591766.22608036513</v>
      </c>
      <c r="W71" s="183">
        <f t="shared" si="36"/>
        <v>623270</v>
      </c>
      <c r="X71" s="171">
        <f t="shared" si="24"/>
        <v>4.3564356435643624E-2</v>
      </c>
      <c r="Y71" s="171">
        <f t="shared" si="25"/>
        <v>5.1109501363036745E-3</v>
      </c>
      <c r="Z71" s="184">
        <f t="shared" si="14"/>
        <v>3.8453406299339951E-2</v>
      </c>
      <c r="AA71" s="171">
        <f t="shared" si="15"/>
        <v>3.9986691340231049E-2</v>
      </c>
      <c r="AB71" s="170">
        <f t="shared" si="26"/>
        <v>130852.92726535077</v>
      </c>
      <c r="AC71" s="184">
        <f t="shared" si="18"/>
        <v>0.20587947183087785</v>
      </c>
    </row>
    <row r="72" spans="1:29" x14ac:dyDescent="0.15">
      <c r="B72" s="172">
        <v>42517</v>
      </c>
      <c r="C72" s="166" t="s">
        <v>34</v>
      </c>
      <c r="D72" s="166" t="s">
        <v>35</v>
      </c>
      <c r="E72" s="193">
        <v>2749530</v>
      </c>
      <c r="F72" s="183">
        <f t="shared" si="0"/>
        <v>3251200</v>
      </c>
      <c r="G72" s="170">
        <f t="shared" ref="G72" si="44">G71*(1+Q71)</f>
        <v>3385127.1816482968</v>
      </c>
      <c r="H72" s="170">
        <f t="shared" ref="H72" si="45">G72*(1+Q72)</f>
        <v>3265062.7716782144</v>
      </c>
      <c r="I72" s="170">
        <v>128000</v>
      </c>
      <c r="J72" s="178">
        <v>26.35</v>
      </c>
      <c r="K72" s="178">
        <v>25.4</v>
      </c>
      <c r="L72" s="65">
        <f t="shared" si="19"/>
        <v>-3.6053130929791379E-2</v>
      </c>
      <c r="M72" s="177">
        <v>5744.39</v>
      </c>
      <c r="N72" s="177">
        <v>5739.59</v>
      </c>
      <c r="O72" s="65">
        <f t="shared" si="39"/>
        <v>-8.3559786156583754E-4</v>
      </c>
      <c r="P72" s="192">
        <f t="shared" si="40"/>
        <v>-3.5217533068225539E-2</v>
      </c>
      <c r="Q72" s="67">
        <f t="shared" si="41"/>
        <v>-3.5468212426695289E-2</v>
      </c>
      <c r="R72" s="170">
        <f t="shared" si="30"/>
        <v>-120064.40997008212</v>
      </c>
      <c r="S72" s="67">
        <f t="shared" si="27"/>
        <v>0.18245663804359274</v>
      </c>
      <c r="T72" s="67">
        <f t="shared" si="33"/>
        <v>1.5519119091885591E-2</v>
      </c>
      <c r="U72" s="192">
        <f t="shared" si="34"/>
        <v>0.17159325467927283</v>
      </c>
      <c r="V72" s="183">
        <f t="shared" si="35"/>
        <v>471800.80153830105</v>
      </c>
      <c r="W72" s="183">
        <f t="shared" si="36"/>
        <v>501669.99999999953</v>
      </c>
      <c r="X72" s="171">
        <f t="shared" si="24"/>
        <v>-3.6053130929791379E-2</v>
      </c>
      <c r="Y72" s="171">
        <f t="shared" si="25"/>
        <v>-8.3559786156583754E-4</v>
      </c>
      <c r="Z72" s="184">
        <f t="shared" si="14"/>
        <v>-3.5217533068225539E-2</v>
      </c>
      <c r="AA72" s="171">
        <f t="shared" si="15"/>
        <v>-3.5468212426695289E-2</v>
      </c>
      <c r="AB72" s="170">
        <f t="shared" si="26"/>
        <v>-119965.42454206408</v>
      </c>
      <c r="AC72" s="184">
        <f t="shared" si="18"/>
        <v>0.17041125940418256</v>
      </c>
    </row>
    <row r="73" spans="1:29" x14ac:dyDescent="0.15">
      <c r="A73" t="s">
        <v>100</v>
      </c>
      <c r="B73" s="172">
        <v>42520</v>
      </c>
      <c r="C73" s="166" t="s">
        <v>34</v>
      </c>
      <c r="D73" s="166" t="s">
        <v>35</v>
      </c>
      <c r="E73">
        <v>860250</v>
      </c>
      <c r="F73" s="183">
        <f t="shared" si="0"/>
        <v>1251840</v>
      </c>
      <c r="G73" s="170">
        <v>883580</v>
      </c>
      <c r="H73" s="183">
        <f t="shared" ref="H73:H78" si="46">G73*(1+Q73)</f>
        <v>1271927.8675887554</v>
      </c>
      <c r="I73">
        <v>51200</v>
      </c>
      <c r="J73">
        <v>16.8017578125</v>
      </c>
      <c r="K73" s="178">
        <v>24.45</v>
      </c>
      <c r="L73" s="65">
        <f t="shared" si="19"/>
        <v>0.45520488230165645</v>
      </c>
      <c r="M73">
        <v>5586.1130777639792</v>
      </c>
      <c r="N73" s="177">
        <v>5711.31</v>
      </c>
      <c r="O73" s="65">
        <f t="shared" si="39"/>
        <v>2.2412171127430044E-2</v>
      </c>
      <c r="P73" s="192">
        <f t="shared" si="40"/>
        <v>0.43279271117422641</v>
      </c>
      <c r="Q73" s="67">
        <f t="shared" si="41"/>
        <v>0.43951636251245541</v>
      </c>
      <c r="R73" s="183">
        <f t="shared" ref="R73:R79" si="47">G73*Q73</f>
        <v>388347.86758875533</v>
      </c>
      <c r="S73" s="67">
        <f t="shared" ref="S73:S79" si="48">(K73-$J$73)/$J$73</f>
        <v>0.45520488230165645</v>
      </c>
      <c r="T73" s="67">
        <f t="shared" ref="T73:T79" si="49">(N73-$M$73)/$M$73</f>
        <v>2.2412171127430044E-2</v>
      </c>
      <c r="U73" s="192">
        <f t="shared" si="34"/>
        <v>0.43951636251245541</v>
      </c>
      <c r="V73" s="183">
        <f t="shared" si="35"/>
        <v>378093.95085133979</v>
      </c>
      <c r="W73" s="183">
        <f t="shared" si="36"/>
        <v>391589.99999999994</v>
      </c>
      <c r="X73" s="171">
        <f t="shared" si="24"/>
        <v>-3.7401574803149581E-2</v>
      </c>
      <c r="Y73" s="171">
        <f t="shared" si="25"/>
        <v>-4.9271812098076245E-3</v>
      </c>
      <c r="Z73" s="184">
        <f t="shared" si="14"/>
        <v>-3.2474393593341956E-2</v>
      </c>
      <c r="AA73" s="171">
        <f t="shared" si="15"/>
        <v>-3.3952547956284246E-2</v>
      </c>
      <c r="AB73" s="170">
        <f t="shared" si="26"/>
        <v>-93706.850686961261</v>
      </c>
      <c r="AC73" s="184">
        <f t="shared" si="18"/>
        <v>0.13645871144789831</v>
      </c>
    </row>
    <row r="74" spans="1:29" x14ac:dyDescent="0.15">
      <c r="B74" s="172">
        <v>42521</v>
      </c>
      <c r="C74" s="166" t="s">
        <v>34</v>
      </c>
      <c r="D74" s="166" t="s">
        <v>35</v>
      </c>
      <c r="E74" s="180">
        <v>860250</v>
      </c>
      <c r="F74" s="183">
        <f t="shared" si="0"/>
        <v>1345024</v>
      </c>
      <c r="G74" s="170">
        <v>1271927.8675887554</v>
      </c>
      <c r="H74" s="183">
        <f t="shared" si="46"/>
        <v>1329815.0085229343</v>
      </c>
      <c r="I74" s="180">
        <v>51200</v>
      </c>
      <c r="J74" s="178">
        <v>24.45</v>
      </c>
      <c r="K74" s="178">
        <v>26.27</v>
      </c>
      <c r="L74" s="65">
        <f t="shared" si="19"/>
        <v>7.443762781186096E-2</v>
      </c>
      <c r="M74">
        <v>5711.31</v>
      </c>
      <c r="N74" s="177">
        <v>5947.32</v>
      </c>
      <c r="O74" s="65">
        <f t="shared" si="39"/>
        <v>4.1323269092379732E-2</v>
      </c>
      <c r="P74" s="192">
        <f t="shared" si="40"/>
        <v>3.3114358719481228E-2</v>
      </c>
      <c r="Q74" s="67">
        <f t="shared" si="41"/>
        <v>4.5511339447195147E-2</v>
      </c>
      <c r="R74" s="183">
        <f t="shared" si="47"/>
        <v>57887.140934178933</v>
      </c>
      <c r="S74" s="67">
        <f t="shared" si="48"/>
        <v>0.56352688172043008</v>
      </c>
      <c r="T74" s="67">
        <f t="shared" si="49"/>
        <v>6.4661584398253036E-2</v>
      </c>
      <c r="U74" s="192">
        <f t="shared" si="34"/>
        <v>0.51826377264165291</v>
      </c>
      <c r="V74" s="183">
        <f t="shared" si="35"/>
        <v>445836.41041498189</v>
      </c>
      <c r="W74" s="183">
        <f t="shared" si="36"/>
        <v>484774</v>
      </c>
      <c r="X74" s="171">
        <f t="shared" si="24"/>
        <v>7.443762781186096E-2</v>
      </c>
      <c r="Y74" s="171">
        <f t="shared" si="25"/>
        <v>4.1323269092379732E-2</v>
      </c>
      <c r="Z74" s="184">
        <f t="shared" si="14"/>
        <v>3.3114358719481228E-2</v>
      </c>
      <c r="AA74" s="171">
        <f t="shared" si="15"/>
        <v>4.5511339447195147E-2</v>
      </c>
      <c r="AB74" s="170">
        <f>R74</f>
        <v>57887.140934178933</v>
      </c>
      <c r="AC74" s="184">
        <f t="shared" si="18"/>
        <v>0.18197005089509347</v>
      </c>
    </row>
    <row r="75" spans="1:29" x14ac:dyDescent="0.15">
      <c r="B75" s="172">
        <v>42522</v>
      </c>
      <c r="C75" s="166" t="s">
        <v>34</v>
      </c>
      <c r="D75" s="166" t="s">
        <v>35</v>
      </c>
      <c r="E75" s="180">
        <v>860250</v>
      </c>
      <c r="F75" s="183">
        <f t="shared" si="0"/>
        <v>1391104</v>
      </c>
      <c r="G75">
        <f t="shared" ref="G75:G80" si="50">G74*(1+Q74)</f>
        <v>1329815.0085229343</v>
      </c>
      <c r="H75" s="183">
        <f t="shared" si="46"/>
        <v>1371232.4530673733</v>
      </c>
      <c r="I75" s="180">
        <v>51200</v>
      </c>
      <c r="J75" s="178">
        <v>26.27</v>
      </c>
      <c r="K75" s="178">
        <v>27.17</v>
      </c>
      <c r="L75" s="65">
        <f t="shared" si="19"/>
        <v>3.4259611724400542E-2</v>
      </c>
      <c r="M75">
        <v>5947.32</v>
      </c>
      <c r="N75" s="177">
        <v>5973.78</v>
      </c>
      <c r="O75" s="65">
        <f t="shared" si="39"/>
        <v>4.449062771130532E-3</v>
      </c>
      <c r="P75" s="192">
        <f t="shared" si="40"/>
        <v>2.9810548953270011E-2</v>
      </c>
      <c r="Q75" s="67">
        <f t="shared" si="41"/>
        <v>3.1145267784609167E-2</v>
      </c>
      <c r="R75" s="183">
        <f t="shared" si="47"/>
        <v>41417.444544439109</v>
      </c>
      <c r="S75" s="168">
        <f t="shared" si="48"/>
        <v>0.61709270560883478</v>
      </c>
      <c r="T75" s="168">
        <f t="shared" si="49"/>
        <v>6.9398330617252146E-2</v>
      </c>
      <c r="U75" s="192">
        <f t="shared" ref="U75" si="51">(S75-T75)*0.7+S75*0.3</f>
        <v>0.56851387417675825</v>
      </c>
      <c r="V75" s="183">
        <f t="shared" ref="V75" si="52">E75*U75</f>
        <v>489064.06026055629</v>
      </c>
      <c r="W75" s="183">
        <f t="shared" ref="W75" si="53">E75*S75</f>
        <v>530854.00000000012</v>
      </c>
      <c r="X75" s="171">
        <f t="shared" ref="X75" si="54">(K75-K74)/K74</f>
        <v>3.4259611724400542E-2</v>
      </c>
      <c r="Y75" s="171">
        <f t="shared" ref="Y75" si="55">(N75-N74)/N74</f>
        <v>4.449062771130532E-3</v>
      </c>
      <c r="Z75" s="184">
        <f t="shared" ref="Z75" si="56">X75-Y75</f>
        <v>2.9810548953270011E-2</v>
      </c>
      <c r="AA75" s="171">
        <f t="shared" ref="AA75" si="57">X75*0.3+Z75*0.7</f>
        <v>3.1145267784609167E-2</v>
      </c>
      <c r="AB75" s="170">
        <f t="shared" ref="AB75:AB76" si="58">R75</f>
        <v>41417.444544439109</v>
      </c>
      <c r="AC75" s="184">
        <f t="shared" ref="AC75" si="59">AA75+AC74</f>
        <v>0.21311531867970263</v>
      </c>
    </row>
    <row r="76" spans="1:29" x14ac:dyDescent="0.15">
      <c r="B76" s="172">
        <v>42523</v>
      </c>
      <c r="C76" s="166" t="s">
        <v>34</v>
      </c>
      <c r="D76" s="166" t="s">
        <v>35</v>
      </c>
      <c r="E76">
        <v>860250</v>
      </c>
      <c r="F76" s="183">
        <f t="shared" si="0"/>
        <v>1402368</v>
      </c>
      <c r="G76" s="180">
        <f t="shared" si="50"/>
        <v>1371232.4530673733</v>
      </c>
      <c r="H76" s="183">
        <f t="shared" si="46"/>
        <v>1375890.7036111364</v>
      </c>
      <c r="I76">
        <v>51200</v>
      </c>
      <c r="J76" s="178">
        <v>27.17</v>
      </c>
      <c r="K76" s="178">
        <v>27.39</v>
      </c>
      <c r="L76" s="65">
        <f t="shared" si="19"/>
        <v>8.0971659919027925E-3</v>
      </c>
      <c r="M76">
        <v>5973.78</v>
      </c>
      <c r="N76" s="177">
        <v>6013.89</v>
      </c>
      <c r="O76" s="65">
        <f t="shared" si="39"/>
        <v>6.7143416731115946E-3</v>
      </c>
      <c r="P76" s="192">
        <f t="shared" si="40"/>
        <v>1.3828243187911978E-3</v>
      </c>
      <c r="Q76" s="67">
        <f t="shared" si="41"/>
        <v>3.397126820724676E-3</v>
      </c>
      <c r="R76" s="183">
        <f t="shared" si="47"/>
        <v>4658.2505437632644</v>
      </c>
      <c r="S76" s="168">
        <f t="shared" si="48"/>
        <v>0.63018657367044473</v>
      </c>
      <c r="T76" s="168">
        <f t="shared" si="49"/>
        <v>7.6578636393671531E-2</v>
      </c>
      <c r="U76" s="192">
        <f t="shared" ref="U76:U79" si="60">(S76-T76)*0.7+S76*0.3</f>
        <v>0.57658152819487463</v>
      </c>
      <c r="V76" s="183">
        <f t="shared" ref="V76:V79" si="61">E76*U76</f>
        <v>496004.2596296409</v>
      </c>
      <c r="W76" s="183">
        <f t="shared" ref="W76:W79" si="62">E76*S76</f>
        <v>542118.00000000012</v>
      </c>
      <c r="X76" s="171">
        <f t="shared" ref="X76" si="63">(K76-K75)/K75</f>
        <v>8.0971659919027925E-3</v>
      </c>
      <c r="Y76" s="171">
        <f t="shared" ref="Y76" si="64">(N76-N75)/N75</f>
        <v>6.7143416731115946E-3</v>
      </c>
      <c r="Z76" s="184">
        <f t="shared" ref="Z76" si="65">X76-Y76</f>
        <v>1.3828243187911978E-3</v>
      </c>
      <c r="AA76" s="171">
        <f t="shared" ref="AA76" si="66">X76*0.3+Z76*0.7</f>
        <v>3.397126820724676E-3</v>
      </c>
      <c r="AB76" s="170">
        <f t="shared" si="58"/>
        <v>4658.2505437632644</v>
      </c>
      <c r="AC76" s="184">
        <f t="shared" ref="AC76" si="67">AA76+AC75</f>
        <v>0.21651244550042731</v>
      </c>
    </row>
    <row r="77" spans="1:29" x14ac:dyDescent="0.15">
      <c r="B77" s="172">
        <v>42524</v>
      </c>
      <c r="C77" s="166" t="s">
        <v>34</v>
      </c>
      <c r="D77" s="166" t="s">
        <v>35</v>
      </c>
      <c r="E77" s="180">
        <v>860250</v>
      </c>
      <c r="F77" s="183">
        <f t="shared" si="0"/>
        <v>1371136</v>
      </c>
      <c r="G77" s="180">
        <f t="shared" si="50"/>
        <v>1375890.7036111364</v>
      </c>
      <c r="H77" s="183">
        <f t="shared" si="46"/>
        <v>1342251.9734616948</v>
      </c>
      <c r="I77" s="180">
        <v>51200</v>
      </c>
      <c r="J77" s="178">
        <v>27.39</v>
      </c>
      <c r="K77" s="178">
        <v>26.78</v>
      </c>
      <c r="L77" s="65">
        <f t="shared" si="19"/>
        <v>-2.2270901788974055E-2</v>
      </c>
      <c r="M77">
        <v>6013.89</v>
      </c>
      <c r="N77" s="177">
        <v>6032.6</v>
      </c>
      <c r="O77" s="65">
        <f t="shared" si="39"/>
        <v>3.1111310649180541E-3</v>
      </c>
      <c r="P77" s="192">
        <f t="shared" si="40"/>
        <v>-2.5382032853892109E-2</v>
      </c>
      <c r="Q77" s="67">
        <f t="shared" si="41"/>
        <v>-2.4448693534416692E-2</v>
      </c>
      <c r="R77" s="183">
        <f t="shared" si="47"/>
        <v>-33638.730149441624</v>
      </c>
      <c r="S77" s="67">
        <f t="shared" si="48"/>
        <v>0.59388084859052603</v>
      </c>
      <c r="T77" s="67">
        <f t="shared" si="49"/>
        <v>7.9928013633182998E-2</v>
      </c>
      <c r="U77" s="192">
        <f t="shared" si="60"/>
        <v>0.53793123904729789</v>
      </c>
      <c r="V77" s="183">
        <f t="shared" si="61"/>
        <v>462755.34839043801</v>
      </c>
      <c r="W77" s="183">
        <f t="shared" si="62"/>
        <v>510886</v>
      </c>
      <c r="X77" s="171">
        <f t="shared" ref="X77" si="68">(K77-K76)/K76</f>
        <v>-2.2270901788974055E-2</v>
      </c>
      <c r="Y77" s="171">
        <f t="shared" ref="Y77" si="69">(N77-N76)/N76</f>
        <v>3.1111310649180541E-3</v>
      </c>
      <c r="Z77" s="184">
        <f t="shared" ref="Z77" si="70">X77-Y77</f>
        <v>-2.5382032853892109E-2</v>
      </c>
      <c r="AA77" s="171">
        <f t="shared" ref="AA77" si="71">X77*0.3+Z77*0.7</f>
        <v>-2.4448693534416692E-2</v>
      </c>
      <c r="AB77" s="170">
        <f t="shared" ref="AB77" si="72">R77</f>
        <v>-33638.730149441624</v>
      </c>
      <c r="AC77" s="184">
        <f t="shared" ref="AC77" si="73">AA77+AC76</f>
        <v>0.19206375196601061</v>
      </c>
    </row>
    <row r="78" spans="1:29" x14ac:dyDescent="0.15">
      <c r="B78" s="172">
        <v>42527</v>
      </c>
      <c r="C78" s="166" t="s">
        <v>34</v>
      </c>
      <c r="D78" s="166" t="s">
        <v>35</v>
      </c>
      <c r="E78" s="180">
        <v>860250</v>
      </c>
      <c r="F78" s="183">
        <f t="shared" si="0"/>
        <v>1360384</v>
      </c>
      <c r="G78" s="180">
        <f t="shared" si="50"/>
        <v>1342251.9734616948</v>
      </c>
      <c r="H78" s="183">
        <f t="shared" si="46"/>
        <v>1328726.7309611558</v>
      </c>
      <c r="I78" s="180">
        <v>51200</v>
      </c>
      <c r="J78" s="178">
        <v>26.78</v>
      </c>
      <c r="K78" s="178">
        <v>26.57</v>
      </c>
      <c r="L78" s="65">
        <f t="shared" si="19"/>
        <v>-7.8416728902166114E-3</v>
      </c>
      <c r="M78" s="177">
        <v>6032.6</v>
      </c>
      <c r="N78" s="177">
        <v>6051.86</v>
      </c>
      <c r="O78" s="65">
        <f t="shared" si="39"/>
        <v>3.1926532506712374E-3</v>
      </c>
      <c r="P78" s="192">
        <f t="shared" si="40"/>
        <v>-1.1034326140887849E-2</v>
      </c>
      <c r="Q78" s="67">
        <f t="shared" si="41"/>
        <v>-1.0076530165686477E-2</v>
      </c>
      <c r="R78" s="183">
        <f t="shared" si="47"/>
        <v>-13525.242500538972</v>
      </c>
      <c r="S78" s="67">
        <f t="shared" si="48"/>
        <v>0.58138215634989832</v>
      </c>
      <c r="T78" s="67">
        <f t="shared" si="49"/>
        <v>8.3375849316399922E-2</v>
      </c>
      <c r="U78" s="192">
        <f t="shared" si="60"/>
        <v>0.52301906182841829</v>
      </c>
      <c r="V78" s="183">
        <f t="shared" si="61"/>
        <v>449927.14793789684</v>
      </c>
      <c r="W78" s="183">
        <f t="shared" si="62"/>
        <v>500134</v>
      </c>
      <c r="X78" s="171">
        <f t="shared" ref="X78" si="74">(K78-K77)/K77</f>
        <v>-7.8416728902166114E-3</v>
      </c>
      <c r="Y78" s="171">
        <f t="shared" ref="Y78" si="75">(N78-N77)/N77</f>
        <v>3.1926532506712374E-3</v>
      </c>
      <c r="Z78" s="184">
        <f t="shared" ref="Z78" si="76">X78-Y78</f>
        <v>-1.1034326140887849E-2</v>
      </c>
      <c r="AA78" s="171">
        <f t="shared" ref="AA78" si="77">X78*0.3+Z78*0.7</f>
        <v>-1.0076530165686477E-2</v>
      </c>
      <c r="AB78" s="170">
        <f t="shared" ref="AB78" si="78">R78</f>
        <v>-13525.242500538972</v>
      </c>
      <c r="AC78" s="184">
        <f t="shared" ref="AC78" si="79">AA78+AC77</f>
        <v>0.18198722180032414</v>
      </c>
    </row>
    <row r="79" spans="1:29" x14ac:dyDescent="0.15">
      <c r="B79" s="172">
        <v>42528</v>
      </c>
      <c r="C79" s="166" t="s">
        <v>34</v>
      </c>
      <c r="D79" s="166" t="s">
        <v>35</v>
      </c>
      <c r="E79" s="180">
        <v>860250</v>
      </c>
      <c r="F79" s="183">
        <f t="shared" si="0"/>
        <v>1406464</v>
      </c>
      <c r="G79" s="180">
        <f t="shared" si="50"/>
        <v>1328726.7309611558</v>
      </c>
      <c r="H79" s="183">
        <f t="shared" ref="H79" si="80">G79*(1+Q79)</f>
        <v>1374733.3941970936</v>
      </c>
      <c r="I79" s="180">
        <v>51200</v>
      </c>
      <c r="J79" s="178">
        <v>26.57</v>
      </c>
      <c r="K79" s="178">
        <v>27.47</v>
      </c>
      <c r="L79" s="65">
        <f t="shared" si="19"/>
        <v>3.3872788859616053E-2</v>
      </c>
      <c r="M79" s="177">
        <v>6051.86</v>
      </c>
      <c r="N79" s="177">
        <v>6045.36</v>
      </c>
      <c r="O79" s="65">
        <f t="shared" si="39"/>
        <v>-1.0740499614994398E-3</v>
      </c>
      <c r="P79" s="192">
        <f t="shared" si="40"/>
        <v>3.4946838821115496E-2</v>
      </c>
      <c r="Q79" s="67">
        <f t="shared" si="41"/>
        <v>3.4624623832665659E-2</v>
      </c>
      <c r="R79" s="183">
        <f t="shared" si="47"/>
        <v>46006.663235937565</v>
      </c>
      <c r="S79" s="67">
        <f t="shared" si="48"/>
        <v>0.63494798023830279</v>
      </c>
      <c r="T79" s="67">
        <f t="shared" si="49"/>
        <v>8.2212249527152212E-2</v>
      </c>
      <c r="U79" s="192">
        <f t="shared" si="60"/>
        <v>0.57739940556929625</v>
      </c>
      <c r="V79" s="183">
        <f t="shared" si="61"/>
        <v>496707.83864098712</v>
      </c>
      <c r="W79" s="183">
        <f t="shared" si="62"/>
        <v>546214</v>
      </c>
      <c r="X79" s="171">
        <f t="shared" ref="X79" si="81">(K79-K78)/K78</f>
        <v>3.3872788859616053E-2</v>
      </c>
      <c r="Y79" s="171">
        <f t="shared" ref="Y79" si="82">(N79-N78)/N78</f>
        <v>-1.0740499614994398E-3</v>
      </c>
      <c r="Z79" s="184">
        <f t="shared" ref="Z79" si="83">X79-Y79</f>
        <v>3.4946838821115496E-2</v>
      </c>
      <c r="AA79" s="171">
        <f t="shared" ref="AA79" si="84">X79*0.3+Z79*0.7</f>
        <v>3.4624623832665659E-2</v>
      </c>
      <c r="AB79" s="170">
        <f t="shared" ref="AB79" si="85">R79</f>
        <v>46006.663235937565</v>
      </c>
      <c r="AC79" s="184">
        <f t="shared" ref="AC79" si="86">AA79+AC78</f>
        <v>0.2166118456329898</v>
      </c>
    </row>
    <row r="80" spans="1:29" x14ac:dyDescent="0.15">
      <c r="A80" t="s">
        <v>120</v>
      </c>
      <c r="B80" s="172">
        <v>42529</v>
      </c>
      <c r="C80" s="166" t="s">
        <v>34</v>
      </c>
      <c r="D80" s="166" t="s">
        <v>35</v>
      </c>
      <c r="E80" s="180">
        <v>860250</v>
      </c>
      <c r="F80" s="183">
        <f t="shared" ref="F80" si="87">K80*I80</f>
        <v>1406464</v>
      </c>
      <c r="G80" s="180">
        <f t="shared" si="50"/>
        <v>1374733.3941970936</v>
      </c>
      <c r="H80" s="183">
        <f t="shared" ref="H80" si="88">G80*(1+Q80)</f>
        <v>1374733.3941970936</v>
      </c>
      <c r="I80" s="180">
        <v>51200</v>
      </c>
      <c r="J80" s="178">
        <v>27.47</v>
      </c>
      <c r="K80" s="178">
        <v>27.47</v>
      </c>
      <c r="L80" s="168">
        <f t="shared" si="19"/>
        <v>0</v>
      </c>
      <c r="M80" s="177">
        <v>6045.36</v>
      </c>
      <c r="N80" s="177">
        <v>6045.36</v>
      </c>
      <c r="O80" s="168">
        <f t="shared" ref="O80" si="89">(N80-M80)/M80</f>
        <v>0</v>
      </c>
      <c r="P80" s="192">
        <f t="shared" ref="P80" si="90">L80-O80</f>
        <v>0</v>
      </c>
      <c r="Q80" s="168">
        <f t="shared" ref="Q80" si="91">L80*0.3+P80*0.7</f>
        <v>0</v>
      </c>
      <c r="R80" s="183">
        <f t="shared" ref="R80" si="92">G80*Q80</f>
        <v>0</v>
      </c>
      <c r="S80" s="168">
        <f t="shared" ref="S80" si="93">(K80-$J$73)/$J$73</f>
        <v>0.63494798023830279</v>
      </c>
      <c r="T80" s="168">
        <f t="shared" ref="T80" si="94">(N80-$M$73)/$M$73</f>
        <v>8.2212249527152212E-2</v>
      </c>
      <c r="U80" s="192">
        <f t="shared" ref="U80" si="95">(S80-T80)*0.7+S80*0.3</f>
        <v>0.57739940556929625</v>
      </c>
      <c r="V80" s="183">
        <f t="shared" ref="V80" si="96">E80*U80</f>
        <v>496707.83864098712</v>
      </c>
      <c r="W80" s="183">
        <f t="shared" ref="W80" si="97">E80*S80</f>
        <v>546214</v>
      </c>
      <c r="X80" s="171">
        <f t="shared" ref="X80" si="98">(K80-K79)/K79</f>
        <v>0</v>
      </c>
      <c r="Y80" s="171">
        <f t="shared" ref="Y80" si="99">(N80-N79)/N79</f>
        <v>0</v>
      </c>
      <c r="Z80" s="184">
        <f t="shared" ref="Z80" si="100">X80-Y80</f>
        <v>0</v>
      </c>
      <c r="AA80" s="171">
        <f t="shared" ref="AA80" si="101">X80*0.3+Z80*0.7</f>
        <v>0</v>
      </c>
      <c r="AB80" s="170">
        <f t="shared" ref="AB80" si="102">R80</f>
        <v>0</v>
      </c>
      <c r="AC80" s="184">
        <f t="shared" ref="AC80" si="103">AA80+AC79</f>
        <v>0.2166118456329898</v>
      </c>
    </row>
    <row r="81" spans="2:29" x14ac:dyDescent="0.15">
      <c r="B81" s="172">
        <v>42534</v>
      </c>
      <c r="C81" s="166" t="s">
        <v>34</v>
      </c>
      <c r="D81" s="166" t="s">
        <v>35</v>
      </c>
      <c r="E81" s="180">
        <v>860250</v>
      </c>
      <c r="F81" s="183">
        <f t="shared" ref="F81" si="104">K81*I81</f>
        <v>1406464</v>
      </c>
      <c r="G81" s="180">
        <f t="shared" ref="G81" si="105">G80*(1+Q80)</f>
        <v>1374733.3941970936</v>
      </c>
      <c r="H81" s="183">
        <f t="shared" ref="H81" si="106">G81*(1+Q81)</f>
        <v>1374733.3941970936</v>
      </c>
      <c r="I81" s="180">
        <v>51200</v>
      </c>
      <c r="J81" s="178">
        <v>27.47</v>
      </c>
      <c r="K81" s="178">
        <v>27.47</v>
      </c>
      <c r="L81" s="168">
        <f t="shared" ref="L81" si="107">(K81-J81)/J81</f>
        <v>0</v>
      </c>
      <c r="M81" s="177">
        <v>6045.36</v>
      </c>
      <c r="N81" s="177">
        <v>6045.36</v>
      </c>
      <c r="O81" s="168">
        <f t="shared" ref="O81" si="108">(N81-M81)/M81</f>
        <v>0</v>
      </c>
      <c r="P81" s="192">
        <f t="shared" ref="P81" si="109">L81-O81</f>
        <v>0</v>
      </c>
      <c r="Q81" s="168">
        <f t="shared" ref="Q81" si="110">L81*0.3+P81*0.7</f>
        <v>0</v>
      </c>
      <c r="R81" s="183">
        <f t="shared" ref="R81" si="111">G81*Q81</f>
        <v>0</v>
      </c>
      <c r="S81" s="168">
        <f t="shared" ref="S81" si="112">(K81-$J$73)/$J$73</f>
        <v>0.63494798023830279</v>
      </c>
      <c r="T81" s="168">
        <f t="shared" ref="T81" si="113">(N81-$M$73)/$M$73</f>
        <v>8.2212249527152212E-2</v>
      </c>
      <c r="U81" s="192">
        <f t="shared" ref="U81" si="114">(S81-T81)*0.7+S81*0.3</f>
        <v>0.57739940556929625</v>
      </c>
      <c r="V81" s="183">
        <f t="shared" ref="V81" si="115">E81*U81</f>
        <v>496707.83864098712</v>
      </c>
      <c r="W81" s="183">
        <f t="shared" ref="W81" si="116">E81*S81</f>
        <v>546214</v>
      </c>
      <c r="X81" s="171">
        <f t="shared" ref="X81" si="117">(K81-K80)/K80</f>
        <v>0</v>
      </c>
      <c r="Y81" s="171">
        <f t="shared" ref="Y81" si="118">(N81-N80)/N80</f>
        <v>0</v>
      </c>
      <c r="Z81" s="184">
        <f t="shared" ref="Z81" si="119">X81-Y81</f>
        <v>0</v>
      </c>
      <c r="AA81" s="171">
        <f t="shared" ref="AA81" si="120">X81*0.3+Z81*0.7</f>
        <v>0</v>
      </c>
      <c r="AB81" s="170">
        <f t="shared" ref="AB81" si="121">R81</f>
        <v>0</v>
      </c>
      <c r="AC81" s="184">
        <f t="shared" ref="AC81" si="122">AA81+AC80</f>
        <v>0.2166118456329898</v>
      </c>
    </row>
    <row r="82" spans="2:29" x14ac:dyDescent="0.15">
      <c r="B82" s="172">
        <v>42535</v>
      </c>
      <c r="C82" s="166" t="s">
        <v>34</v>
      </c>
      <c r="D82" s="166" t="s">
        <v>35</v>
      </c>
      <c r="E82" s="180">
        <v>860250</v>
      </c>
      <c r="F82" s="183">
        <f t="shared" ref="F82" si="123">K82*I82</f>
        <v>1406464</v>
      </c>
      <c r="G82" s="180">
        <f t="shared" ref="G82" si="124">G81*(1+Q81)</f>
        <v>1374733.3941970936</v>
      </c>
      <c r="H82" s="183">
        <f t="shared" ref="H82" si="125">G82*(1+Q82)</f>
        <v>1374733.3941970936</v>
      </c>
      <c r="I82" s="180">
        <v>51200</v>
      </c>
      <c r="J82" s="178">
        <v>27.47</v>
      </c>
      <c r="K82" s="178">
        <v>27.47</v>
      </c>
      <c r="L82" s="168">
        <f t="shared" ref="L82" si="126">(K82-J82)/J82</f>
        <v>0</v>
      </c>
      <c r="M82" s="177">
        <v>6045.36</v>
      </c>
      <c r="N82" s="177">
        <v>6045.36</v>
      </c>
      <c r="O82" s="168">
        <f t="shared" ref="O82" si="127">(N82-M82)/M82</f>
        <v>0</v>
      </c>
      <c r="P82" s="192">
        <f t="shared" ref="P82" si="128">L82-O82</f>
        <v>0</v>
      </c>
      <c r="Q82" s="168">
        <f t="shared" ref="Q82" si="129">L82*0.3+P82*0.7</f>
        <v>0</v>
      </c>
      <c r="R82" s="183">
        <f t="shared" ref="R82" si="130">G82*Q82</f>
        <v>0</v>
      </c>
      <c r="S82" s="168">
        <f t="shared" ref="S82" si="131">(K82-$J$73)/$J$73</f>
        <v>0.63494798023830279</v>
      </c>
      <c r="T82" s="168">
        <f t="shared" ref="T82" si="132">(N82-$M$73)/$M$73</f>
        <v>8.2212249527152212E-2</v>
      </c>
      <c r="U82" s="192">
        <f t="shared" ref="U82" si="133">(S82-T82)*0.7+S82*0.3</f>
        <v>0.57739940556929625</v>
      </c>
      <c r="V82" s="183">
        <f t="shared" ref="V82" si="134">E82*U82</f>
        <v>496707.83864098712</v>
      </c>
      <c r="W82" s="183">
        <f t="shared" ref="W82" si="135">E82*S82</f>
        <v>546214</v>
      </c>
      <c r="X82" s="171">
        <f t="shared" ref="X82" si="136">(K82-K81)/K81</f>
        <v>0</v>
      </c>
      <c r="Y82" s="171">
        <f t="shared" ref="Y82" si="137">(N82-N81)/N81</f>
        <v>0</v>
      </c>
      <c r="Z82" s="184">
        <f t="shared" ref="Z82" si="138">X82-Y82</f>
        <v>0</v>
      </c>
      <c r="AA82" s="171">
        <f t="shared" ref="AA82" si="139">X82*0.3+Z82*0.7</f>
        <v>0</v>
      </c>
      <c r="AB82" s="170">
        <f t="shared" ref="AB82" si="140">R82</f>
        <v>0</v>
      </c>
      <c r="AC82" s="184">
        <f t="shared" ref="AC82" si="141">AA82+AC81</f>
        <v>0.2166118456329898</v>
      </c>
    </row>
    <row r="83" spans="2:29" x14ac:dyDescent="0.15">
      <c r="B83" s="172">
        <v>42536</v>
      </c>
      <c r="C83" s="166" t="s">
        <v>34</v>
      </c>
      <c r="D83" s="166" t="s">
        <v>35</v>
      </c>
      <c r="E83" s="180">
        <v>860250</v>
      </c>
      <c r="F83" s="183">
        <f t="shared" ref="F83" si="142">K83*I83</f>
        <v>1406464</v>
      </c>
      <c r="G83" s="180">
        <f t="shared" ref="G83" si="143">G82*(1+Q82)</f>
        <v>1374733.3941970936</v>
      </c>
      <c r="H83" s="183">
        <f t="shared" ref="H83" si="144">G83*(1+Q83)</f>
        <v>1374733.3941970936</v>
      </c>
      <c r="I83" s="180">
        <v>51200</v>
      </c>
      <c r="J83" s="178">
        <v>27.47</v>
      </c>
      <c r="K83" s="178">
        <v>27.47</v>
      </c>
      <c r="L83" s="168">
        <f t="shared" ref="L83" si="145">(K83-J83)/J83</f>
        <v>0</v>
      </c>
      <c r="M83" s="177">
        <v>6045.36</v>
      </c>
      <c r="N83" s="177">
        <v>6045.36</v>
      </c>
      <c r="O83" s="168">
        <f t="shared" ref="O83" si="146">(N83-M83)/M83</f>
        <v>0</v>
      </c>
      <c r="P83" s="192">
        <f t="shared" ref="P83" si="147">L83-O83</f>
        <v>0</v>
      </c>
      <c r="Q83" s="168">
        <f t="shared" ref="Q83" si="148">L83*0.3+P83*0.7</f>
        <v>0</v>
      </c>
      <c r="R83" s="183">
        <f t="shared" ref="R83" si="149">G83*Q83</f>
        <v>0</v>
      </c>
      <c r="S83" s="168">
        <f t="shared" ref="S83" si="150">(K83-$J$73)/$J$73</f>
        <v>0.63494798023830279</v>
      </c>
      <c r="T83" s="168">
        <f t="shared" ref="T83" si="151">(N83-$M$73)/$M$73</f>
        <v>8.2212249527152212E-2</v>
      </c>
      <c r="U83" s="192">
        <f t="shared" ref="U83" si="152">(S83-T83)*0.7+S83*0.3</f>
        <v>0.57739940556929625</v>
      </c>
      <c r="V83" s="183">
        <f t="shared" ref="V83" si="153">E83*U83</f>
        <v>496707.83864098712</v>
      </c>
      <c r="W83" s="183">
        <f t="shared" ref="W83" si="154">E83*S83</f>
        <v>546214</v>
      </c>
      <c r="X83" s="171">
        <f t="shared" ref="X83" si="155">(K83-K82)/K82</f>
        <v>0</v>
      </c>
      <c r="Y83" s="171">
        <f t="shared" ref="Y83" si="156">(N83-N82)/N82</f>
        <v>0</v>
      </c>
      <c r="Z83" s="184">
        <f t="shared" ref="Z83" si="157">X83-Y83</f>
        <v>0</v>
      </c>
      <c r="AA83" s="171">
        <f t="shared" ref="AA83" si="158">X83*0.3+Z83*0.7</f>
        <v>0</v>
      </c>
      <c r="AB83" s="170">
        <f t="shared" ref="AB83" si="159">R83</f>
        <v>0</v>
      </c>
      <c r="AC83" s="184">
        <f t="shared" ref="AC83" si="160">AA83+AC82</f>
        <v>0.2166118456329898</v>
      </c>
    </row>
    <row r="84" spans="2:29" x14ac:dyDescent="0.15">
      <c r="B84" s="172">
        <v>42537</v>
      </c>
      <c r="C84" s="166" t="s">
        <v>34</v>
      </c>
      <c r="D84" s="166" t="s">
        <v>35</v>
      </c>
      <c r="E84" s="180">
        <v>860250</v>
      </c>
      <c r="F84" s="183">
        <f t="shared" ref="F84" si="161">K84*I84</f>
        <v>1406464</v>
      </c>
      <c r="G84" s="180">
        <f t="shared" ref="G84" si="162">G83*(1+Q83)</f>
        <v>1374733.3941970936</v>
      </c>
      <c r="H84" s="183">
        <f t="shared" ref="H84" si="163">G84*(1+Q84)</f>
        <v>1374733.3941970936</v>
      </c>
      <c r="I84" s="180">
        <v>51200</v>
      </c>
      <c r="J84" s="178">
        <v>27.47</v>
      </c>
      <c r="K84" s="178">
        <v>27.47</v>
      </c>
      <c r="L84" s="168">
        <f t="shared" ref="L84" si="164">(K84-J84)/J84</f>
        <v>0</v>
      </c>
      <c r="M84" s="177">
        <v>6045.36</v>
      </c>
      <c r="N84" s="177">
        <v>6045.36</v>
      </c>
      <c r="O84" s="168">
        <f t="shared" ref="O84" si="165">(N84-M84)/M84</f>
        <v>0</v>
      </c>
      <c r="P84" s="192">
        <f t="shared" ref="P84" si="166">L84-O84</f>
        <v>0</v>
      </c>
      <c r="Q84" s="168">
        <f t="shared" ref="Q84" si="167">L84*0.3+P84*0.7</f>
        <v>0</v>
      </c>
      <c r="R84" s="183">
        <f t="shared" ref="R84" si="168">G84*Q84</f>
        <v>0</v>
      </c>
      <c r="S84" s="168">
        <f t="shared" ref="S84" si="169">(K84-$J$73)/$J$73</f>
        <v>0.63494798023830279</v>
      </c>
      <c r="T84" s="168">
        <f t="shared" ref="T84" si="170">(N84-$M$73)/$M$73</f>
        <v>8.2212249527152212E-2</v>
      </c>
      <c r="U84" s="192">
        <f t="shared" ref="U84" si="171">(S84-T84)*0.7+S84*0.3</f>
        <v>0.57739940556929625</v>
      </c>
      <c r="V84" s="183">
        <f t="shared" ref="V84" si="172">E84*U84</f>
        <v>496707.83864098712</v>
      </c>
      <c r="W84" s="183">
        <f t="shared" ref="W84" si="173">E84*S84</f>
        <v>546214</v>
      </c>
      <c r="X84" s="171">
        <f t="shared" ref="X84" si="174">(K84-K83)/K83</f>
        <v>0</v>
      </c>
      <c r="Y84" s="171">
        <f t="shared" ref="Y84" si="175">(N84-N83)/N83</f>
        <v>0</v>
      </c>
      <c r="Z84" s="184">
        <f t="shared" ref="Z84" si="176">X84-Y84</f>
        <v>0</v>
      </c>
      <c r="AA84" s="171">
        <f t="shared" ref="AA84" si="177">X84*0.3+Z84*0.7</f>
        <v>0</v>
      </c>
      <c r="AB84" s="170">
        <f t="shared" ref="AB84" si="178">R84</f>
        <v>0</v>
      </c>
      <c r="AC84" s="184">
        <f t="shared" ref="AC84" si="179">AA84+AC83</f>
        <v>0.2166118456329898</v>
      </c>
    </row>
    <row r="85" spans="2:29" x14ac:dyDescent="0.15">
      <c r="B85" s="172">
        <v>42538</v>
      </c>
      <c r="C85" s="166" t="s">
        <v>34</v>
      </c>
      <c r="D85" s="166" t="s">
        <v>35</v>
      </c>
      <c r="E85" s="180">
        <v>860250</v>
      </c>
      <c r="F85" s="183">
        <f t="shared" ref="F85" si="180">K85*I85</f>
        <v>1406464</v>
      </c>
      <c r="G85" s="180">
        <f t="shared" ref="G85" si="181">G84*(1+Q84)</f>
        <v>1374733.3941970936</v>
      </c>
      <c r="H85" s="183">
        <f t="shared" ref="H85" si="182">G85*(1+Q85)</f>
        <v>1374733.3941970936</v>
      </c>
      <c r="I85" s="180">
        <v>51200</v>
      </c>
      <c r="J85" s="178">
        <v>27.47</v>
      </c>
      <c r="K85" s="178">
        <v>27.47</v>
      </c>
      <c r="L85" s="168">
        <f t="shared" ref="L85" si="183">(K85-J85)/J85</f>
        <v>0</v>
      </c>
      <c r="M85" s="177">
        <v>6045.36</v>
      </c>
      <c r="N85" s="177">
        <v>6045.36</v>
      </c>
      <c r="O85" s="168">
        <f t="shared" ref="O85" si="184">(N85-M85)/M85</f>
        <v>0</v>
      </c>
      <c r="P85" s="192">
        <f t="shared" ref="P85" si="185">L85-O85</f>
        <v>0</v>
      </c>
      <c r="Q85" s="168">
        <f t="shared" ref="Q85" si="186">L85*0.3+P85*0.7</f>
        <v>0</v>
      </c>
      <c r="R85" s="183">
        <f t="shared" ref="R85" si="187">G85*Q85</f>
        <v>0</v>
      </c>
      <c r="S85" s="168">
        <f t="shared" ref="S85" si="188">(K85-$J$73)/$J$73</f>
        <v>0.63494798023830279</v>
      </c>
      <c r="T85" s="168">
        <f t="shared" ref="T85" si="189">(N85-$M$73)/$M$73</f>
        <v>8.2212249527152212E-2</v>
      </c>
      <c r="U85" s="192">
        <f t="shared" ref="U85" si="190">(S85-T85)*0.7+S85*0.3</f>
        <v>0.57739940556929625</v>
      </c>
      <c r="V85" s="183">
        <f t="shared" ref="V85" si="191">E85*U85</f>
        <v>496707.83864098712</v>
      </c>
      <c r="W85" s="183">
        <f t="shared" ref="W85" si="192">E85*S85</f>
        <v>546214</v>
      </c>
      <c r="X85" s="171">
        <f t="shared" ref="X85" si="193">(K85-K84)/K84</f>
        <v>0</v>
      </c>
      <c r="Y85" s="171">
        <f t="shared" ref="Y85" si="194">(N85-N84)/N84</f>
        <v>0</v>
      </c>
      <c r="Z85" s="184">
        <f t="shared" ref="Z85" si="195">X85-Y85</f>
        <v>0</v>
      </c>
      <c r="AA85" s="171">
        <f t="shared" ref="AA85" si="196">X85*0.3+Z85*0.7</f>
        <v>0</v>
      </c>
      <c r="AB85" s="170">
        <f t="shared" ref="AB85" si="197">R85</f>
        <v>0</v>
      </c>
      <c r="AC85" s="184">
        <f t="shared" ref="AC85" si="198">AA85+AC84</f>
        <v>0.2166118456329898</v>
      </c>
    </row>
    <row r="86" spans="2:29" x14ac:dyDescent="0.15">
      <c r="B86" s="172">
        <v>42541</v>
      </c>
      <c r="C86" s="166" t="s">
        <v>34</v>
      </c>
      <c r="D86" s="166" t="s">
        <v>35</v>
      </c>
      <c r="E86" s="180">
        <v>860250</v>
      </c>
      <c r="F86" s="183">
        <f t="shared" ref="F86:F87" si="199">K86*I86</f>
        <v>1406464</v>
      </c>
      <c r="G86" s="180">
        <f t="shared" ref="G86" si="200">G85*(1+Q85)</f>
        <v>1374733.3941970936</v>
      </c>
      <c r="H86" s="183">
        <f t="shared" ref="H86:H87" si="201">G86*(1+Q86)</f>
        <v>1374733.3941970936</v>
      </c>
      <c r="I86" s="180">
        <v>51200</v>
      </c>
      <c r="J86" s="178">
        <v>27.47</v>
      </c>
      <c r="K86" s="178">
        <v>27.47</v>
      </c>
      <c r="L86" s="168">
        <f t="shared" ref="L86:L87" si="202">(K86-J86)/J86</f>
        <v>0</v>
      </c>
      <c r="M86" s="177">
        <v>6045.36</v>
      </c>
      <c r="N86" s="177">
        <v>6045.36</v>
      </c>
      <c r="O86" s="168">
        <f t="shared" ref="O86:O87" si="203">(N86-M86)/M86</f>
        <v>0</v>
      </c>
      <c r="P86" s="192">
        <f t="shared" ref="P86:P87" si="204">L86-O86</f>
        <v>0</v>
      </c>
      <c r="Q86" s="168">
        <f t="shared" ref="Q86:Q87" si="205">L86*0.3+P86*0.7</f>
        <v>0</v>
      </c>
      <c r="R86" s="183">
        <f t="shared" ref="R86:R87" si="206">G86*Q86</f>
        <v>0</v>
      </c>
      <c r="S86" s="168">
        <f t="shared" ref="S86:S87" si="207">(K86-$J$73)/$J$73</f>
        <v>0.63494798023830279</v>
      </c>
      <c r="T86" s="168">
        <f t="shared" ref="T86:T87" si="208">(N86-$M$73)/$M$73</f>
        <v>8.2212249527152212E-2</v>
      </c>
      <c r="U86" s="192">
        <f t="shared" ref="U86:U87" si="209">(S86-T86)*0.7+S86*0.3</f>
        <v>0.57739940556929625</v>
      </c>
      <c r="V86" s="183">
        <f t="shared" ref="V86:V87" si="210">E86*U86</f>
        <v>496707.83864098712</v>
      </c>
      <c r="W86" s="183">
        <f t="shared" ref="W86:W87" si="211">E86*S86</f>
        <v>546214</v>
      </c>
      <c r="X86" s="171">
        <f t="shared" ref="X86" si="212">(K86-K85)/K85</f>
        <v>0</v>
      </c>
      <c r="Y86" s="171">
        <f t="shared" ref="Y86" si="213">(N86-N85)/N85</f>
        <v>0</v>
      </c>
      <c r="Z86" s="184">
        <f t="shared" ref="Z86:Z87" si="214">X86-Y86</f>
        <v>0</v>
      </c>
      <c r="AA86" s="171">
        <f t="shared" ref="AA86:AA87" si="215">X86*0.3+Z86*0.7</f>
        <v>0</v>
      </c>
      <c r="AB86" s="170">
        <f t="shared" ref="AB86:AB87" si="216">R86</f>
        <v>0</v>
      </c>
      <c r="AC86" s="184">
        <f t="shared" ref="AC86:AC87" si="217">AA86+AC85</f>
        <v>0.2166118456329898</v>
      </c>
    </row>
    <row r="87" spans="2:29" x14ac:dyDescent="0.15">
      <c r="B87" s="172">
        <v>42542</v>
      </c>
      <c r="C87" s="166" t="s">
        <v>34</v>
      </c>
      <c r="D87" s="166" t="s">
        <v>35</v>
      </c>
      <c r="E87" s="180">
        <v>860250</v>
      </c>
      <c r="F87" s="183">
        <f t="shared" si="199"/>
        <v>1406464</v>
      </c>
      <c r="G87" s="180">
        <f>G85*(1+Q85)</f>
        <v>1374733.3941970936</v>
      </c>
      <c r="H87" s="183">
        <f t="shared" si="201"/>
        <v>1374733.3941970936</v>
      </c>
      <c r="I87" s="180">
        <v>51200</v>
      </c>
      <c r="J87" s="178">
        <v>27.47</v>
      </c>
      <c r="K87" s="178">
        <v>27.47</v>
      </c>
      <c r="L87" s="168">
        <f t="shared" si="202"/>
        <v>0</v>
      </c>
      <c r="M87" s="177">
        <v>6045.36</v>
      </c>
      <c r="N87" s="177">
        <v>6045.36</v>
      </c>
      <c r="O87" s="168">
        <f t="shared" si="203"/>
        <v>0</v>
      </c>
      <c r="P87" s="192">
        <f t="shared" si="204"/>
        <v>0</v>
      </c>
      <c r="Q87" s="168">
        <f t="shared" si="205"/>
        <v>0</v>
      </c>
      <c r="R87" s="183">
        <f t="shared" si="206"/>
        <v>0</v>
      </c>
      <c r="S87" s="168">
        <f t="shared" si="207"/>
        <v>0.63494798023830279</v>
      </c>
      <c r="T87" s="168">
        <f t="shared" si="208"/>
        <v>8.2212249527152212E-2</v>
      </c>
      <c r="U87" s="192">
        <f t="shared" si="209"/>
        <v>0.57739940556929625</v>
      </c>
      <c r="V87" s="183">
        <f t="shared" si="210"/>
        <v>496707.83864098712</v>
      </c>
      <c r="W87" s="183">
        <f t="shared" si="211"/>
        <v>546214</v>
      </c>
      <c r="X87" s="171">
        <f>(K87-K85)/K85</f>
        <v>0</v>
      </c>
      <c r="Y87" s="171">
        <f>(N87-N85)/N85</f>
        <v>0</v>
      </c>
      <c r="Z87" s="184">
        <f t="shared" si="214"/>
        <v>0</v>
      </c>
      <c r="AA87" s="171">
        <f t="shared" si="215"/>
        <v>0</v>
      </c>
      <c r="AB87" s="170">
        <f t="shared" si="216"/>
        <v>0</v>
      </c>
      <c r="AC87" s="184">
        <f t="shared" si="217"/>
        <v>0.2166118456329898</v>
      </c>
    </row>
    <row r="88" spans="2:29" x14ac:dyDescent="0.15">
      <c r="B88" s="172">
        <v>42543</v>
      </c>
      <c r="C88" s="166" t="s">
        <v>34</v>
      </c>
      <c r="D88" s="166" t="s">
        <v>35</v>
      </c>
      <c r="E88" s="180">
        <v>860250</v>
      </c>
      <c r="F88" s="183">
        <f t="shared" ref="F88" si="218">K88*I88</f>
        <v>1406464</v>
      </c>
      <c r="G88" s="180">
        <f>G86*(1+Q86)</f>
        <v>1374733.3941970936</v>
      </c>
      <c r="H88" s="183">
        <f t="shared" ref="H88" si="219">G88*(1+Q88)</f>
        <v>1374733.3941970936</v>
      </c>
      <c r="I88" s="180">
        <v>51200</v>
      </c>
      <c r="J88" s="178">
        <v>27.47</v>
      </c>
      <c r="K88" s="178">
        <v>27.47</v>
      </c>
      <c r="L88" s="168">
        <f t="shared" ref="L88" si="220">(K88-J88)/J88</f>
        <v>0</v>
      </c>
      <c r="M88" s="177">
        <v>6045.36</v>
      </c>
      <c r="N88" s="177">
        <v>6045.36</v>
      </c>
      <c r="O88" s="168">
        <f t="shared" ref="O88" si="221">(N88-M88)/M88</f>
        <v>0</v>
      </c>
      <c r="P88" s="192">
        <f t="shared" ref="P88" si="222">L88-O88</f>
        <v>0</v>
      </c>
      <c r="Q88" s="168">
        <f t="shared" ref="Q88" si="223">L88*0.3+P88*0.7</f>
        <v>0</v>
      </c>
      <c r="R88" s="183">
        <f t="shared" ref="R88" si="224">G88*Q88</f>
        <v>0</v>
      </c>
      <c r="S88" s="168">
        <f t="shared" ref="S88" si="225">(K88-$J$73)/$J$73</f>
        <v>0.63494798023830279</v>
      </c>
      <c r="T88" s="168">
        <f t="shared" ref="T88" si="226">(N88-$M$73)/$M$73</f>
        <v>8.2212249527152212E-2</v>
      </c>
      <c r="U88" s="192">
        <f t="shared" ref="U88" si="227">(S88-T88)*0.7+S88*0.3</f>
        <v>0.57739940556929625</v>
      </c>
      <c r="V88" s="183">
        <f t="shared" ref="V88" si="228">E88*U88</f>
        <v>496707.83864098712</v>
      </c>
      <c r="W88" s="183">
        <f t="shared" ref="W88" si="229">E88*S88</f>
        <v>546214</v>
      </c>
      <c r="X88" s="171">
        <f>(K88-K86)/K86</f>
        <v>0</v>
      </c>
      <c r="Y88" s="171">
        <f>(N88-N86)/N86</f>
        <v>0</v>
      </c>
      <c r="Z88" s="184">
        <f t="shared" ref="Z88" si="230">X88-Y88</f>
        <v>0</v>
      </c>
      <c r="AA88" s="171">
        <f t="shared" ref="AA88" si="231">X88*0.3+Z88*0.7</f>
        <v>0</v>
      </c>
      <c r="AB88" s="170">
        <f t="shared" ref="AB88" si="232">R88</f>
        <v>0</v>
      </c>
      <c r="AC88" s="184">
        <f>AA88+AC86</f>
        <v>0.2166118456329898</v>
      </c>
    </row>
    <row r="89" spans="2:29" x14ac:dyDescent="0.15">
      <c r="B89" s="172">
        <v>42544</v>
      </c>
      <c r="C89" s="166" t="s">
        <v>34</v>
      </c>
      <c r="D89" s="166" t="s">
        <v>35</v>
      </c>
      <c r="E89" s="180">
        <v>860250</v>
      </c>
      <c r="F89" s="183">
        <f t="shared" ref="F89" si="233">K89*I89</f>
        <v>1406464</v>
      </c>
      <c r="G89" s="180">
        <f>G87*(1+Q87)</f>
        <v>1374733.3941970936</v>
      </c>
      <c r="H89" s="183">
        <f t="shared" ref="H89" si="234">G89*(1+Q89)</f>
        <v>1374733.3941970936</v>
      </c>
      <c r="I89" s="180">
        <v>51200</v>
      </c>
      <c r="J89" s="178">
        <v>27.47</v>
      </c>
      <c r="K89" s="178">
        <v>27.47</v>
      </c>
      <c r="L89" s="168">
        <f t="shared" ref="L89" si="235">(K89-J89)/J89</f>
        <v>0</v>
      </c>
      <c r="M89" s="177">
        <v>6045.36</v>
      </c>
      <c r="N89" s="177">
        <v>6045.36</v>
      </c>
      <c r="O89" s="168">
        <f t="shared" ref="O89" si="236">(N89-M89)/M89</f>
        <v>0</v>
      </c>
      <c r="P89" s="192">
        <f t="shared" ref="P89" si="237">L89-O89</f>
        <v>0</v>
      </c>
      <c r="Q89" s="168">
        <f t="shared" ref="Q89" si="238">L89*0.3+P89*0.7</f>
        <v>0</v>
      </c>
      <c r="R89" s="183">
        <f t="shared" ref="R89" si="239">G89*Q89</f>
        <v>0</v>
      </c>
      <c r="S89" s="168">
        <f t="shared" ref="S89" si="240">(K89-$J$73)/$J$73</f>
        <v>0.63494798023830279</v>
      </c>
      <c r="T89" s="168">
        <f t="shared" ref="T89" si="241">(N89-$M$73)/$M$73</f>
        <v>8.2212249527152212E-2</v>
      </c>
      <c r="U89" s="192">
        <f t="shared" ref="U89" si="242">(S89-T89)*0.7+S89*0.3</f>
        <v>0.57739940556929625</v>
      </c>
      <c r="V89" s="183">
        <f t="shared" ref="V89" si="243">E89*U89</f>
        <v>496707.83864098712</v>
      </c>
      <c r="W89" s="183">
        <f t="shared" ref="W89" si="244">E89*S89</f>
        <v>546214</v>
      </c>
      <c r="X89" s="171">
        <f>(K89-K87)/K87</f>
        <v>0</v>
      </c>
      <c r="Y89" s="171">
        <f>(N89-N87)/N87</f>
        <v>0</v>
      </c>
      <c r="Z89" s="184">
        <f t="shared" ref="Z89" si="245">X89-Y89</f>
        <v>0</v>
      </c>
      <c r="AA89" s="171">
        <f t="shared" ref="AA89" si="246">X89*0.3+Z89*0.7</f>
        <v>0</v>
      </c>
      <c r="AB89" s="170">
        <f t="shared" ref="AB89" si="247">R89</f>
        <v>0</v>
      </c>
      <c r="AC89" s="184">
        <f>AA89+AC87</f>
        <v>0.2166118456329898</v>
      </c>
    </row>
    <row r="90" spans="2:29" x14ac:dyDescent="0.15">
      <c r="B90" s="172">
        <v>42545</v>
      </c>
      <c r="C90" s="166" t="s">
        <v>34</v>
      </c>
      <c r="D90" s="166" t="s">
        <v>35</v>
      </c>
      <c r="E90" s="180">
        <v>860250</v>
      </c>
      <c r="F90" s="180">
        <v>1406464</v>
      </c>
      <c r="G90">
        <v>1374733.3941970936</v>
      </c>
      <c r="H90" s="164">
        <v>1374733.3941970936</v>
      </c>
      <c r="I90" s="180">
        <v>51200</v>
      </c>
      <c r="J90">
        <v>27.47</v>
      </c>
      <c r="K90">
        <v>27.47</v>
      </c>
      <c r="L90" s="65">
        <v>0</v>
      </c>
      <c r="M90">
        <v>6045.36</v>
      </c>
      <c r="N90">
        <v>6045.36</v>
      </c>
      <c r="O90" s="65">
        <v>0</v>
      </c>
      <c r="P90">
        <v>0</v>
      </c>
      <c r="Q90" s="67">
        <v>0</v>
      </c>
      <c r="R90">
        <v>0</v>
      </c>
      <c r="S90" s="67">
        <v>0.63494798023830279</v>
      </c>
      <c r="T90" s="67">
        <v>8.2212249527152212E-2</v>
      </c>
      <c r="U90">
        <v>0.57739940556929625</v>
      </c>
      <c r="V90">
        <v>496707.83864098712</v>
      </c>
      <c r="W90">
        <v>546214</v>
      </c>
      <c r="X90" s="168">
        <v>0</v>
      </c>
      <c r="Y90" s="168">
        <v>0</v>
      </c>
      <c r="Z90">
        <v>0</v>
      </c>
      <c r="AA90" s="168">
        <v>0</v>
      </c>
      <c r="AB90">
        <v>0</v>
      </c>
      <c r="AC90">
        <v>0.2166118456329898</v>
      </c>
    </row>
    <row r="91" spans="2:29" x14ac:dyDescent="0.15">
      <c r="B91" s="172">
        <v>42548</v>
      </c>
      <c r="C91" s="166" t="s">
        <v>34</v>
      </c>
      <c r="D91" s="166" t="s">
        <v>35</v>
      </c>
      <c r="E91" s="180">
        <v>860250</v>
      </c>
      <c r="F91" s="180">
        <v>1406464</v>
      </c>
      <c r="G91" s="180">
        <v>1374733.3941970936</v>
      </c>
      <c r="H91" s="180">
        <v>1374733.3941970936</v>
      </c>
      <c r="I91" s="180">
        <v>51200</v>
      </c>
      <c r="J91" s="180">
        <v>27.47</v>
      </c>
      <c r="K91" s="180">
        <v>27.47</v>
      </c>
      <c r="L91" s="168">
        <v>0</v>
      </c>
      <c r="M91" s="180">
        <v>6045.36</v>
      </c>
      <c r="N91" s="180">
        <v>6045.36</v>
      </c>
      <c r="O91" s="168">
        <v>0</v>
      </c>
      <c r="P91" s="180">
        <v>0</v>
      </c>
      <c r="Q91" s="168">
        <v>0</v>
      </c>
      <c r="R91" s="180">
        <v>0</v>
      </c>
      <c r="S91" s="168">
        <v>0.63494798023830279</v>
      </c>
      <c r="T91" s="168">
        <v>8.2212249527152212E-2</v>
      </c>
      <c r="U91" s="180">
        <v>0.57739940556929625</v>
      </c>
      <c r="V91" s="180">
        <v>496707.83864098712</v>
      </c>
      <c r="W91" s="180">
        <v>546214</v>
      </c>
      <c r="X91" s="168">
        <v>0</v>
      </c>
      <c r="Y91" s="168">
        <v>0</v>
      </c>
      <c r="Z91" s="180">
        <v>0</v>
      </c>
      <c r="AA91" s="168">
        <v>0</v>
      </c>
      <c r="AB91" s="180">
        <v>0</v>
      </c>
      <c r="AC91" s="180">
        <v>0.2166118456329898</v>
      </c>
    </row>
    <row r="92" spans="2:29" x14ac:dyDescent="0.15">
      <c r="B92" s="172">
        <v>42549</v>
      </c>
      <c r="C92" s="166" t="s">
        <v>34</v>
      </c>
      <c r="D92" s="166" t="s">
        <v>35</v>
      </c>
      <c r="E92" s="180">
        <v>860250</v>
      </c>
      <c r="F92" s="180">
        <v>1406464</v>
      </c>
      <c r="G92" s="180">
        <v>1374733.3941970936</v>
      </c>
      <c r="H92" s="180">
        <v>1374733.3941970936</v>
      </c>
      <c r="I92" s="180">
        <v>51200</v>
      </c>
      <c r="J92" s="180">
        <v>27.47</v>
      </c>
      <c r="K92" s="180">
        <v>27.47</v>
      </c>
      <c r="L92" s="168">
        <v>0</v>
      </c>
      <c r="M92" s="180">
        <v>6045.36</v>
      </c>
      <c r="N92" s="180">
        <v>6045.36</v>
      </c>
      <c r="O92" s="168">
        <v>0</v>
      </c>
      <c r="P92" s="180">
        <v>0</v>
      </c>
      <c r="Q92" s="168">
        <v>0</v>
      </c>
      <c r="R92" s="180">
        <v>0</v>
      </c>
      <c r="S92" s="168">
        <v>0.63494798023830279</v>
      </c>
      <c r="T92" s="168">
        <v>8.2212249527152212E-2</v>
      </c>
      <c r="U92" s="180">
        <v>0.57739940556929625</v>
      </c>
      <c r="V92" s="180">
        <v>496707.83864098712</v>
      </c>
      <c r="W92" s="180">
        <v>546214</v>
      </c>
      <c r="X92" s="168">
        <v>0</v>
      </c>
      <c r="Y92" s="168">
        <v>0</v>
      </c>
      <c r="Z92" s="180">
        <v>0</v>
      </c>
      <c r="AA92" s="168">
        <v>0</v>
      </c>
      <c r="AB92" s="180">
        <v>0</v>
      </c>
      <c r="AC92" s="180">
        <v>0.2166118456329898</v>
      </c>
    </row>
    <row r="93" spans="2:29" x14ac:dyDescent="0.15">
      <c r="B93" s="172">
        <v>42550</v>
      </c>
      <c r="C93" s="166" t="s">
        <v>34</v>
      </c>
      <c r="D93" s="166" t="s">
        <v>35</v>
      </c>
      <c r="E93" s="180">
        <v>860250</v>
      </c>
      <c r="F93" s="180">
        <v>1406464</v>
      </c>
      <c r="G93" s="180">
        <v>1374733.3941970936</v>
      </c>
      <c r="H93" s="180">
        <v>1374733.3941970936</v>
      </c>
      <c r="I93" s="180">
        <v>51200</v>
      </c>
      <c r="J93" s="180">
        <v>27.47</v>
      </c>
      <c r="K93" s="180">
        <v>27.47</v>
      </c>
      <c r="L93" s="168">
        <v>0</v>
      </c>
      <c r="M93" s="180">
        <v>6045.36</v>
      </c>
      <c r="N93" s="180">
        <v>6045.36</v>
      </c>
      <c r="O93" s="168">
        <v>0</v>
      </c>
      <c r="P93" s="180">
        <v>0</v>
      </c>
      <c r="Q93" s="168">
        <v>0</v>
      </c>
      <c r="R93" s="180">
        <v>0</v>
      </c>
      <c r="S93" s="168">
        <v>0.63494798023830279</v>
      </c>
      <c r="T93" s="168">
        <v>8.2212249527152212E-2</v>
      </c>
      <c r="U93" s="180">
        <v>0.57739940556929625</v>
      </c>
      <c r="V93" s="180">
        <v>496707.83864098712</v>
      </c>
      <c r="W93" s="180">
        <v>546214</v>
      </c>
      <c r="X93" s="168">
        <v>0</v>
      </c>
      <c r="Y93" s="168">
        <v>0</v>
      </c>
      <c r="Z93" s="180">
        <v>0</v>
      </c>
      <c r="AA93" s="168">
        <v>0</v>
      </c>
      <c r="AB93" s="180">
        <v>0</v>
      </c>
      <c r="AC93" s="180">
        <v>0.2166118456329898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pane ySplit="1" topLeftCell="A59" activePane="bottomLeft" state="frozen"/>
      <selection pane="bottomLeft" activeCell="AC95" sqref="AC95"/>
    </sheetView>
  </sheetViews>
  <sheetFormatPr defaultRowHeight="13.5" x14ac:dyDescent="0.15"/>
  <cols>
    <col min="2" max="2" width="12.5" customWidth="1"/>
    <col min="6" max="6" width="9" style="180"/>
    <col min="8" max="8" width="9" style="164"/>
    <col min="16" max="16" width="13" customWidth="1"/>
    <col min="17" max="17" width="14.25" style="55" customWidth="1"/>
    <col min="19" max="19" width="14" customWidth="1"/>
    <col min="20" max="20" width="13.375" style="1" customWidth="1"/>
    <col min="21" max="21" width="15.5" customWidth="1"/>
    <col min="22" max="22" width="13" customWidth="1"/>
    <col min="24" max="25" width="9" style="168"/>
    <col min="27" max="27" width="9" style="168"/>
    <col min="28" max="28" width="13.25" customWidth="1"/>
    <col min="29" max="29" width="18.875" customWidth="1"/>
  </cols>
  <sheetData>
    <row r="1" spans="1:29" s="48" customFormat="1" ht="27" x14ac:dyDescent="0.15">
      <c r="A1" s="50"/>
      <c r="B1" s="51" t="s">
        <v>0</v>
      </c>
      <c r="C1" s="52" t="s">
        <v>1</v>
      </c>
      <c r="D1" s="52" t="s">
        <v>2</v>
      </c>
      <c r="E1" s="53" t="s">
        <v>3</v>
      </c>
      <c r="F1" s="162" t="s">
        <v>91</v>
      </c>
      <c r="G1" s="51" t="s">
        <v>24</v>
      </c>
      <c r="H1" s="174" t="s">
        <v>88</v>
      </c>
      <c r="I1" s="51" t="s">
        <v>4</v>
      </c>
      <c r="J1" s="51" t="s">
        <v>13</v>
      </c>
      <c r="K1" s="52" t="s">
        <v>8</v>
      </c>
      <c r="L1" s="54" t="s">
        <v>9</v>
      </c>
      <c r="M1" s="26" t="s">
        <v>14</v>
      </c>
      <c r="N1" s="51" t="s">
        <v>10</v>
      </c>
      <c r="O1" s="54" t="s">
        <v>11</v>
      </c>
      <c r="P1" s="48" t="s">
        <v>12</v>
      </c>
      <c r="Q1" s="55" t="s">
        <v>22</v>
      </c>
      <c r="R1" s="49" t="s">
        <v>28</v>
      </c>
      <c r="S1" s="48" t="s">
        <v>19</v>
      </c>
      <c r="T1" s="1" t="s">
        <v>20</v>
      </c>
      <c r="U1" s="48" t="s">
        <v>21</v>
      </c>
      <c r="V1" s="48" t="s">
        <v>110</v>
      </c>
      <c r="W1" s="48" t="s">
        <v>79</v>
      </c>
      <c r="X1" s="168" t="s">
        <v>102</v>
      </c>
      <c r="Y1" s="168" t="s">
        <v>103</v>
      </c>
      <c r="Z1" s="168" t="s">
        <v>104</v>
      </c>
      <c r="AA1" s="168" t="s">
        <v>106</v>
      </c>
      <c r="AB1" s="168" t="s">
        <v>101</v>
      </c>
      <c r="AC1" s="168" t="s">
        <v>108</v>
      </c>
    </row>
    <row r="2" spans="1:29" s="115" customFormat="1" x14ac:dyDescent="0.15">
      <c r="A2" s="118"/>
      <c r="B2" s="128">
        <v>42417</v>
      </c>
      <c r="C2" s="121"/>
      <c r="D2" s="121"/>
      <c r="E2" s="122"/>
      <c r="F2" s="162"/>
      <c r="G2" s="120"/>
      <c r="H2" s="174"/>
      <c r="I2" s="120"/>
      <c r="J2" s="120"/>
      <c r="K2" s="121"/>
      <c r="L2" s="123"/>
      <c r="M2" s="26"/>
      <c r="N2" s="120"/>
      <c r="O2" s="123"/>
      <c r="Q2" s="117"/>
      <c r="R2" s="116"/>
      <c r="T2" s="1"/>
      <c r="X2" s="168"/>
      <c r="Y2" s="168"/>
      <c r="AA2" s="168"/>
    </row>
    <row r="3" spans="1:29" s="115" customFormat="1" x14ac:dyDescent="0.15">
      <c r="A3" s="118"/>
      <c r="B3" s="128">
        <v>42418</v>
      </c>
      <c r="C3" s="121"/>
      <c r="D3" s="121"/>
      <c r="E3" s="122"/>
      <c r="F3" s="162"/>
      <c r="G3" s="120"/>
      <c r="H3" s="174"/>
      <c r="I3" s="120"/>
      <c r="J3" s="120"/>
      <c r="K3" s="121"/>
      <c r="L3" s="123"/>
      <c r="M3" s="26"/>
      <c r="N3" s="120"/>
      <c r="O3" s="123"/>
      <c r="Q3" s="117"/>
      <c r="R3" s="116"/>
      <c r="T3" s="1"/>
      <c r="X3" s="168"/>
      <c r="Y3" s="168"/>
      <c r="AA3" s="168"/>
    </row>
    <row r="4" spans="1:29" s="115" customFormat="1" x14ac:dyDescent="0.15">
      <c r="A4" s="118"/>
      <c r="B4" s="128">
        <v>42419</v>
      </c>
      <c r="C4" s="121"/>
      <c r="D4" s="121"/>
      <c r="E4" s="122"/>
      <c r="F4" s="162"/>
      <c r="G4" s="120"/>
      <c r="H4" s="174"/>
      <c r="I4" s="120"/>
      <c r="J4" s="120"/>
      <c r="K4" s="121"/>
      <c r="L4" s="123"/>
      <c r="M4" s="26"/>
      <c r="N4" s="120"/>
      <c r="O4" s="123"/>
      <c r="Q4" s="117"/>
      <c r="R4" s="116"/>
      <c r="T4" s="1"/>
      <c r="X4" s="168"/>
      <c r="Y4" s="168"/>
      <c r="AA4" s="168"/>
    </row>
    <row r="5" spans="1:29" s="115" customFormat="1" x14ac:dyDescent="0.15">
      <c r="A5" s="118"/>
      <c r="B5" s="128">
        <v>42422</v>
      </c>
      <c r="C5" s="121"/>
      <c r="D5" s="121"/>
      <c r="E5" s="122"/>
      <c r="F5" s="162"/>
      <c r="G5" s="120"/>
      <c r="H5" s="174"/>
      <c r="I5" s="120"/>
      <c r="J5" s="120"/>
      <c r="K5" s="121"/>
      <c r="L5" s="123"/>
      <c r="M5" s="26"/>
      <c r="N5" s="120"/>
      <c r="O5" s="123"/>
      <c r="Q5" s="117"/>
      <c r="R5" s="116"/>
      <c r="T5" s="1"/>
      <c r="X5" s="168"/>
      <c r="Y5" s="168"/>
      <c r="AA5" s="168"/>
    </row>
    <row r="6" spans="1:29" s="115" customFormat="1" x14ac:dyDescent="0.15">
      <c r="A6" s="118"/>
      <c r="B6" s="128">
        <v>42423</v>
      </c>
      <c r="C6" s="121"/>
      <c r="D6" s="121"/>
      <c r="E6" s="122"/>
      <c r="F6" s="162"/>
      <c r="G6" s="120"/>
      <c r="H6" s="174"/>
      <c r="I6" s="120"/>
      <c r="J6" s="120"/>
      <c r="K6" s="121"/>
      <c r="L6" s="123"/>
      <c r="M6" s="26"/>
      <c r="N6" s="120"/>
      <c r="O6" s="123"/>
      <c r="Q6" s="117"/>
      <c r="R6" s="116"/>
      <c r="T6" s="1"/>
      <c r="X6" s="168"/>
      <c r="Y6" s="168"/>
      <c r="AA6" s="168"/>
    </row>
    <row r="7" spans="1:29" s="115" customFormat="1" x14ac:dyDescent="0.15">
      <c r="A7" s="118"/>
      <c r="B7" s="128">
        <v>42424</v>
      </c>
      <c r="C7" s="121"/>
      <c r="D7" s="121"/>
      <c r="E7" s="122"/>
      <c r="F7" s="162"/>
      <c r="G7" s="120"/>
      <c r="H7" s="174"/>
      <c r="I7" s="120"/>
      <c r="J7" s="120"/>
      <c r="K7" s="121"/>
      <c r="L7" s="123"/>
      <c r="M7" s="26"/>
      <c r="N7" s="120"/>
      <c r="O7" s="123"/>
      <c r="Q7" s="117"/>
      <c r="R7" s="116"/>
      <c r="T7" s="1"/>
      <c r="X7" s="168"/>
      <c r="Y7" s="168"/>
      <c r="AA7" s="168"/>
    </row>
    <row r="8" spans="1:29" s="115" customFormat="1" x14ac:dyDescent="0.15">
      <c r="A8" s="118"/>
      <c r="B8" s="128">
        <v>42425</v>
      </c>
      <c r="C8" s="121"/>
      <c r="D8" s="121"/>
      <c r="E8" s="122"/>
      <c r="F8" s="162"/>
      <c r="G8" s="120"/>
      <c r="H8" s="174"/>
      <c r="I8" s="120"/>
      <c r="J8" s="120"/>
      <c r="K8" s="121"/>
      <c r="L8" s="123"/>
      <c r="M8" s="26"/>
      <c r="N8" s="120"/>
      <c r="O8" s="123"/>
      <c r="Q8" s="117"/>
      <c r="R8" s="116"/>
      <c r="T8" s="1"/>
      <c r="X8" s="168"/>
      <c r="Y8" s="168"/>
      <c r="AA8" s="168"/>
    </row>
    <row r="9" spans="1:29" s="115" customFormat="1" x14ac:dyDescent="0.15">
      <c r="A9" s="118"/>
      <c r="B9" s="128">
        <v>42426</v>
      </c>
      <c r="C9" s="121"/>
      <c r="D9" s="121"/>
      <c r="E9" s="122"/>
      <c r="F9" s="162"/>
      <c r="G9" s="120"/>
      <c r="H9" s="174"/>
      <c r="I9" s="120"/>
      <c r="J9" s="120"/>
      <c r="K9" s="121"/>
      <c r="L9" s="123"/>
      <c r="M9" s="26"/>
      <c r="N9" s="120"/>
      <c r="O9" s="123"/>
      <c r="Q9" s="117"/>
      <c r="R9" s="116"/>
      <c r="T9" s="1"/>
      <c r="X9" s="168"/>
      <c r="Y9" s="168"/>
      <c r="AA9" s="168"/>
    </row>
    <row r="10" spans="1:29" s="115" customFormat="1" x14ac:dyDescent="0.15">
      <c r="A10" s="118"/>
      <c r="B10" s="128">
        <v>42429</v>
      </c>
      <c r="C10" s="121"/>
      <c r="D10" s="121"/>
      <c r="E10" s="122"/>
      <c r="F10" s="162"/>
      <c r="G10" s="120"/>
      <c r="H10" s="174"/>
      <c r="I10" s="120"/>
      <c r="J10" s="120"/>
      <c r="K10" s="121"/>
      <c r="L10" s="123"/>
      <c r="M10" s="26"/>
      <c r="N10" s="120"/>
      <c r="O10" s="123"/>
      <c r="Q10" s="117"/>
      <c r="R10" s="116"/>
      <c r="T10" s="1"/>
      <c r="X10" s="168"/>
      <c r="Y10" s="168"/>
      <c r="AA10" s="168"/>
    </row>
    <row r="11" spans="1:29" s="115" customFormat="1" x14ac:dyDescent="0.15">
      <c r="A11" s="118"/>
      <c r="B11" s="128">
        <v>42430</v>
      </c>
      <c r="C11" s="121"/>
      <c r="D11" s="121"/>
      <c r="E11" s="122"/>
      <c r="F11" s="162"/>
      <c r="G11" s="120"/>
      <c r="H11" s="174"/>
      <c r="I11" s="120"/>
      <c r="J11" s="120"/>
      <c r="K11" s="121"/>
      <c r="L11" s="123"/>
      <c r="M11" s="26"/>
      <c r="N11" s="120"/>
      <c r="O11" s="123"/>
      <c r="Q11" s="117"/>
      <c r="R11" s="116"/>
      <c r="T11" s="1"/>
      <c r="X11" s="168"/>
      <c r="Y11" s="168"/>
      <c r="AA11" s="168"/>
    </row>
    <row r="12" spans="1:29" s="115" customFormat="1" x14ac:dyDescent="0.15">
      <c r="A12" s="118"/>
      <c r="B12" s="128">
        <v>42431</v>
      </c>
      <c r="C12" s="121"/>
      <c r="D12" s="121"/>
      <c r="E12" s="122"/>
      <c r="F12" s="162"/>
      <c r="G12" s="120"/>
      <c r="H12" s="174"/>
      <c r="I12" s="120"/>
      <c r="J12" s="120"/>
      <c r="K12" s="121"/>
      <c r="L12" s="123"/>
      <c r="M12" s="26"/>
      <c r="N12" s="120"/>
      <c r="O12" s="123"/>
      <c r="Q12" s="117"/>
      <c r="R12" s="116"/>
      <c r="T12" s="1"/>
      <c r="X12" s="168"/>
      <c r="Y12" s="168"/>
      <c r="AA12" s="168"/>
    </row>
    <row r="13" spans="1:29" s="115" customFormat="1" x14ac:dyDescent="0.15">
      <c r="A13" s="118"/>
      <c r="B13" s="128">
        <v>42432</v>
      </c>
      <c r="C13" s="121"/>
      <c r="D13" s="121"/>
      <c r="E13" s="122"/>
      <c r="F13" s="162"/>
      <c r="G13" s="120"/>
      <c r="H13" s="174"/>
      <c r="I13" s="120"/>
      <c r="J13" s="120"/>
      <c r="K13" s="121"/>
      <c r="L13" s="123"/>
      <c r="M13" s="26"/>
      <c r="N13" s="120"/>
      <c r="O13" s="123"/>
      <c r="Q13" s="117"/>
      <c r="R13" s="116"/>
      <c r="T13" s="1"/>
      <c r="X13" s="168"/>
      <c r="Y13" s="168"/>
      <c r="AA13" s="168"/>
    </row>
    <row r="14" spans="1:29" s="115" customFormat="1" x14ac:dyDescent="0.15">
      <c r="A14" s="118"/>
      <c r="B14" s="128">
        <v>42433</v>
      </c>
      <c r="C14" s="121"/>
      <c r="D14" s="121"/>
      <c r="E14" s="122"/>
      <c r="F14" s="162"/>
      <c r="G14" s="120"/>
      <c r="H14" s="174"/>
      <c r="I14" s="120"/>
      <c r="J14" s="120"/>
      <c r="K14" s="121"/>
      <c r="L14" s="123"/>
      <c r="M14" s="26"/>
      <c r="N14" s="120"/>
      <c r="O14" s="123"/>
      <c r="Q14" s="117"/>
      <c r="R14" s="116"/>
      <c r="T14" s="1"/>
      <c r="X14" s="168"/>
      <c r="Y14" s="168"/>
      <c r="AA14" s="168"/>
    </row>
    <row r="15" spans="1:29" s="115" customFormat="1" x14ac:dyDescent="0.15">
      <c r="A15" s="118"/>
      <c r="B15" s="128">
        <v>42436</v>
      </c>
      <c r="C15" s="121"/>
      <c r="D15" s="121"/>
      <c r="E15" s="122"/>
      <c r="F15" s="162"/>
      <c r="G15" s="120"/>
      <c r="H15" s="174"/>
      <c r="I15" s="120"/>
      <c r="J15" s="120"/>
      <c r="K15" s="121"/>
      <c r="L15" s="123"/>
      <c r="M15" s="26"/>
      <c r="N15" s="120"/>
      <c r="O15" s="123"/>
      <c r="Q15" s="117"/>
      <c r="R15" s="116"/>
      <c r="T15" s="1"/>
      <c r="X15" s="168"/>
      <c r="Y15" s="168"/>
      <c r="AA15" s="168"/>
    </row>
    <row r="16" spans="1:29" s="115" customFormat="1" x14ac:dyDescent="0.15">
      <c r="A16" s="118"/>
      <c r="B16" s="128">
        <v>42437</v>
      </c>
      <c r="C16" s="121"/>
      <c r="D16" s="121"/>
      <c r="E16" s="122"/>
      <c r="F16" s="162"/>
      <c r="G16" s="120"/>
      <c r="H16" s="174"/>
      <c r="I16" s="120"/>
      <c r="J16" s="120"/>
      <c r="K16" s="121"/>
      <c r="L16" s="123"/>
      <c r="M16" s="26"/>
      <c r="N16" s="120"/>
      <c r="O16" s="123"/>
      <c r="Q16" s="117"/>
      <c r="R16" s="116"/>
      <c r="T16" s="1"/>
      <c r="X16" s="168"/>
      <c r="Y16" s="168"/>
      <c r="AA16" s="168"/>
    </row>
    <row r="17" spans="1:27" s="115" customFormat="1" x14ac:dyDescent="0.15">
      <c r="A17" s="118"/>
      <c r="B17" s="128">
        <v>42438</v>
      </c>
      <c r="C17" s="121"/>
      <c r="D17" s="121"/>
      <c r="E17" s="122"/>
      <c r="F17" s="162"/>
      <c r="G17" s="120"/>
      <c r="H17" s="174"/>
      <c r="I17" s="120"/>
      <c r="J17" s="120"/>
      <c r="K17" s="121"/>
      <c r="L17" s="123"/>
      <c r="M17" s="26"/>
      <c r="N17" s="120"/>
      <c r="O17" s="123"/>
      <c r="Q17" s="117"/>
      <c r="R17" s="116"/>
      <c r="T17" s="1"/>
      <c r="X17" s="168"/>
      <c r="Y17" s="168"/>
      <c r="AA17" s="168"/>
    </row>
    <row r="18" spans="1:27" s="115" customFormat="1" x14ac:dyDescent="0.15">
      <c r="A18" s="118"/>
      <c r="B18" s="128">
        <v>42439</v>
      </c>
      <c r="C18" s="121"/>
      <c r="D18" s="121"/>
      <c r="E18" s="122"/>
      <c r="F18" s="162"/>
      <c r="G18" s="120"/>
      <c r="H18" s="174"/>
      <c r="I18" s="120"/>
      <c r="J18" s="120"/>
      <c r="K18" s="121"/>
      <c r="L18" s="123"/>
      <c r="M18" s="26"/>
      <c r="N18" s="120"/>
      <c r="O18" s="123"/>
      <c r="Q18" s="117"/>
      <c r="R18" s="116"/>
      <c r="T18" s="1"/>
      <c r="X18" s="168"/>
      <c r="Y18" s="168"/>
      <c r="AA18" s="168"/>
    </row>
    <row r="19" spans="1:27" s="115" customFormat="1" x14ac:dyDescent="0.15">
      <c r="A19" s="118"/>
      <c r="B19" s="128">
        <v>42440</v>
      </c>
      <c r="C19" s="121"/>
      <c r="D19" s="121"/>
      <c r="E19" s="122"/>
      <c r="F19" s="162"/>
      <c r="G19" s="120"/>
      <c r="H19" s="174"/>
      <c r="I19" s="120"/>
      <c r="J19" s="120"/>
      <c r="K19" s="121"/>
      <c r="L19" s="123"/>
      <c r="M19" s="26"/>
      <c r="N19" s="120"/>
      <c r="O19" s="123"/>
      <c r="Q19" s="117"/>
      <c r="R19" s="116"/>
      <c r="T19" s="1"/>
      <c r="X19" s="168"/>
      <c r="Y19" s="168"/>
      <c r="AA19" s="168"/>
    </row>
    <row r="20" spans="1:27" s="115" customFormat="1" x14ac:dyDescent="0.15">
      <c r="A20" s="118"/>
      <c r="B20" s="128">
        <v>42443</v>
      </c>
      <c r="C20" s="121"/>
      <c r="D20" s="121"/>
      <c r="E20" s="122"/>
      <c r="F20" s="162"/>
      <c r="G20" s="120"/>
      <c r="H20" s="174"/>
      <c r="I20" s="120"/>
      <c r="J20" s="120"/>
      <c r="K20" s="121"/>
      <c r="L20" s="123"/>
      <c r="M20" s="26"/>
      <c r="N20" s="120"/>
      <c r="O20" s="123"/>
      <c r="Q20" s="117"/>
      <c r="R20" s="116"/>
      <c r="T20" s="1"/>
      <c r="X20" s="168"/>
      <c r="Y20" s="168"/>
      <c r="AA20" s="168"/>
    </row>
    <row r="21" spans="1:27" s="115" customFormat="1" x14ac:dyDescent="0.15">
      <c r="A21" s="118"/>
      <c r="B21" s="128">
        <v>42444</v>
      </c>
      <c r="C21" s="121"/>
      <c r="D21" s="121"/>
      <c r="E21" s="122"/>
      <c r="F21" s="162"/>
      <c r="G21" s="120"/>
      <c r="H21" s="174"/>
      <c r="I21" s="120"/>
      <c r="J21" s="120"/>
      <c r="K21" s="121"/>
      <c r="L21" s="123"/>
      <c r="M21" s="26"/>
      <c r="N21" s="120"/>
      <c r="O21" s="123"/>
      <c r="Q21" s="117"/>
      <c r="R21" s="116"/>
      <c r="T21" s="1"/>
      <c r="X21" s="168"/>
      <c r="Y21" s="168"/>
      <c r="AA21" s="168"/>
    </row>
    <row r="22" spans="1:27" s="115" customFormat="1" x14ac:dyDescent="0.15">
      <c r="A22" s="118"/>
      <c r="B22" s="128">
        <v>42445</v>
      </c>
      <c r="C22" s="121"/>
      <c r="D22" s="121"/>
      <c r="E22" s="122"/>
      <c r="F22" s="162"/>
      <c r="G22" s="120"/>
      <c r="H22" s="174"/>
      <c r="I22" s="120"/>
      <c r="J22" s="120"/>
      <c r="K22" s="121"/>
      <c r="L22" s="123"/>
      <c r="M22" s="26"/>
      <c r="N22" s="120"/>
      <c r="O22" s="123"/>
      <c r="Q22" s="117"/>
      <c r="R22" s="116"/>
      <c r="T22" s="1"/>
      <c r="X22" s="168"/>
      <c r="Y22" s="168"/>
      <c r="AA22" s="168"/>
    </row>
    <row r="23" spans="1:27" s="115" customFormat="1" x14ac:dyDescent="0.15">
      <c r="A23" s="118"/>
      <c r="B23" s="128">
        <v>42446</v>
      </c>
      <c r="C23" s="121"/>
      <c r="D23" s="121"/>
      <c r="E23" s="122"/>
      <c r="F23" s="162"/>
      <c r="G23" s="120"/>
      <c r="H23" s="174"/>
      <c r="I23" s="120"/>
      <c r="J23" s="120"/>
      <c r="K23" s="121"/>
      <c r="L23" s="123"/>
      <c r="M23" s="26"/>
      <c r="N23" s="120"/>
      <c r="O23" s="123"/>
      <c r="Q23" s="117"/>
      <c r="R23" s="116"/>
      <c r="T23" s="1"/>
      <c r="X23" s="168"/>
      <c r="Y23" s="168"/>
      <c r="AA23" s="168"/>
    </row>
    <row r="24" spans="1:27" s="115" customFormat="1" x14ac:dyDescent="0.15">
      <c r="A24" s="118"/>
      <c r="B24" s="128">
        <v>42447</v>
      </c>
      <c r="C24" s="121"/>
      <c r="D24" s="121"/>
      <c r="E24" s="122"/>
      <c r="F24" s="162"/>
      <c r="G24" s="120"/>
      <c r="H24" s="174"/>
      <c r="I24" s="120"/>
      <c r="J24" s="120"/>
      <c r="K24" s="121"/>
      <c r="L24" s="123"/>
      <c r="M24" s="26"/>
      <c r="N24" s="120"/>
      <c r="O24" s="123"/>
      <c r="Q24" s="117"/>
      <c r="R24" s="116"/>
      <c r="T24" s="1"/>
      <c r="X24" s="168"/>
      <c r="Y24" s="168"/>
      <c r="AA24" s="168"/>
    </row>
    <row r="25" spans="1:27" s="115" customFormat="1" x14ac:dyDescent="0.15">
      <c r="A25" s="118"/>
      <c r="B25" s="128">
        <v>42450</v>
      </c>
      <c r="C25" s="121"/>
      <c r="D25" s="121"/>
      <c r="E25" s="122"/>
      <c r="F25" s="162"/>
      <c r="G25" s="120"/>
      <c r="H25" s="174"/>
      <c r="I25" s="120"/>
      <c r="J25" s="120"/>
      <c r="K25" s="121"/>
      <c r="L25" s="123"/>
      <c r="M25" s="26"/>
      <c r="N25" s="120"/>
      <c r="O25" s="123"/>
      <c r="Q25" s="117"/>
      <c r="R25" s="116"/>
      <c r="T25" s="1"/>
      <c r="X25" s="168"/>
      <c r="Y25" s="168"/>
      <c r="AA25" s="168"/>
    </row>
    <row r="26" spans="1:27" s="115" customFormat="1" x14ac:dyDescent="0.15">
      <c r="A26" s="118"/>
      <c r="B26" s="128">
        <v>42451</v>
      </c>
      <c r="C26" s="121"/>
      <c r="D26" s="121"/>
      <c r="E26" s="122"/>
      <c r="F26" s="162"/>
      <c r="G26" s="120"/>
      <c r="H26" s="174"/>
      <c r="I26" s="120"/>
      <c r="J26" s="120"/>
      <c r="K26" s="121"/>
      <c r="L26" s="123"/>
      <c r="M26" s="26"/>
      <c r="N26" s="120"/>
      <c r="O26" s="123"/>
      <c r="Q26" s="117"/>
      <c r="R26" s="116"/>
      <c r="T26" s="1"/>
      <c r="X26" s="168"/>
      <c r="Y26" s="168"/>
      <c r="AA26" s="168"/>
    </row>
    <row r="27" spans="1:27" s="115" customFormat="1" x14ac:dyDescent="0.15">
      <c r="A27" s="118"/>
      <c r="B27" s="128">
        <v>42452</v>
      </c>
      <c r="C27" s="121"/>
      <c r="D27" s="121"/>
      <c r="E27" s="122"/>
      <c r="F27" s="162"/>
      <c r="G27" s="120"/>
      <c r="H27" s="174"/>
      <c r="I27" s="120"/>
      <c r="J27" s="120"/>
      <c r="K27" s="121"/>
      <c r="L27" s="123"/>
      <c r="M27" s="26"/>
      <c r="N27" s="120"/>
      <c r="O27" s="123"/>
      <c r="Q27" s="117"/>
      <c r="R27" s="116"/>
      <c r="T27" s="1"/>
      <c r="X27" s="168"/>
      <c r="Y27" s="168"/>
      <c r="AA27" s="168"/>
    </row>
    <row r="28" spans="1:27" s="115" customFormat="1" x14ac:dyDescent="0.15">
      <c r="A28" s="118"/>
      <c r="B28" s="128">
        <v>42453</v>
      </c>
      <c r="C28" s="121"/>
      <c r="D28" s="121"/>
      <c r="E28" s="122"/>
      <c r="F28" s="162"/>
      <c r="G28" s="120"/>
      <c r="H28" s="174"/>
      <c r="I28" s="120"/>
      <c r="J28" s="120"/>
      <c r="K28" s="121"/>
      <c r="L28" s="123"/>
      <c r="M28" s="26"/>
      <c r="N28" s="120"/>
      <c r="O28" s="123"/>
      <c r="Q28" s="117"/>
      <c r="R28" s="116"/>
      <c r="T28" s="1"/>
      <c r="X28" s="168"/>
      <c r="Y28" s="168"/>
      <c r="AA28" s="168"/>
    </row>
    <row r="29" spans="1:27" s="115" customFormat="1" x14ac:dyDescent="0.15">
      <c r="A29" s="118"/>
      <c r="B29" s="128">
        <v>42454</v>
      </c>
      <c r="C29" s="121"/>
      <c r="D29" s="121"/>
      <c r="E29" s="122"/>
      <c r="F29" s="162"/>
      <c r="G29" s="120"/>
      <c r="H29" s="174"/>
      <c r="I29" s="120"/>
      <c r="J29" s="120"/>
      <c r="K29" s="121"/>
      <c r="L29" s="123"/>
      <c r="M29" s="26"/>
      <c r="N29" s="120"/>
      <c r="O29" s="123"/>
      <c r="Q29" s="117"/>
      <c r="R29" s="116"/>
      <c r="T29" s="1"/>
      <c r="X29" s="168"/>
      <c r="Y29" s="168"/>
      <c r="AA29" s="168"/>
    </row>
    <row r="30" spans="1:27" s="115" customFormat="1" x14ac:dyDescent="0.15">
      <c r="A30" s="118"/>
      <c r="B30" s="128">
        <v>42457</v>
      </c>
      <c r="C30" s="121"/>
      <c r="D30" s="121"/>
      <c r="E30" s="122"/>
      <c r="F30" s="162"/>
      <c r="G30" s="120"/>
      <c r="H30" s="174"/>
      <c r="I30" s="120"/>
      <c r="J30" s="120"/>
      <c r="K30" s="121"/>
      <c r="L30" s="123"/>
      <c r="M30" s="26"/>
      <c r="N30" s="120"/>
      <c r="O30" s="123"/>
      <c r="Q30" s="117"/>
      <c r="R30" s="116"/>
      <c r="T30" s="1"/>
      <c r="X30" s="168"/>
      <c r="Y30" s="168"/>
      <c r="AA30" s="168"/>
    </row>
    <row r="31" spans="1:27" s="115" customFormat="1" ht="18" customHeight="1" x14ac:dyDescent="0.15">
      <c r="A31" s="118"/>
      <c r="B31" s="128">
        <v>42458</v>
      </c>
      <c r="C31" s="121"/>
      <c r="D31" s="121"/>
      <c r="E31" s="122"/>
      <c r="F31" s="162"/>
      <c r="G31" s="120"/>
      <c r="H31" s="174"/>
      <c r="I31" s="120"/>
      <c r="J31" s="120"/>
      <c r="K31" s="121"/>
      <c r="L31" s="123"/>
      <c r="M31" s="26"/>
      <c r="N31" s="120"/>
      <c r="O31" s="123"/>
      <c r="Q31" s="117"/>
      <c r="R31" s="116"/>
      <c r="T31" s="1"/>
      <c r="X31" s="168"/>
      <c r="Y31" s="168"/>
      <c r="AA31" s="168"/>
    </row>
    <row r="32" spans="1:27" s="115" customFormat="1" ht="18" customHeight="1" x14ac:dyDescent="0.15">
      <c r="A32" s="118"/>
      <c r="B32" s="128">
        <v>42459</v>
      </c>
      <c r="C32" s="121"/>
      <c r="D32" s="121"/>
      <c r="E32" s="122"/>
      <c r="F32" s="162"/>
      <c r="G32" s="120"/>
      <c r="H32" s="174"/>
      <c r="I32" s="120"/>
      <c r="J32" s="120"/>
      <c r="K32" s="121"/>
      <c r="L32" s="123"/>
      <c r="M32" s="26"/>
      <c r="N32" s="120"/>
      <c r="O32" s="123"/>
      <c r="Q32" s="117"/>
      <c r="R32" s="116"/>
      <c r="T32" s="1"/>
      <c r="X32" s="168"/>
      <c r="Y32" s="168"/>
      <c r="AA32" s="168"/>
    </row>
    <row r="33" spans="1:29" s="115" customFormat="1" ht="18" customHeight="1" x14ac:dyDescent="0.15">
      <c r="A33" s="118"/>
      <c r="B33" s="128">
        <v>42460</v>
      </c>
      <c r="C33" s="121"/>
      <c r="D33" s="121"/>
      <c r="E33" s="122"/>
      <c r="F33" s="162"/>
      <c r="G33" s="120"/>
      <c r="H33" s="174"/>
      <c r="I33" s="120"/>
      <c r="J33" s="120"/>
      <c r="K33" s="121"/>
      <c r="L33" s="123"/>
      <c r="M33" s="26"/>
      <c r="N33" s="120"/>
      <c r="O33" s="123"/>
      <c r="Q33" s="117"/>
      <c r="R33" s="116"/>
      <c r="T33" s="1"/>
      <c r="X33" s="168"/>
      <c r="Y33" s="168"/>
      <c r="AA33" s="168"/>
    </row>
    <row r="34" spans="1:29" s="115" customFormat="1" ht="18" customHeight="1" x14ac:dyDescent="0.15">
      <c r="A34" s="118"/>
      <c r="B34" s="128">
        <v>42461</v>
      </c>
      <c r="C34" s="121"/>
      <c r="D34" s="121"/>
      <c r="E34" s="122"/>
      <c r="F34" s="162"/>
      <c r="G34" s="120"/>
      <c r="H34" s="174"/>
      <c r="I34" s="120"/>
      <c r="J34" s="120"/>
      <c r="K34" s="121"/>
      <c r="L34" s="123"/>
      <c r="M34" s="26"/>
      <c r="N34" s="120"/>
      <c r="O34" s="123"/>
      <c r="Q34" s="117"/>
      <c r="R34" s="116"/>
      <c r="T34" s="1"/>
      <c r="X34" s="168"/>
      <c r="Y34" s="168"/>
      <c r="AA34" s="168"/>
    </row>
    <row r="35" spans="1:29" s="115" customFormat="1" ht="18" customHeight="1" x14ac:dyDescent="0.15">
      <c r="A35" s="118"/>
      <c r="B35" s="128">
        <v>42465</v>
      </c>
      <c r="C35" s="121"/>
      <c r="D35" s="121"/>
      <c r="E35" s="122"/>
      <c r="F35" s="162"/>
      <c r="G35" s="120"/>
      <c r="H35" s="174"/>
      <c r="I35" s="120"/>
      <c r="J35" s="120"/>
      <c r="K35" s="121"/>
      <c r="L35" s="123"/>
      <c r="M35" s="26"/>
      <c r="N35" s="120"/>
      <c r="O35" s="123"/>
      <c r="Q35" s="117"/>
      <c r="R35" s="116"/>
      <c r="T35" s="1"/>
      <c r="X35" s="168"/>
      <c r="Y35" s="168"/>
      <c r="AA35" s="168"/>
    </row>
    <row r="36" spans="1:29" s="124" customFormat="1" ht="18" customHeight="1" x14ac:dyDescent="0.15">
      <c r="A36" s="127"/>
      <c r="B36" s="135">
        <v>42466</v>
      </c>
      <c r="C36" s="130"/>
      <c r="D36" s="130"/>
      <c r="E36" s="131"/>
      <c r="F36" s="162"/>
      <c r="G36" s="129"/>
      <c r="H36" s="174"/>
      <c r="I36" s="129"/>
      <c r="J36" s="129"/>
      <c r="K36" s="130"/>
      <c r="L36" s="132"/>
      <c r="M36" s="26"/>
      <c r="N36" s="129"/>
      <c r="O36" s="132"/>
      <c r="Q36" s="126"/>
      <c r="R36" s="125"/>
      <c r="T36" s="1"/>
      <c r="X36" s="168"/>
      <c r="Y36" s="168"/>
      <c r="AA36" s="168"/>
    </row>
    <row r="37" spans="1:29" s="124" customFormat="1" ht="18" customHeight="1" x14ac:dyDescent="0.15">
      <c r="A37" s="127"/>
      <c r="B37" s="135">
        <v>42467</v>
      </c>
      <c r="C37" s="130"/>
      <c r="D37" s="130"/>
      <c r="E37" s="131"/>
      <c r="F37" s="162"/>
      <c r="G37" s="129"/>
      <c r="H37" s="174"/>
      <c r="I37" s="129"/>
      <c r="J37" s="129"/>
      <c r="K37" s="130"/>
      <c r="L37" s="132"/>
      <c r="M37" s="26"/>
      <c r="N37" s="129"/>
      <c r="O37" s="132"/>
      <c r="Q37" s="126"/>
      <c r="R37" s="125"/>
      <c r="T37" s="1"/>
      <c r="X37" s="168"/>
      <c r="Y37" s="168"/>
      <c r="AA37" s="168"/>
    </row>
    <row r="38" spans="1:29" s="124" customFormat="1" ht="18" customHeight="1" x14ac:dyDescent="0.15">
      <c r="A38" s="127"/>
      <c r="B38" s="135">
        <v>42468</v>
      </c>
      <c r="C38" s="130"/>
      <c r="D38" s="130"/>
      <c r="E38" s="131"/>
      <c r="F38" s="162"/>
      <c r="G38" s="129"/>
      <c r="H38" s="174"/>
      <c r="I38" s="129"/>
      <c r="J38" s="129"/>
      <c r="K38" s="130"/>
      <c r="L38" s="132"/>
      <c r="M38" s="26"/>
      <c r="N38" s="129"/>
      <c r="O38" s="132"/>
      <c r="Q38" s="126"/>
      <c r="R38" s="125"/>
      <c r="T38" s="1"/>
      <c r="X38" s="168"/>
      <c r="Y38" s="168"/>
      <c r="AA38" s="168"/>
    </row>
    <row r="39" spans="1:29" s="124" customFormat="1" ht="18" customHeight="1" x14ac:dyDescent="0.15">
      <c r="A39" s="127"/>
      <c r="B39" s="135">
        <v>42471</v>
      </c>
      <c r="C39" s="130"/>
      <c r="D39" s="130"/>
      <c r="E39" s="131"/>
      <c r="F39" s="162"/>
      <c r="G39" s="129"/>
      <c r="H39" s="174"/>
      <c r="I39" s="129"/>
      <c r="J39" s="129"/>
      <c r="K39" s="130"/>
      <c r="L39" s="132"/>
      <c r="M39" s="26"/>
      <c r="N39" s="129"/>
      <c r="O39" s="132"/>
      <c r="Q39" s="126"/>
      <c r="R39" s="125"/>
      <c r="T39" s="1"/>
      <c r="X39" s="168"/>
      <c r="Y39" s="168"/>
      <c r="AA39" s="168"/>
    </row>
    <row r="40" spans="1:29" s="124" customFormat="1" ht="18" customHeight="1" x14ac:dyDescent="0.15">
      <c r="A40" s="127"/>
      <c r="B40" s="135">
        <v>42472</v>
      </c>
      <c r="C40" s="130"/>
      <c r="D40" s="130"/>
      <c r="E40" s="131"/>
      <c r="F40" s="162"/>
      <c r="G40" s="129"/>
      <c r="H40" s="174"/>
      <c r="I40" s="129"/>
      <c r="J40" s="129"/>
      <c r="K40" s="130"/>
      <c r="L40" s="132"/>
      <c r="M40" s="26"/>
      <c r="N40" s="129"/>
      <c r="O40" s="132"/>
      <c r="Q40" s="126"/>
      <c r="R40" s="125"/>
      <c r="T40" s="1"/>
      <c r="X40" s="168"/>
      <c r="Y40" s="168"/>
      <c r="AA40" s="168"/>
    </row>
    <row r="41" spans="1:29" s="115" customFormat="1" x14ac:dyDescent="0.15">
      <c r="A41" s="118"/>
      <c r="B41" s="135">
        <v>42473</v>
      </c>
      <c r="C41" s="121"/>
      <c r="D41" s="121"/>
      <c r="E41" s="122"/>
      <c r="F41" s="162"/>
      <c r="G41" s="120"/>
      <c r="H41" s="174"/>
      <c r="I41" s="120"/>
      <c r="J41" s="120"/>
      <c r="K41" s="121"/>
      <c r="L41" s="123"/>
      <c r="M41" s="26"/>
      <c r="N41" s="120"/>
      <c r="O41" s="123"/>
      <c r="Q41" s="117"/>
      <c r="R41" s="116"/>
      <c r="T41" s="1"/>
      <c r="X41" s="168"/>
      <c r="Y41" s="168"/>
      <c r="AA41" s="168"/>
    </row>
    <row r="42" spans="1:29" s="115" customFormat="1" x14ac:dyDescent="0.15">
      <c r="A42" s="118"/>
      <c r="B42" s="135">
        <v>42474</v>
      </c>
      <c r="C42" s="121"/>
      <c r="D42" s="121"/>
      <c r="E42" s="122"/>
      <c r="F42" s="162"/>
      <c r="G42" s="120"/>
      <c r="H42" s="174"/>
      <c r="I42" s="120"/>
      <c r="J42" s="120"/>
      <c r="K42" s="121"/>
      <c r="L42" s="123"/>
      <c r="M42" s="26"/>
      <c r="N42" s="120"/>
      <c r="O42" s="123"/>
      <c r="Q42" s="117"/>
      <c r="R42" s="116"/>
      <c r="T42" s="1"/>
      <c r="X42" s="168"/>
      <c r="Y42" s="168"/>
      <c r="AA42" s="168"/>
    </row>
    <row r="43" spans="1:29" s="115" customFormat="1" x14ac:dyDescent="0.15">
      <c r="A43" s="118"/>
      <c r="B43" s="135">
        <v>42475</v>
      </c>
      <c r="C43" s="121"/>
      <c r="D43" s="121"/>
      <c r="E43" s="122"/>
      <c r="F43" s="162"/>
      <c r="G43" s="120"/>
      <c r="H43" s="174"/>
      <c r="I43" s="120"/>
      <c r="J43" s="120"/>
      <c r="K43" s="121"/>
      <c r="L43" s="123"/>
      <c r="M43" s="26"/>
      <c r="N43" s="120"/>
      <c r="O43" s="123"/>
      <c r="Q43" s="117"/>
      <c r="R43" s="116"/>
      <c r="T43" s="1"/>
      <c r="X43" s="168"/>
      <c r="Y43" s="168"/>
      <c r="AA43" s="168"/>
    </row>
    <row r="44" spans="1:29" s="115" customFormat="1" x14ac:dyDescent="0.15">
      <c r="A44" s="118"/>
      <c r="B44" s="135">
        <v>42478</v>
      </c>
      <c r="C44" s="121"/>
      <c r="D44" s="121"/>
      <c r="E44" s="122"/>
      <c r="F44" s="162"/>
      <c r="G44" s="120"/>
      <c r="H44" s="174"/>
      <c r="I44" s="120"/>
      <c r="J44" s="120"/>
      <c r="K44" s="121"/>
      <c r="L44" s="123"/>
      <c r="M44" s="26"/>
      <c r="N44" s="120"/>
      <c r="O44" s="123"/>
      <c r="Q44" s="117"/>
      <c r="R44" s="116"/>
      <c r="T44" s="1"/>
      <c r="X44" s="168"/>
      <c r="Y44" s="168"/>
      <c r="AA44" s="168"/>
    </row>
    <row r="45" spans="1:29" s="115" customFormat="1" x14ac:dyDescent="0.15">
      <c r="A45" s="118"/>
      <c r="B45" s="135">
        <v>42479</v>
      </c>
      <c r="C45" s="121"/>
      <c r="D45" s="121"/>
      <c r="E45" s="122"/>
      <c r="F45" s="162"/>
      <c r="G45" s="120"/>
      <c r="H45" s="174"/>
      <c r="I45" s="120"/>
      <c r="J45" s="120"/>
      <c r="K45" s="121"/>
      <c r="L45" s="123"/>
      <c r="M45" s="26"/>
      <c r="N45" s="120"/>
      <c r="O45" s="123"/>
      <c r="Q45" s="117"/>
      <c r="R45" s="116"/>
      <c r="T45" s="1"/>
      <c r="X45" s="168"/>
      <c r="Y45" s="168"/>
      <c r="AA45" s="168"/>
    </row>
    <row r="46" spans="1:29" s="115" customFormat="1" x14ac:dyDescent="0.15">
      <c r="A46" s="118"/>
      <c r="B46" s="135">
        <v>42480</v>
      </c>
      <c r="C46" s="121"/>
      <c r="D46" s="121"/>
      <c r="E46" s="122"/>
      <c r="F46" s="162"/>
      <c r="G46" s="120"/>
      <c r="H46" s="174"/>
      <c r="I46" s="120"/>
      <c r="J46" s="120"/>
      <c r="K46" s="121"/>
      <c r="L46" s="123"/>
      <c r="M46" s="26"/>
      <c r="N46" s="120"/>
      <c r="O46" s="123"/>
      <c r="Q46" s="117"/>
      <c r="R46" s="116"/>
      <c r="T46" s="1"/>
      <c r="X46" s="168"/>
      <c r="Y46" s="168"/>
      <c r="AA46" s="168"/>
    </row>
    <row r="47" spans="1:29" s="170" customFormat="1" x14ac:dyDescent="0.15">
      <c r="A47" s="170" t="s">
        <v>25</v>
      </c>
      <c r="B47" s="172">
        <v>42481</v>
      </c>
      <c r="C47" s="170" t="s">
        <v>26</v>
      </c>
      <c r="D47" s="170" t="s">
        <v>27</v>
      </c>
      <c r="E47" s="170">
        <v>1007871</v>
      </c>
      <c r="F47" s="170">
        <f>K47*I47</f>
        <v>1000923.0000000001</v>
      </c>
      <c r="G47" s="170">
        <f>I47*J47</f>
        <v>1007871.000164</v>
      </c>
      <c r="H47" s="170">
        <f>G47*(1+Q47)</f>
        <v>1002280.1962155869</v>
      </c>
      <c r="I47" s="170">
        <v>61900</v>
      </c>
      <c r="J47" s="170">
        <v>16.28224556</v>
      </c>
      <c r="K47" s="170">
        <v>16.170000000000002</v>
      </c>
      <c r="L47" s="171">
        <f>(K47-J47)/J47</f>
        <v>-6.8937395389581683E-3</v>
      </c>
      <c r="M47" s="170">
        <v>5982.19</v>
      </c>
      <c r="N47" s="170">
        <v>5970.6819999999998</v>
      </c>
      <c r="O47" s="171">
        <f>(N47-M47)/M47</f>
        <v>-1.9237102131493336E-3</v>
      </c>
      <c r="P47" s="184">
        <f>L47-O47</f>
        <v>-4.9700293258088347E-3</v>
      </c>
      <c r="Q47" s="171">
        <f>L47*0.3+P47*0.7</f>
        <v>-5.5471423897536344E-3</v>
      </c>
      <c r="R47" s="170">
        <f>G47*Q47</f>
        <v>-5590.8039484131168</v>
      </c>
      <c r="S47" s="171">
        <f>(K47-$J$47)/$J$47</f>
        <v>-6.8937395389581683E-3</v>
      </c>
      <c r="T47" s="184">
        <f>(N47-$M$47)/$M$47</f>
        <v>-1.9237102131493336E-3</v>
      </c>
      <c r="U47" s="171">
        <f>(S47-T47)*0.7+S47*0.3</f>
        <v>-5.5471423897536344E-3</v>
      </c>
      <c r="V47" s="170">
        <f>E47*U47</f>
        <v>-5590.8039475033856</v>
      </c>
      <c r="W47" s="170">
        <f>E47*S47</f>
        <v>-6948.000162869308</v>
      </c>
      <c r="X47" s="171">
        <f>L47</f>
        <v>-6.8937395389581683E-3</v>
      </c>
      <c r="Y47" s="171">
        <f>O47</f>
        <v>-1.9237102131493336E-3</v>
      </c>
      <c r="Z47" s="184">
        <f>X47-Y47</f>
        <v>-4.9700293258088347E-3</v>
      </c>
      <c r="AA47" s="171">
        <f>X47*0.3+Z47*0.7</f>
        <v>-5.5471423897536344E-3</v>
      </c>
      <c r="AB47" s="170">
        <f>V47</f>
        <v>-5590.8039475033856</v>
      </c>
      <c r="AC47" s="184">
        <f>AA47</f>
        <v>-5.5471423897536344E-3</v>
      </c>
    </row>
    <row r="48" spans="1:29" s="170" customFormat="1" x14ac:dyDescent="0.15">
      <c r="B48" s="172">
        <v>42482</v>
      </c>
      <c r="C48" s="170" t="s">
        <v>26</v>
      </c>
      <c r="D48" s="170" t="s">
        <v>27</v>
      </c>
      <c r="E48" s="170">
        <v>1007871</v>
      </c>
      <c r="F48" s="170">
        <f t="shared" ref="F48:F70" si="0">K48*I48</f>
        <v>1015159.9999999999</v>
      </c>
      <c r="G48" s="170">
        <f>G47*(1+Q47)</f>
        <v>1002280.1962155869</v>
      </c>
      <c r="H48" s="170">
        <f t="shared" ref="H48:H69" si="1">G48*(1+Q48)</f>
        <v>1011761.2567274123</v>
      </c>
      <c r="I48" s="170">
        <v>61900</v>
      </c>
      <c r="J48" s="170">
        <v>16.170000000000002</v>
      </c>
      <c r="K48" s="170">
        <v>16.399999999999999</v>
      </c>
      <c r="L48" s="171">
        <f t="shared" ref="L48:L93" si="2">(K48-J48)/J48</f>
        <v>1.4223871366728315E-2</v>
      </c>
      <c r="M48" s="170">
        <v>5970.6819999999998</v>
      </c>
      <c r="N48" s="170">
        <v>6011.32</v>
      </c>
      <c r="O48" s="171">
        <f t="shared" ref="O48:O67" si="3">(N48-M48)/M48</f>
        <v>6.8062576435991605E-3</v>
      </c>
      <c r="P48" s="184">
        <f t="shared" ref="P48:P67" si="4">L48-O48</f>
        <v>7.4176137231291546E-3</v>
      </c>
      <c r="Q48" s="171">
        <f t="shared" ref="Q48:Q67" si="5">L48*0.3+P48*0.7</f>
        <v>9.4594910162089027E-3</v>
      </c>
      <c r="R48" s="170">
        <f t="shared" ref="R48:R67" si="6">G48*Q48</f>
        <v>9481.0605118254407</v>
      </c>
      <c r="S48" s="171">
        <f t="shared" ref="S48:S67" si="7">(K48-$J$47)/$J$47</f>
        <v>7.232076163332277E-3</v>
      </c>
      <c r="T48" s="184">
        <f t="shared" ref="T48:T67" si="8">(N48-$M$47)/$M$47</f>
        <v>4.8694541631075089E-3</v>
      </c>
      <c r="U48" s="171">
        <f t="shared" ref="U48:U67" si="9">(S48-T48)*0.7+S48*0.3</f>
        <v>3.8234582491570206E-3</v>
      </c>
      <c r="V48" s="170">
        <f t="shared" ref="V48:V67" si="10">E48*U48</f>
        <v>3853.5526890361357</v>
      </c>
      <c r="W48" s="170">
        <f t="shared" ref="W48:W67" si="11">E48*S48</f>
        <v>7288.9998348138652</v>
      </c>
      <c r="X48" s="171">
        <f t="shared" ref="X48:X74" si="12">(K48-K47)/K47</f>
        <v>1.4223871366728315E-2</v>
      </c>
      <c r="Y48" s="171">
        <f t="shared" ref="Y48:Y74" si="13">(N48-N47)/N47</f>
        <v>6.8062576435991605E-3</v>
      </c>
      <c r="Z48" s="184">
        <f t="shared" ref="Z48:Z74" si="14">X48-Y48</f>
        <v>7.4176137231291546E-3</v>
      </c>
      <c r="AA48" s="171">
        <f t="shared" ref="AA48:AA74" si="15">X48*0.3+Z48*0.7</f>
        <v>9.4594910162089027E-3</v>
      </c>
      <c r="AB48" s="170">
        <f>V48-V47</f>
        <v>9444.3566365395218</v>
      </c>
      <c r="AC48" s="184">
        <f>AC47+AA48</f>
        <v>3.9123486264552683E-3</v>
      </c>
    </row>
    <row r="49" spans="2:29" s="170" customFormat="1" x14ac:dyDescent="0.15">
      <c r="B49" s="172">
        <v>42485</v>
      </c>
      <c r="C49" s="170" t="s">
        <v>26</v>
      </c>
      <c r="D49" s="170" t="s">
        <v>27</v>
      </c>
      <c r="E49" s="170">
        <v>1007871</v>
      </c>
      <c r="F49" s="170">
        <f t="shared" si="0"/>
        <v>974925</v>
      </c>
      <c r="G49" s="170">
        <f t="shared" ref="G49:G69" si="16">G48*(1+Q48)</f>
        <v>1011761.2567274123</v>
      </c>
      <c r="H49" s="170">
        <f t="shared" si="1"/>
        <v>975577.53801418666</v>
      </c>
      <c r="I49" s="170">
        <v>61900</v>
      </c>
      <c r="J49" s="170">
        <v>16.399999999999999</v>
      </c>
      <c r="K49" s="170">
        <v>15.75</v>
      </c>
      <c r="L49" s="171">
        <f t="shared" si="2"/>
        <v>-3.9634146341463332E-2</v>
      </c>
      <c r="M49" s="170">
        <v>6011.32</v>
      </c>
      <c r="N49" s="170">
        <v>5978.0770000000002</v>
      </c>
      <c r="O49" s="171">
        <f t="shared" si="3"/>
        <v>-5.5300666076667825E-3</v>
      </c>
      <c r="P49" s="184">
        <f t="shared" si="4"/>
        <v>-3.4104079733796547E-2</v>
      </c>
      <c r="Q49" s="171">
        <f t="shared" si="5"/>
        <v>-3.5763099716096577E-2</v>
      </c>
      <c r="R49" s="170">
        <f t="shared" si="6"/>
        <v>-36183.718713225637</v>
      </c>
      <c r="S49" s="171">
        <f t="shared" si="7"/>
        <v>-3.2688707343141173E-2</v>
      </c>
      <c r="T49" s="184">
        <f t="shared" si="8"/>
        <v>-6.8754085042423835E-4</v>
      </c>
      <c r="U49" s="171">
        <f t="shared" si="9"/>
        <v>-3.2207428747844206E-2</v>
      </c>
      <c r="V49" s="170">
        <f t="shared" si="10"/>
        <v>-32460.933419518489</v>
      </c>
      <c r="W49" s="170">
        <f t="shared" si="11"/>
        <v>-32946.000158639035</v>
      </c>
      <c r="X49" s="171">
        <f t="shared" si="12"/>
        <v>-3.9634146341463332E-2</v>
      </c>
      <c r="Y49" s="171">
        <f t="shared" si="13"/>
        <v>-5.5300666076667825E-3</v>
      </c>
      <c r="Z49" s="184">
        <f t="shared" si="14"/>
        <v>-3.4104079733796547E-2</v>
      </c>
      <c r="AA49" s="171">
        <f t="shared" si="15"/>
        <v>-3.5763099716096577E-2</v>
      </c>
      <c r="AB49" s="170">
        <f t="shared" ref="AB49:AB73" si="17">V49-V48</f>
        <v>-36314.486108554622</v>
      </c>
      <c r="AC49" s="184">
        <f t="shared" ref="AC49:AC74" si="18">AC48+AA49</f>
        <v>-3.1850751089641312E-2</v>
      </c>
    </row>
    <row r="50" spans="2:29" s="170" customFormat="1" x14ac:dyDescent="0.15">
      <c r="B50" s="172">
        <v>42486</v>
      </c>
      <c r="C50" s="170" t="s">
        <v>26</v>
      </c>
      <c r="D50" s="170" t="s">
        <v>27</v>
      </c>
      <c r="E50" s="170">
        <v>1007871</v>
      </c>
      <c r="F50" s="170">
        <f t="shared" si="0"/>
        <v>989162</v>
      </c>
      <c r="G50" s="170">
        <f t="shared" si="16"/>
        <v>975577.53801418666</v>
      </c>
      <c r="H50" s="170">
        <f t="shared" si="1"/>
        <v>981976.59508810879</v>
      </c>
      <c r="I50" s="170">
        <v>61900</v>
      </c>
      <c r="J50" s="170">
        <v>15.75</v>
      </c>
      <c r="K50" s="170">
        <v>15.98</v>
      </c>
      <c r="L50" s="171">
        <f t="shared" si="2"/>
        <v>1.460317460317463E-2</v>
      </c>
      <c r="M50" s="170">
        <v>5978.0770000000002</v>
      </c>
      <c r="N50" s="170">
        <v>6046.7730000000001</v>
      </c>
      <c r="O50" s="171">
        <f t="shared" si="3"/>
        <v>1.1491320703965491E-2</v>
      </c>
      <c r="P50" s="184">
        <f t="shared" si="4"/>
        <v>3.1118538992091389E-3</v>
      </c>
      <c r="Q50" s="171">
        <f t="shared" si="5"/>
        <v>6.5592501103987864E-3</v>
      </c>
      <c r="R50" s="170">
        <f t="shared" si="6"/>
        <v>6399.0570739221303</v>
      </c>
      <c r="S50" s="171">
        <f t="shared" si="7"/>
        <v>-1.8562891640850513E-2</v>
      </c>
      <c r="T50" s="184">
        <f t="shared" si="8"/>
        <v>1.0795879101131951E-2</v>
      </c>
      <c r="U50" s="171">
        <f t="shared" si="9"/>
        <v>-2.6120007011642878E-2</v>
      </c>
      <c r="V50" s="170">
        <f t="shared" si="10"/>
        <v>-26325.597586831518</v>
      </c>
      <c r="W50" s="170">
        <f t="shared" si="11"/>
        <v>-18709.000160955646</v>
      </c>
      <c r="X50" s="171">
        <f t="shared" si="12"/>
        <v>1.460317460317463E-2</v>
      </c>
      <c r="Y50" s="171">
        <f t="shared" si="13"/>
        <v>1.1491320703965491E-2</v>
      </c>
      <c r="Z50" s="184">
        <f t="shared" si="14"/>
        <v>3.1118538992091389E-3</v>
      </c>
      <c r="AA50" s="171">
        <f t="shared" si="15"/>
        <v>6.5592501103987864E-3</v>
      </c>
      <c r="AB50" s="170">
        <f t="shared" si="17"/>
        <v>6135.3358326869711</v>
      </c>
      <c r="AC50" s="184">
        <f t="shared" si="18"/>
        <v>-2.5291500979242525E-2</v>
      </c>
    </row>
    <row r="51" spans="2:29" s="170" customFormat="1" x14ac:dyDescent="0.15">
      <c r="B51" s="172">
        <v>42487</v>
      </c>
      <c r="C51" s="170" t="s">
        <v>26</v>
      </c>
      <c r="D51" s="170" t="s">
        <v>27</v>
      </c>
      <c r="E51" s="170">
        <v>1007871</v>
      </c>
      <c r="F51" s="170">
        <f t="shared" si="0"/>
        <v>982353</v>
      </c>
      <c r="G51" s="170">
        <f t="shared" si="16"/>
        <v>981976.59508810879</v>
      </c>
      <c r="H51" s="170">
        <f t="shared" si="1"/>
        <v>978635.80156126409</v>
      </c>
      <c r="I51" s="170">
        <v>61900</v>
      </c>
      <c r="J51" s="170">
        <v>15.98</v>
      </c>
      <c r="K51" s="170">
        <v>15.87</v>
      </c>
      <c r="L51" s="171">
        <f t="shared" si="2"/>
        <v>-6.8836045056321158E-3</v>
      </c>
      <c r="M51" s="170">
        <v>6046.7730000000001</v>
      </c>
      <c r="N51" s="170">
        <v>6016.6989999999996</v>
      </c>
      <c r="O51" s="171">
        <f t="shared" si="3"/>
        <v>-4.9735619312979871E-3</v>
      </c>
      <c r="P51" s="184">
        <f t="shared" si="4"/>
        <v>-1.9100425743341287E-3</v>
      </c>
      <c r="Q51" s="171">
        <f t="shared" si="5"/>
        <v>-3.4021111537235246E-3</v>
      </c>
      <c r="R51" s="170">
        <f t="shared" si="6"/>
        <v>-3340.793526844704</v>
      </c>
      <c r="S51" s="171">
        <f t="shared" si="7"/>
        <v>-2.5318716541946108E-2</v>
      </c>
      <c r="T51" s="184">
        <f t="shared" si="8"/>
        <v>5.7686231965216779E-3</v>
      </c>
      <c r="U51" s="171">
        <f t="shared" si="9"/>
        <v>-2.9356752779511282E-2</v>
      </c>
      <c r="V51" s="170">
        <f t="shared" si="10"/>
        <v>-29587.819780638816</v>
      </c>
      <c r="W51" s="170">
        <f t="shared" si="11"/>
        <v>-25518.000159847765</v>
      </c>
      <c r="X51" s="171">
        <f t="shared" si="12"/>
        <v>-6.8836045056321158E-3</v>
      </c>
      <c r="Y51" s="171">
        <f t="shared" si="13"/>
        <v>-4.9735619312979871E-3</v>
      </c>
      <c r="Z51" s="184">
        <f t="shared" si="14"/>
        <v>-1.9100425743341287E-3</v>
      </c>
      <c r="AA51" s="171">
        <f t="shared" si="15"/>
        <v>-3.4021111537235246E-3</v>
      </c>
      <c r="AB51" s="170">
        <f t="shared" si="17"/>
        <v>-3262.222193807298</v>
      </c>
      <c r="AC51" s="184">
        <f t="shared" si="18"/>
        <v>-2.8693612132966048E-2</v>
      </c>
    </row>
    <row r="52" spans="2:29" s="170" customFormat="1" x14ac:dyDescent="0.15">
      <c r="B52" s="172">
        <v>42488</v>
      </c>
      <c r="C52" s="170" t="s">
        <v>26</v>
      </c>
      <c r="D52" s="170" t="s">
        <v>27</v>
      </c>
      <c r="E52" s="170">
        <v>1007871</v>
      </c>
      <c r="F52" s="170">
        <f t="shared" si="0"/>
        <v>985448</v>
      </c>
      <c r="G52" s="170">
        <f t="shared" si="16"/>
        <v>978635.80156126409</v>
      </c>
      <c r="H52" s="170">
        <f t="shared" si="1"/>
        <v>984721.50697811448</v>
      </c>
      <c r="I52" s="170">
        <v>61900</v>
      </c>
      <c r="J52" s="170">
        <v>15.87</v>
      </c>
      <c r="K52" s="170">
        <v>15.92</v>
      </c>
      <c r="L52" s="171">
        <f t="shared" si="2"/>
        <v>3.1505986137366549E-3</v>
      </c>
      <c r="M52" s="170">
        <v>6016.6989999999996</v>
      </c>
      <c r="N52" s="170">
        <v>5990.3289999999997</v>
      </c>
      <c r="O52" s="171">
        <f t="shared" si="3"/>
        <v>-4.3828019317569142E-3</v>
      </c>
      <c r="P52" s="184">
        <f t="shared" si="4"/>
        <v>7.5334005454935696E-3</v>
      </c>
      <c r="Q52" s="171">
        <f t="shared" si="5"/>
        <v>6.2185599659664945E-3</v>
      </c>
      <c r="R52" s="170">
        <f t="shared" si="6"/>
        <v>6085.7054168504073</v>
      </c>
      <c r="S52" s="171">
        <f t="shared" si="7"/>
        <v>-2.2247887041448099E-2</v>
      </c>
      <c r="T52" s="184">
        <f t="shared" si="8"/>
        <v>1.3605385318754711E-3</v>
      </c>
      <c r="U52" s="171">
        <f t="shared" si="9"/>
        <v>-2.3200264013760928E-2</v>
      </c>
      <c r="V52" s="170">
        <f t="shared" si="10"/>
        <v>-23382.873291813241</v>
      </c>
      <c r="W52" s="170">
        <f t="shared" si="11"/>
        <v>-22423.000160351337</v>
      </c>
      <c r="X52" s="171">
        <f t="shared" si="12"/>
        <v>3.1505986137366549E-3</v>
      </c>
      <c r="Y52" s="171">
        <f t="shared" si="13"/>
        <v>-4.3828019317569142E-3</v>
      </c>
      <c r="Z52" s="184">
        <f t="shared" si="14"/>
        <v>7.5334005454935696E-3</v>
      </c>
      <c r="AA52" s="171">
        <f t="shared" si="15"/>
        <v>6.2185599659664945E-3</v>
      </c>
      <c r="AB52" s="170">
        <f t="shared" si="17"/>
        <v>6204.9464888255752</v>
      </c>
      <c r="AC52" s="184">
        <f t="shared" si="18"/>
        <v>-2.2475052166999555E-2</v>
      </c>
    </row>
    <row r="53" spans="2:29" s="170" customFormat="1" x14ac:dyDescent="0.15">
      <c r="B53" s="172">
        <v>42489</v>
      </c>
      <c r="C53" s="170" t="s">
        <v>26</v>
      </c>
      <c r="D53" s="170" t="s">
        <v>27</v>
      </c>
      <c r="E53" s="170">
        <v>1007871</v>
      </c>
      <c r="F53" s="170">
        <f t="shared" si="0"/>
        <v>988543</v>
      </c>
      <c r="G53" s="170">
        <f t="shared" si="16"/>
        <v>984721.50697811448</v>
      </c>
      <c r="H53" s="170">
        <f t="shared" si="1"/>
        <v>988359.08006651339</v>
      </c>
      <c r="I53" s="170">
        <v>61900</v>
      </c>
      <c r="J53" s="170">
        <v>15.92</v>
      </c>
      <c r="K53" s="170">
        <v>15.97</v>
      </c>
      <c r="L53" s="171">
        <f t="shared" si="2"/>
        <v>3.1407035175879845E-3</v>
      </c>
      <c r="M53" s="170">
        <v>5990.3289999999997</v>
      </c>
      <c r="N53" s="170">
        <v>5985.5940000000001</v>
      </c>
      <c r="O53" s="171">
        <f t="shared" si="3"/>
        <v>-7.9044072537579697E-4</v>
      </c>
      <c r="P53" s="184">
        <f t="shared" si="4"/>
        <v>3.9311442429637812E-3</v>
      </c>
      <c r="Q53" s="171">
        <f t="shared" si="5"/>
        <v>3.6940120253510416E-3</v>
      </c>
      <c r="R53" s="170">
        <f t="shared" si="6"/>
        <v>3637.5730883989545</v>
      </c>
      <c r="S53" s="171">
        <f t="shared" si="7"/>
        <v>-1.9177057540950091E-2</v>
      </c>
      <c r="T53" s="184">
        <f t="shared" si="8"/>
        <v>5.6902238143563663E-4</v>
      </c>
      <c r="U53" s="171">
        <f t="shared" si="9"/>
        <v>-1.9575373207955035E-2</v>
      </c>
      <c r="V53" s="170">
        <f t="shared" si="10"/>
        <v>-19729.450970474849</v>
      </c>
      <c r="W53" s="170">
        <f t="shared" si="11"/>
        <v>-19328.00016085491</v>
      </c>
      <c r="X53" s="171">
        <f t="shared" si="12"/>
        <v>3.1407035175879845E-3</v>
      </c>
      <c r="Y53" s="171">
        <f t="shared" si="13"/>
        <v>-7.9044072537579697E-4</v>
      </c>
      <c r="Z53" s="184">
        <f t="shared" si="14"/>
        <v>3.9311442429637812E-3</v>
      </c>
      <c r="AA53" s="171">
        <f t="shared" si="15"/>
        <v>3.6940120253510416E-3</v>
      </c>
      <c r="AB53" s="170">
        <f t="shared" si="17"/>
        <v>3653.4223213383921</v>
      </c>
      <c r="AC53" s="184">
        <f t="shared" si="18"/>
        <v>-1.8781040141648515E-2</v>
      </c>
    </row>
    <row r="54" spans="2:29" s="170" customFormat="1" x14ac:dyDescent="0.15">
      <c r="B54" s="172">
        <v>42493</v>
      </c>
      <c r="C54" s="170" t="s">
        <v>26</v>
      </c>
      <c r="D54" s="170" t="s">
        <v>27</v>
      </c>
      <c r="E54" s="170">
        <v>1007871</v>
      </c>
      <c r="F54" s="170">
        <f t="shared" si="0"/>
        <v>1026921</v>
      </c>
      <c r="G54" s="170">
        <f t="shared" si="16"/>
        <v>988359.08006651339</v>
      </c>
      <c r="H54" s="170">
        <f t="shared" si="1"/>
        <v>1005709.4549953137</v>
      </c>
      <c r="I54" s="170">
        <v>61900</v>
      </c>
      <c r="J54" s="170">
        <v>15.97</v>
      </c>
      <c r="K54" s="170">
        <v>16.59</v>
      </c>
      <c r="L54" s="171">
        <f t="shared" si="2"/>
        <v>3.8822792736380667E-2</v>
      </c>
      <c r="M54" s="170">
        <v>5985.5940000000001</v>
      </c>
      <c r="N54" s="170">
        <v>6167.4539999999997</v>
      </c>
      <c r="O54" s="171">
        <f t="shared" si="3"/>
        <v>3.0382949461657385E-2</v>
      </c>
      <c r="P54" s="184">
        <f t="shared" si="4"/>
        <v>8.4398432747232813E-3</v>
      </c>
      <c r="Q54" s="171">
        <f t="shared" si="5"/>
        <v>1.7554728113220494E-2</v>
      </c>
      <c r="R54" s="170">
        <f t="shared" si="6"/>
        <v>17350.374928800367</v>
      </c>
      <c r="S54" s="171">
        <f t="shared" si="7"/>
        <v>1.8901228265224619E-2</v>
      </c>
      <c r="T54" s="184">
        <f t="shared" si="8"/>
        <v>3.0969260421350731E-2</v>
      </c>
      <c r="U54" s="171">
        <f t="shared" si="9"/>
        <v>-2.7772540297208914E-3</v>
      </c>
      <c r="V54" s="170">
        <f t="shared" si="10"/>
        <v>-2799.1137961888244</v>
      </c>
      <c r="W54" s="170">
        <f t="shared" si="11"/>
        <v>19049.999832900201</v>
      </c>
      <c r="X54" s="171">
        <f t="shared" si="12"/>
        <v>3.8822792736380667E-2</v>
      </c>
      <c r="Y54" s="171">
        <f t="shared" si="13"/>
        <v>3.0382949461657385E-2</v>
      </c>
      <c r="Z54" s="184">
        <f t="shared" si="14"/>
        <v>8.4398432747232813E-3</v>
      </c>
      <c r="AA54" s="171">
        <f t="shared" si="15"/>
        <v>1.7554728113220494E-2</v>
      </c>
      <c r="AB54" s="170">
        <f t="shared" si="17"/>
        <v>16930.337174286025</v>
      </c>
      <c r="AC54" s="184">
        <f t="shared" si="18"/>
        <v>-1.2263120284280206E-3</v>
      </c>
    </row>
    <row r="55" spans="2:29" s="170" customFormat="1" x14ac:dyDescent="0.15">
      <c r="B55" s="172">
        <v>42494</v>
      </c>
      <c r="C55" s="170" t="s">
        <v>26</v>
      </c>
      <c r="D55" s="170" t="s">
        <v>27</v>
      </c>
      <c r="E55" s="170">
        <v>1007871</v>
      </c>
      <c r="F55" s="170">
        <f t="shared" si="0"/>
        <v>1020730.9999999999</v>
      </c>
      <c r="G55" s="170">
        <f t="shared" si="16"/>
        <v>1005709.4549953137</v>
      </c>
      <c r="H55" s="170">
        <f t="shared" si="1"/>
        <v>999381.46395326382</v>
      </c>
      <c r="I55" s="170">
        <v>61900</v>
      </c>
      <c r="J55" s="170">
        <v>16.59</v>
      </c>
      <c r="K55" s="170">
        <v>16.489999999999998</v>
      </c>
      <c r="L55" s="171">
        <f t="shared" si="2"/>
        <v>-6.0277275467149746E-3</v>
      </c>
      <c r="M55" s="170">
        <v>6167.4539999999997</v>
      </c>
      <c r="N55" s="170">
        <v>6169.7830000000004</v>
      </c>
      <c r="O55" s="171">
        <f t="shared" si="3"/>
        <v>3.7762746183443496E-4</v>
      </c>
      <c r="P55" s="184">
        <f t="shared" si="4"/>
        <v>-6.4053550085494092E-3</v>
      </c>
      <c r="Q55" s="171">
        <f t="shared" si="5"/>
        <v>-6.2920667699990782E-3</v>
      </c>
      <c r="R55" s="170">
        <f t="shared" si="6"/>
        <v>-6327.9910420498964</v>
      </c>
      <c r="S55" s="171">
        <f t="shared" si="7"/>
        <v>1.2759569264228604E-2</v>
      </c>
      <c r="T55" s="184">
        <f t="shared" si="8"/>
        <v>3.135858272639297E-2</v>
      </c>
      <c r="U55" s="171">
        <f t="shared" si="9"/>
        <v>-9.1914386442464753E-3</v>
      </c>
      <c r="V55" s="170">
        <f t="shared" si="10"/>
        <v>-9263.7844578153399</v>
      </c>
      <c r="W55" s="170">
        <f t="shared" si="11"/>
        <v>12859.999833907348</v>
      </c>
      <c r="X55" s="171">
        <f t="shared" si="12"/>
        <v>-6.0277275467149746E-3</v>
      </c>
      <c r="Y55" s="171">
        <f t="shared" si="13"/>
        <v>3.7762746183443496E-4</v>
      </c>
      <c r="Z55" s="184">
        <f t="shared" si="14"/>
        <v>-6.4053550085494092E-3</v>
      </c>
      <c r="AA55" s="171">
        <f t="shared" si="15"/>
        <v>-6.2920667699990782E-3</v>
      </c>
      <c r="AB55" s="170">
        <f t="shared" si="17"/>
        <v>-6464.6706616265155</v>
      </c>
      <c r="AC55" s="184">
        <f t="shared" si="18"/>
        <v>-7.5183787984270988E-3</v>
      </c>
    </row>
    <row r="56" spans="2:29" s="170" customFormat="1" x14ac:dyDescent="0.15">
      <c r="B56" s="172">
        <v>42495</v>
      </c>
      <c r="C56" s="170" t="s">
        <v>26</v>
      </c>
      <c r="D56" s="170" t="s">
        <v>27</v>
      </c>
      <c r="E56" s="170">
        <v>1007871</v>
      </c>
      <c r="F56" s="170">
        <f t="shared" si="0"/>
        <v>1029396.9999999999</v>
      </c>
      <c r="G56" s="170">
        <f t="shared" si="16"/>
        <v>999381.46395326382</v>
      </c>
      <c r="H56" s="170">
        <f t="shared" si="1"/>
        <v>1004007.227345131</v>
      </c>
      <c r="I56" s="170">
        <v>61900</v>
      </c>
      <c r="J56" s="170">
        <v>16.489999999999998</v>
      </c>
      <c r="K56" s="170">
        <v>16.63</v>
      </c>
      <c r="L56" s="171">
        <f t="shared" si="2"/>
        <v>8.4899939357186531E-3</v>
      </c>
      <c r="M56" s="170">
        <v>6169.7830000000004</v>
      </c>
      <c r="N56" s="170">
        <v>6203.817</v>
      </c>
      <c r="O56" s="171">
        <f t="shared" si="3"/>
        <v>5.5162393879978674E-3</v>
      </c>
      <c r="P56" s="184">
        <f t="shared" si="4"/>
        <v>2.9737545477207857E-3</v>
      </c>
      <c r="Q56" s="171">
        <f t="shared" si="5"/>
        <v>4.6286263641201458E-3</v>
      </c>
      <c r="R56" s="170">
        <f t="shared" si="6"/>
        <v>4625.7633918670645</v>
      </c>
      <c r="S56" s="171">
        <f t="shared" si="7"/>
        <v>2.1357891865622938E-2</v>
      </c>
      <c r="T56" s="184">
        <f t="shared" si="8"/>
        <v>3.7047803563577959E-2</v>
      </c>
      <c r="U56" s="171">
        <f t="shared" si="9"/>
        <v>-4.5755706288816327E-3</v>
      </c>
      <c r="V56" s="170">
        <f t="shared" si="10"/>
        <v>-4611.5849453015599</v>
      </c>
      <c r="W56" s="170">
        <f t="shared" si="11"/>
        <v>21525.999832497255</v>
      </c>
      <c r="X56" s="171">
        <f t="shared" si="12"/>
        <v>8.4899939357186531E-3</v>
      </c>
      <c r="Y56" s="171">
        <f t="shared" si="13"/>
        <v>5.5162393879978674E-3</v>
      </c>
      <c r="Z56" s="184">
        <f t="shared" si="14"/>
        <v>2.9737545477207857E-3</v>
      </c>
      <c r="AA56" s="171">
        <f t="shared" si="15"/>
        <v>4.6286263641201458E-3</v>
      </c>
      <c r="AB56" s="170">
        <f t="shared" si="17"/>
        <v>4652.1995125137801</v>
      </c>
      <c r="AC56" s="184">
        <f t="shared" si="18"/>
        <v>-2.889752434306953E-3</v>
      </c>
    </row>
    <row r="57" spans="2:29" s="170" customFormat="1" x14ac:dyDescent="0.15">
      <c r="B57" s="172">
        <v>42496</v>
      </c>
      <c r="C57" s="170" t="s">
        <v>26</v>
      </c>
      <c r="D57" s="170" t="s">
        <v>27</v>
      </c>
      <c r="E57" s="170">
        <v>1007871</v>
      </c>
      <c r="F57" s="170">
        <f t="shared" si="0"/>
        <v>975544</v>
      </c>
      <c r="G57" s="170">
        <f t="shared" si="16"/>
        <v>1004007.227345131</v>
      </c>
      <c r="H57" s="170">
        <f t="shared" si="1"/>
        <v>978934.84385490208</v>
      </c>
      <c r="I57" s="170">
        <v>61900</v>
      </c>
      <c r="J57" s="170">
        <v>16.63</v>
      </c>
      <c r="K57" s="170">
        <v>15.76</v>
      </c>
      <c r="L57" s="171">
        <f t="shared" si="2"/>
        <v>-5.2315093205051066E-2</v>
      </c>
      <c r="M57" s="170">
        <v>6203.817</v>
      </c>
      <c r="N57" s="170">
        <v>5961.4889999999996</v>
      </c>
      <c r="O57" s="171">
        <f t="shared" si="3"/>
        <v>-3.9061113504798808E-2</v>
      </c>
      <c r="P57" s="184">
        <f t="shared" si="4"/>
        <v>-1.3253979700252258E-2</v>
      </c>
      <c r="Q57" s="171">
        <f t="shared" si="5"/>
        <v>-2.4972313751691899E-2</v>
      </c>
      <c r="R57" s="170">
        <f t="shared" si="6"/>
        <v>-25072.383490228869</v>
      </c>
      <c r="S57" s="171">
        <f t="shared" si="7"/>
        <v>-3.2074541443041595E-2</v>
      </c>
      <c r="T57" s="184">
        <f t="shared" si="8"/>
        <v>-3.4604384013212594E-3</v>
      </c>
      <c r="U57" s="171">
        <f t="shared" si="9"/>
        <v>-2.9652234562116707E-2</v>
      </c>
      <c r="V57" s="170">
        <f t="shared" si="10"/>
        <v>-29885.627300355129</v>
      </c>
      <c r="W57" s="170">
        <f t="shared" si="11"/>
        <v>-32327.000158739775</v>
      </c>
      <c r="X57" s="171">
        <f t="shared" si="12"/>
        <v>-5.2315093205051066E-2</v>
      </c>
      <c r="Y57" s="171">
        <f t="shared" si="13"/>
        <v>-3.9061113504798808E-2</v>
      </c>
      <c r="Z57" s="184">
        <f t="shared" si="14"/>
        <v>-1.3253979700252258E-2</v>
      </c>
      <c r="AA57" s="171">
        <f t="shared" si="15"/>
        <v>-2.4972313751691899E-2</v>
      </c>
      <c r="AB57" s="170">
        <f t="shared" si="17"/>
        <v>-25274.042355053571</v>
      </c>
      <c r="AC57" s="184">
        <f t="shared" si="18"/>
        <v>-2.7862066185998853E-2</v>
      </c>
    </row>
    <row r="58" spans="2:29" s="170" customFormat="1" x14ac:dyDescent="0.15">
      <c r="B58" s="172">
        <v>42499</v>
      </c>
      <c r="C58" s="170" t="s">
        <v>26</v>
      </c>
      <c r="D58" s="170" t="s">
        <v>27</v>
      </c>
      <c r="E58" s="170">
        <v>1007871</v>
      </c>
      <c r="F58" s="170">
        <f t="shared" si="0"/>
        <v>928500</v>
      </c>
      <c r="G58" s="170">
        <f t="shared" si="16"/>
        <v>978934.84385490208</v>
      </c>
      <c r="H58" s="170">
        <f t="shared" si="1"/>
        <v>956767.57802471379</v>
      </c>
      <c r="I58" s="170">
        <v>61900</v>
      </c>
      <c r="J58" s="170">
        <v>15.76</v>
      </c>
      <c r="K58" s="170">
        <v>15</v>
      </c>
      <c r="L58" s="171">
        <f t="shared" si="2"/>
        <v>-4.8223350253807092E-2</v>
      </c>
      <c r="M58" s="170">
        <v>5961.4889999999996</v>
      </c>
      <c r="N58" s="170">
        <v>5743.6469999999999</v>
      </c>
      <c r="O58" s="171">
        <f t="shared" si="3"/>
        <v>-3.6541541886599083E-2</v>
      </c>
      <c r="P58" s="184">
        <f t="shared" si="4"/>
        <v>-1.1681808367208009E-2</v>
      </c>
      <c r="Q58" s="171">
        <f t="shared" si="5"/>
        <v>-2.2644270933187733E-2</v>
      </c>
      <c r="R58" s="170">
        <f t="shared" si="6"/>
        <v>-22167.265830188233</v>
      </c>
      <c r="S58" s="171">
        <f t="shared" si="7"/>
        <v>-7.8751149850610644E-2</v>
      </c>
      <c r="T58" s="184">
        <f t="shared" si="8"/>
        <v>-3.9875530533132461E-2</v>
      </c>
      <c r="U58" s="171">
        <f t="shared" si="9"/>
        <v>-5.0838278477417918E-2</v>
      </c>
      <c r="V58" s="170">
        <f t="shared" si="10"/>
        <v>-51238.426567313676</v>
      </c>
      <c r="W58" s="170">
        <f t="shared" si="11"/>
        <v>-79371.000151084794</v>
      </c>
      <c r="X58" s="171">
        <f t="shared" si="12"/>
        <v>-4.8223350253807092E-2</v>
      </c>
      <c r="Y58" s="171">
        <f t="shared" si="13"/>
        <v>-3.6541541886599083E-2</v>
      </c>
      <c r="Z58" s="184">
        <f t="shared" si="14"/>
        <v>-1.1681808367208009E-2</v>
      </c>
      <c r="AA58" s="171">
        <f t="shared" si="15"/>
        <v>-2.2644270933187733E-2</v>
      </c>
      <c r="AB58" s="170">
        <f t="shared" si="17"/>
        <v>-21352.799266958547</v>
      </c>
      <c r="AC58" s="184">
        <f t="shared" si="18"/>
        <v>-5.050633711918659E-2</v>
      </c>
    </row>
    <row r="59" spans="2:29" s="170" customFormat="1" x14ac:dyDescent="0.15">
      <c r="B59" s="172">
        <v>42500</v>
      </c>
      <c r="C59" s="170" t="s">
        <v>26</v>
      </c>
      <c r="D59" s="170" t="s">
        <v>27</v>
      </c>
      <c r="E59" s="170">
        <v>1007871</v>
      </c>
      <c r="F59" s="170">
        <f t="shared" si="0"/>
        <v>934690</v>
      </c>
      <c r="G59" s="170">
        <f t="shared" si="16"/>
        <v>956767.57802471379</v>
      </c>
      <c r="H59" s="170">
        <f t="shared" si="1"/>
        <v>963700.01835905702</v>
      </c>
      <c r="I59" s="170">
        <v>61900</v>
      </c>
      <c r="J59" s="170">
        <v>15</v>
      </c>
      <c r="K59" s="170">
        <v>15.1</v>
      </c>
      <c r="L59" s="171">
        <f t="shared" si="2"/>
        <v>6.6666666666666428E-3</v>
      </c>
      <c r="M59" s="170">
        <v>5743.6469999999999</v>
      </c>
      <c r="N59" s="170">
        <v>5738.8959999999997</v>
      </c>
      <c r="O59" s="171">
        <f t="shared" si="3"/>
        <v>-8.2717478981563517E-4</v>
      </c>
      <c r="P59" s="184">
        <f t="shared" si="4"/>
        <v>7.4938414564822784E-3</v>
      </c>
      <c r="Q59" s="171">
        <f t="shared" si="5"/>
        <v>7.2456890195375864E-3</v>
      </c>
      <c r="R59" s="170">
        <f t="shared" si="6"/>
        <v>6932.4403343432396</v>
      </c>
      <c r="S59" s="171">
        <f t="shared" si="7"/>
        <v>-7.2609490849614738E-2</v>
      </c>
      <c r="T59" s="184">
        <f t="shared" si="8"/>
        <v>-4.0669721289360569E-2</v>
      </c>
      <c r="U59" s="171">
        <f t="shared" si="9"/>
        <v>-4.4140685947062337E-2</v>
      </c>
      <c r="V59" s="170">
        <f t="shared" si="10"/>
        <v>-44488.117286151668</v>
      </c>
      <c r="W59" s="170">
        <f t="shared" si="11"/>
        <v>-73181.000152092063</v>
      </c>
      <c r="X59" s="171">
        <f t="shared" si="12"/>
        <v>6.6666666666666428E-3</v>
      </c>
      <c r="Y59" s="171">
        <f t="shared" si="13"/>
        <v>-8.2717478981563517E-4</v>
      </c>
      <c r="Z59" s="184">
        <f t="shared" si="14"/>
        <v>7.4938414564822784E-3</v>
      </c>
      <c r="AA59" s="171">
        <f t="shared" si="15"/>
        <v>7.2456890195375864E-3</v>
      </c>
      <c r="AB59" s="170">
        <f t="shared" si="17"/>
        <v>6750.3092811620081</v>
      </c>
      <c r="AC59" s="184">
        <f t="shared" si="18"/>
        <v>-4.3260648099649003E-2</v>
      </c>
    </row>
    <row r="60" spans="2:29" s="170" customFormat="1" x14ac:dyDescent="0.15">
      <c r="B60" s="172">
        <v>42501</v>
      </c>
      <c r="C60" s="170" t="s">
        <v>26</v>
      </c>
      <c r="D60" s="170" t="s">
        <v>27</v>
      </c>
      <c r="E60" s="170">
        <v>1007871</v>
      </c>
      <c r="F60" s="170">
        <f t="shared" si="0"/>
        <v>921072</v>
      </c>
      <c r="G60" s="170">
        <f t="shared" si="16"/>
        <v>963700.01835905702</v>
      </c>
      <c r="H60" s="170">
        <f t="shared" si="1"/>
        <v>951479.68869470723</v>
      </c>
      <c r="I60" s="170">
        <v>61900</v>
      </c>
      <c r="J60" s="170">
        <v>15.1</v>
      </c>
      <c r="K60" s="170">
        <v>14.88</v>
      </c>
      <c r="L60" s="171">
        <f t="shared" si="2"/>
        <v>-1.4569536423840984E-2</v>
      </c>
      <c r="M60" s="170">
        <v>5738.8959999999997</v>
      </c>
      <c r="N60" s="170">
        <v>5723.41</v>
      </c>
      <c r="O60" s="171">
        <f t="shared" si="3"/>
        <v>-2.6984284085301209E-3</v>
      </c>
      <c r="P60" s="184">
        <f t="shared" si="4"/>
        <v>-1.1871108015310864E-2</v>
      </c>
      <c r="Q60" s="171">
        <f t="shared" si="5"/>
        <v>-1.2680636537869898E-2</v>
      </c>
      <c r="R60" s="170">
        <f t="shared" si="6"/>
        <v>-12220.329664349751</v>
      </c>
      <c r="S60" s="171">
        <f t="shared" si="7"/>
        <v>-8.6121140651805705E-2</v>
      </c>
      <c r="T60" s="184">
        <f t="shared" si="8"/>
        <v>-4.3258405366596475E-2</v>
      </c>
      <c r="U60" s="171">
        <f t="shared" si="9"/>
        <v>-5.5840256895188164E-2</v>
      </c>
      <c r="V60" s="170">
        <f t="shared" si="10"/>
        <v>-56279.775557210189</v>
      </c>
      <c r="W60" s="170">
        <f t="shared" si="11"/>
        <v>-86799.000149876068</v>
      </c>
      <c r="X60" s="171">
        <f t="shared" si="12"/>
        <v>-1.4569536423840984E-2</v>
      </c>
      <c r="Y60" s="171">
        <f t="shared" si="13"/>
        <v>-2.6984284085301209E-3</v>
      </c>
      <c r="Z60" s="184">
        <f t="shared" si="14"/>
        <v>-1.1871108015310864E-2</v>
      </c>
      <c r="AA60" s="171">
        <f t="shared" si="15"/>
        <v>-1.2680636537869898E-2</v>
      </c>
      <c r="AB60" s="170">
        <f t="shared" si="17"/>
        <v>-11791.658271058521</v>
      </c>
      <c r="AC60" s="184">
        <f t="shared" si="18"/>
        <v>-5.59412846375189E-2</v>
      </c>
    </row>
    <row r="61" spans="2:29" s="170" customFormat="1" x14ac:dyDescent="0.15">
      <c r="B61" s="172">
        <v>42502</v>
      </c>
      <c r="C61" s="170" t="s">
        <v>26</v>
      </c>
      <c r="D61" s="170" t="s">
        <v>27</v>
      </c>
      <c r="E61" s="170">
        <v>1007871</v>
      </c>
      <c r="F61" s="170">
        <f t="shared" si="0"/>
        <v>919834</v>
      </c>
      <c r="G61" s="170">
        <f t="shared" si="16"/>
        <v>951479.68869470723</v>
      </c>
      <c r="H61" s="170">
        <f t="shared" si="1"/>
        <v>949846.47013319551</v>
      </c>
      <c r="I61" s="170">
        <v>61900</v>
      </c>
      <c r="J61" s="170">
        <v>14.88</v>
      </c>
      <c r="K61" s="170">
        <v>14.86</v>
      </c>
      <c r="L61" s="171">
        <f t="shared" si="2"/>
        <v>-1.3440860215054671E-3</v>
      </c>
      <c r="M61" s="170">
        <v>5723.41</v>
      </c>
      <c r="N61" s="170">
        <v>5726.4549999999999</v>
      </c>
      <c r="O61" s="171">
        <f t="shared" si="3"/>
        <v>5.3202548830156725E-4</v>
      </c>
      <c r="P61" s="184">
        <f t="shared" si="4"/>
        <v>-1.8761115098070344E-3</v>
      </c>
      <c r="Q61" s="171">
        <f t="shared" si="5"/>
        <v>-1.7165038633165642E-3</v>
      </c>
      <c r="R61" s="170">
        <f t="shared" si="6"/>
        <v>-1633.2185615117069</v>
      </c>
      <c r="S61" s="171">
        <f t="shared" si="7"/>
        <v>-8.7349472452004973E-2</v>
      </c>
      <c r="T61" s="184">
        <f t="shared" si="8"/>
        <v>-4.2749394452533215E-2</v>
      </c>
      <c r="U61" s="171">
        <f t="shared" si="9"/>
        <v>-5.742489633523172E-2</v>
      </c>
      <c r="V61" s="170">
        <f t="shared" si="10"/>
        <v>-57876.887694286328</v>
      </c>
      <c r="W61" s="170">
        <f t="shared" si="11"/>
        <v>-88037.000149674699</v>
      </c>
      <c r="X61" s="171">
        <f t="shared" si="12"/>
        <v>-1.3440860215054671E-3</v>
      </c>
      <c r="Y61" s="171">
        <f t="shared" si="13"/>
        <v>5.3202548830156725E-4</v>
      </c>
      <c r="Z61" s="184">
        <f t="shared" si="14"/>
        <v>-1.8761115098070344E-3</v>
      </c>
      <c r="AA61" s="171">
        <f t="shared" si="15"/>
        <v>-1.7165038633165642E-3</v>
      </c>
      <c r="AB61" s="170">
        <f t="shared" si="17"/>
        <v>-1597.1121370761393</v>
      </c>
      <c r="AC61" s="184">
        <f t="shared" si="18"/>
        <v>-5.7657788500835465E-2</v>
      </c>
    </row>
    <row r="62" spans="2:29" s="170" customFormat="1" x14ac:dyDescent="0.15">
      <c r="B62" s="172">
        <v>42503</v>
      </c>
      <c r="C62" s="170" t="s">
        <v>26</v>
      </c>
      <c r="D62" s="170" t="s">
        <v>27</v>
      </c>
      <c r="E62" s="170">
        <v>1007871</v>
      </c>
      <c r="F62" s="170">
        <f t="shared" si="0"/>
        <v>911787</v>
      </c>
      <c r="G62" s="170">
        <f t="shared" si="16"/>
        <v>949846.47013319551</v>
      </c>
      <c r="H62" s="170">
        <f t="shared" si="1"/>
        <v>942947.05439505598</v>
      </c>
      <c r="I62" s="170">
        <v>61900</v>
      </c>
      <c r="J62" s="170">
        <v>14.86</v>
      </c>
      <c r="K62" s="170">
        <v>14.73</v>
      </c>
      <c r="L62" s="171">
        <f t="shared" si="2"/>
        <v>-8.7483176312246978E-3</v>
      </c>
      <c r="M62" s="170">
        <v>5726.4549999999999</v>
      </c>
      <c r="N62" s="170">
        <v>5714.31</v>
      </c>
      <c r="O62" s="171">
        <f t="shared" si="3"/>
        <v>-2.1208583670000946E-3</v>
      </c>
      <c r="P62" s="184">
        <f t="shared" si="4"/>
        <v>-6.6274592642246027E-3</v>
      </c>
      <c r="Q62" s="171">
        <f t="shared" si="5"/>
        <v>-7.2637167743246304E-3</v>
      </c>
      <c r="R62" s="170">
        <f t="shared" si="6"/>
        <v>-6899.4157381395316</v>
      </c>
      <c r="S62" s="171">
        <f t="shared" si="7"/>
        <v>-9.5333629153299626E-2</v>
      </c>
      <c r="T62" s="184">
        <f t="shared" si="8"/>
        <v>-4.477958740862447E-2</v>
      </c>
      <c r="U62" s="171">
        <f t="shared" si="9"/>
        <v>-6.3987917967262498E-2</v>
      </c>
      <c r="V62" s="170">
        <f t="shared" si="10"/>
        <v>-64491.566869582821</v>
      </c>
      <c r="W62" s="170">
        <f t="shared" si="11"/>
        <v>-96084.000148365245</v>
      </c>
      <c r="X62" s="171">
        <f t="shared" si="12"/>
        <v>-8.7483176312246978E-3</v>
      </c>
      <c r="Y62" s="171">
        <f t="shared" si="13"/>
        <v>-2.1208583670000946E-3</v>
      </c>
      <c r="Z62" s="184">
        <f t="shared" si="14"/>
        <v>-6.6274592642246027E-3</v>
      </c>
      <c r="AA62" s="171">
        <f t="shared" si="15"/>
        <v>-7.2637167743246304E-3</v>
      </c>
      <c r="AB62" s="170">
        <f t="shared" si="17"/>
        <v>-6614.6791752964928</v>
      </c>
      <c r="AC62" s="184">
        <f t="shared" si="18"/>
        <v>-6.4921505275160094E-2</v>
      </c>
    </row>
    <row r="63" spans="2:29" s="170" customFormat="1" x14ac:dyDescent="0.15">
      <c r="B63" s="172">
        <v>42506</v>
      </c>
      <c r="C63" s="170" t="s">
        <v>26</v>
      </c>
      <c r="D63" s="170" t="s">
        <v>27</v>
      </c>
      <c r="E63" s="170">
        <v>1007871</v>
      </c>
      <c r="F63" s="170">
        <f t="shared" si="0"/>
        <v>927262</v>
      </c>
      <c r="G63" s="170">
        <f t="shared" si="16"/>
        <v>942947.05439505598</v>
      </c>
      <c r="H63" s="170">
        <f t="shared" si="1"/>
        <v>947604.0782805878</v>
      </c>
      <c r="I63" s="170">
        <v>61900</v>
      </c>
      <c r="J63" s="170">
        <v>14.73</v>
      </c>
      <c r="K63" s="170">
        <v>14.98</v>
      </c>
      <c r="L63" s="171">
        <f t="shared" si="2"/>
        <v>1.6972165648336729E-2</v>
      </c>
      <c r="M63" s="170">
        <v>5714.31</v>
      </c>
      <c r="N63" s="170">
        <v>5812.5420000000004</v>
      </c>
      <c r="O63" s="171">
        <f t="shared" si="3"/>
        <v>1.7190526940260499E-2</v>
      </c>
      <c r="P63" s="184">
        <f t="shared" si="4"/>
        <v>-2.1836129192377013E-4</v>
      </c>
      <c r="Q63" s="171">
        <f t="shared" si="5"/>
        <v>4.9387967901543791E-3</v>
      </c>
      <c r="R63" s="170">
        <f t="shared" si="6"/>
        <v>4657.0238855318294</v>
      </c>
      <c r="S63" s="171">
        <f t="shared" si="7"/>
        <v>-7.99794816508098E-2</v>
      </c>
      <c r="T63" s="184">
        <f t="shared" si="8"/>
        <v>-2.835884517208568E-2</v>
      </c>
      <c r="U63" s="171">
        <f t="shared" si="9"/>
        <v>-6.0128290030349821E-2</v>
      </c>
      <c r="V63" s="170">
        <f t="shared" si="10"/>
        <v>-60601.559801178708</v>
      </c>
      <c r="W63" s="170">
        <f t="shared" si="11"/>
        <v>-80609.000150883323</v>
      </c>
      <c r="X63" s="171">
        <f t="shared" si="12"/>
        <v>1.6972165648336729E-2</v>
      </c>
      <c r="Y63" s="171">
        <f t="shared" si="13"/>
        <v>1.7190526940260499E-2</v>
      </c>
      <c r="Z63" s="184">
        <f t="shared" si="14"/>
        <v>-2.1836129192377013E-4</v>
      </c>
      <c r="AA63" s="171">
        <f t="shared" si="15"/>
        <v>4.9387967901543791E-3</v>
      </c>
      <c r="AB63" s="170">
        <f t="shared" si="17"/>
        <v>3890.0070684041129</v>
      </c>
      <c r="AC63" s="184">
        <f t="shared" si="18"/>
        <v>-5.9982708485005712E-2</v>
      </c>
    </row>
    <row r="64" spans="2:29" s="170" customFormat="1" x14ac:dyDescent="0.15">
      <c r="B64" s="172">
        <v>42507</v>
      </c>
      <c r="C64" s="170" t="s">
        <v>26</v>
      </c>
      <c r="D64" s="170" t="s">
        <v>27</v>
      </c>
      <c r="E64" s="170">
        <v>1007871</v>
      </c>
      <c r="F64" s="170">
        <f t="shared" si="0"/>
        <v>950165</v>
      </c>
      <c r="G64" s="170">
        <f t="shared" si="16"/>
        <v>947604.0782805878</v>
      </c>
      <c r="H64" s="170">
        <f t="shared" si="1"/>
        <v>973543.0806345552</v>
      </c>
      <c r="I64" s="170">
        <v>61900</v>
      </c>
      <c r="J64" s="170">
        <v>14.98</v>
      </c>
      <c r="K64" s="170">
        <v>15.35</v>
      </c>
      <c r="L64" s="171">
        <f t="shared" si="2"/>
        <v>2.4699599465954552E-2</v>
      </c>
      <c r="M64" s="170">
        <v>5812.5420000000004</v>
      </c>
      <c r="N64" s="170">
        <v>5790.3410000000003</v>
      </c>
      <c r="O64" s="171">
        <f t="shared" si="3"/>
        <v>-3.8194992827578745E-3</v>
      </c>
      <c r="P64" s="184">
        <f t="shared" si="4"/>
        <v>2.8519098748712425E-2</v>
      </c>
      <c r="Q64" s="171">
        <f t="shared" si="5"/>
        <v>2.7373248963885058E-2</v>
      </c>
      <c r="R64" s="170">
        <f t="shared" si="6"/>
        <v>25939.002353967357</v>
      </c>
      <c r="S64" s="171">
        <f t="shared" si="7"/>
        <v>-5.7255343347124912E-2</v>
      </c>
      <c r="T64" s="184">
        <f t="shared" si="8"/>
        <v>-3.2070027866048935E-2</v>
      </c>
      <c r="U64" s="171">
        <f t="shared" si="9"/>
        <v>-3.4806323840890656E-2</v>
      </c>
      <c r="V64" s="170">
        <f t="shared" si="10"/>
        <v>-35080.284415842303</v>
      </c>
      <c r="W64" s="170">
        <f t="shared" si="11"/>
        <v>-57706.000154610134</v>
      </c>
      <c r="X64" s="171">
        <f t="shared" si="12"/>
        <v>2.4699599465954552E-2</v>
      </c>
      <c r="Y64" s="171">
        <f t="shared" si="13"/>
        <v>-3.8194992827578745E-3</v>
      </c>
      <c r="Z64" s="184">
        <f t="shared" si="14"/>
        <v>2.8519098748712425E-2</v>
      </c>
      <c r="AA64" s="171">
        <f t="shared" si="15"/>
        <v>2.7373248963885058E-2</v>
      </c>
      <c r="AB64" s="170">
        <f t="shared" si="17"/>
        <v>25521.275385336405</v>
      </c>
      <c r="AC64" s="184">
        <f t="shared" si="18"/>
        <v>-3.2609459521120654E-2</v>
      </c>
    </row>
    <row r="65" spans="2:29" s="170" customFormat="1" x14ac:dyDescent="0.15">
      <c r="B65" s="172">
        <v>42508</v>
      </c>
      <c r="C65" s="170" t="s">
        <v>26</v>
      </c>
      <c r="D65" s="170" t="s">
        <v>27</v>
      </c>
      <c r="E65" s="170">
        <v>1007871</v>
      </c>
      <c r="F65" s="170">
        <f t="shared" si="0"/>
        <v>913025</v>
      </c>
      <c r="G65" s="170">
        <f t="shared" si="16"/>
        <v>973543.0806345552</v>
      </c>
      <c r="H65" s="170">
        <f t="shared" si="1"/>
        <v>954220.17082645453</v>
      </c>
      <c r="I65" s="170">
        <v>61900</v>
      </c>
      <c r="J65" s="170">
        <v>15.35</v>
      </c>
      <c r="K65" s="170">
        <v>14.75</v>
      </c>
      <c r="L65" s="171">
        <f t="shared" si="2"/>
        <v>-3.9087947882736132E-2</v>
      </c>
      <c r="M65" s="170">
        <v>5790.3410000000003</v>
      </c>
      <c r="N65" s="170">
        <v>5631.19</v>
      </c>
      <c r="O65" s="171">
        <f t="shared" si="3"/>
        <v>-2.7485600588980984E-2</v>
      </c>
      <c r="P65" s="184">
        <f t="shared" si="4"/>
        <v>-1.1602347293755148E-2</v>
      </c>
      <c r="Q65" s="171">
        <f t="shared" si="5"/>
        <v>-1.9848027470449441E-2</v>
      </c>
      <c r="R65" s="170">
        <f t="shared" si="6"/>
        <v>-19322.909808100627</v>
      </c>
      <c r="S65" s="171">
        <f t="shared" si="7"/>
        <v>-9.410529735310047E-2</v>
      </c>
      <c r="T65" s="184">
        <f t="shared" si="8"/>
        <v>-5.8674164478226203E-2</v>
      </c>
      <c r="U65" s="171">
        <f t="shared" si="9"/>
        <v>-5.3033382218342126E-2</v>
      </c>
      <c r="V65" s="170">
        <f t="shared" si="10"/>
        <v>-53450.807969782698</v>
      </c>
      <c r="W65" s="170">
        <f t="shared" si="11"/>
        <v>-94846.000148566731</v>
      </c>
      <c r="X65" s="171">
        <f t="shared" si="12"/>
        <v>-3.9087947882736132E-2</v>
      </c>
      <c r="Y65" s="171">
        <f t="shared" si="13"/>
        <v>-2.7485600588980984E-2</v>
      </c>
      <c r="Z65" s="184">
        <f t="shared" si="14"/>
        <v>-1.1602347293755148E-2</v>
      </c>
      <c r="AA65" s="171">
        <f t="shared" si="15"/>
        <v>-1.9848027470449441E-2</v>
      </c>
      <c r="AB65" s="170">
        <f t="shared" si="17"/>
        <v>-18370.523553940395</v>
      </c>
      <c r="AC65" s="184">
        <f t="shared" si="18"/>
        <v>-5.2457486991570094E-2</v>
      </c>
    </row>
    <row r="66" spans="2:29" s="170" customFormat="1" x14ac:dyDescent="0.15">
      <c r="B66" s="172">
        <v>42509</v>
      </c>
      <c r="C66" s="170" t="s">
        <v>26</v>
      </c>
      <c r="D66" s="170" t="s">
        <v>27</v>
      </c>
      <c r="E66" s="170">
        <v>1007871</v>
      </c>
      <c r="F66" s="170">
        <f t="shared" si="0"/>
        <v>914263</v>
      </c>
      <c r="G66" s="170">
        <f t="shared" si="16"/>
        <v>954220.17082645453</v>
      </c>
      <c r="H66" s="170">
        <f t="shared" si="1"/>
        <v>951298.38520490401</v>
      </c>
      <c r="I66" s="170">
        <v>61900</v>
      </c>
      <c r="J66" s="170">
        <v>14.75</v>
      </c>
      <c r="K66" s="170">
        <v>14.77</v>
      </c>
      <c r="L66" s="171">
        <f>(K66-J66)/J66</f>
        <v>1.3559322033898015E-3</v>
      </c>
      <c r="M66" s="170">
        <v>5631.19</v>
      </c>
      <c r="N66" s="170">
        <v>5666.73</v>
      </c>
      <c r="O66" s="171">
        <f t="shared" si="3"/>
        <v>6.3112770124964645E-3</v>
      </c>
      <c r="P66" s="184">
        <f t="shared" si="4"/>
        <v>-4.9553448091066632E-3</v>
      </c>
      <c r="Q66" s="171">
        <f t="shared" si="5"/>
        <v>-3.0619617053577238E-3</v>
      </c>
      <c r="R66" s="170">
        <f t="shared" si="6"/>
        <v>-2921.7856215505094</v>
      </c>
      <c r="S66" s="171">
        <f t="shared" si="7"/>
        <v>-9.28769655529013E-2</v>
      </c>
      <c r="T66" s="184">
        <f t="shared" si="8"/>
        <v>-5.2733196371228606E-2</v>
      </c>
      <c r="U66" s="171">
        <f t="shared" si="9"/>
        <v>-5.5963728093041273E-2</v>
      </c>
      <c r="V66" s="170">
        <f t="shared" si="10"/>
        <v>-56404.218596861603</v>
      </c>
      <c r="W66" s="170">
        <f t="shared" si="11"/>
        <v>-93608.000148768188</v>
      </c>
      <c r="X66" s="171">
        <f t="shared" si="12"/>
        <v>1.3559322033898015E-3</v>
      </c>
      <c r="Y66" s="171">
        <f t="shared" si="13"/>
        <v>6.3112770124964645E-3</v>
      </c>
      <c r="Z66" s="184">
        <f t="shared" si="14"/>
        <v>-4.9553448091066632E-3</v>
      </c>
      <c r="AA66" s="171">
        <f t="shared" si="15"/>
        <v>-3.0619617053577238E-3</v>
      </c>
      <c r="AB66" s="170">
        <f t="shared" si="17"/>
        <v>-2953.4106270789052</v>
      </c>
      <c r="AC66" s="184">
        <f t="shared" si="18"/>
        <v>-5.551944869692782E-2</v>
      </c>
    </row>
    <row r="67" spans="2:29" s="170" customFormat="1" x14ac:dyDescent="0.15">
      <c r="B67" s="172">
        <v>42510</v>
      </c>
      <c r="C67" s="170" t="s">
        <v>26</v>
      </c>
      <c r="D67" s="170" t="s">
        <v>27</v>
      </c>
      <c r="E67" s="170">
        <v>1007871</v>
      </c>
      <c r="F67" s="170">
        <f t="shared" si="0"/>
        <v>929119</v>
      </c>
      <c r="G67" s="170">
        <f t="shared" si="16"/>
        <v>951298.38520490401</v>
      </c>
      <c r="H67" s="170">
        <f t="shared" si="1"/>
        <v>958980.40873479343</v>
      </c>
      <c r="I67" s="170">
        <v>61900</v>
      </c>
      <c r="J67" s="170">
        <v>14.77</v>
      </c>
      <c r="K67" s="170">
        <v>15.01</v>
      </c>
      <c r="L67" s="171">
        <f t="shared" si="2"/>
        <v>1.6249153689911998E-2</v>
      </c>
      <c r="M67" s="170">
        <v>5666.73</v>
      </c>
      <c r="N67" s="170">
        <v>5732.9</v>
      </c>
      <c r="O67" s="171">
        <f t="shared" si="3"/>
        <v>1.1676928316683533E-2</v>
      </c>
      <c r="P67" s="184">
        <f t="shared" si="4"/>
        <v>4.5722253732284647E-3</v>
      </c>
      <c r="Q67" s="171">
        <f t="shared" si="5"/>
        <v>8.075303868233524E-3</v>
      </c>
      <c r="R67" s="170">
        <f t="shared" si="6"/>
        <v>7682.0235298894668</v>
      </c>
      <c r="S67" s="171">
        <f t="shared" si="7"/>
        <v>-7.8136983950511066E-2</v>
      </c>
      <c r="T67" s="184">
        <f t="shared" si="8"/>
        <v>-4.1672029808481503E-2</v>
      </c>
      <c r="U67" s="171">
        <f t="shared" si="9"/>
        <v>-4.8966563084574012E-2</v>
      </c>
      <c r="V67" s="170">
        <f t="shared" si="10"/>
        <v>-49351.978902612696</v>
      </c>
      <c r="W67" s="170">
        <f t="shared" si="11"/>
        <v>-78752.000151185537</v>
      </c>
      <c r="X67" s="171">
        <f t="shared" si="12"/>
        <v>1.6249153689911998E-2</v>
      </c>
      <c r="Y67" s="171">
        <f t="shared" si="13"/>
        <v>1.1676928316683533E-2</v>
      </c>
      <c r="Z67" s="184">
        <f t="shared" si="14"/>
        <v>4.5722253732284647E-3</v>
      </c>
      <c r="AA67" s="171">
        <f t="shared" si="15"/>
        <v>8.075303868233524E-3</v>
      </c>
      <c r="AB67" s="170">
        <f t="shared" si="17"/>
        <v>7052.2396942489067</v>
      </c>
      <c r="AC67" s="184">
        <f t="shared" si="18"/>
        <v>-4.7444144828694294E-2</v>
      </c>
    </row>
    <row r="68" spans="2:29" s="170" customFormat="1" x14ac:dyDescent="0.15">
      <c r="B68" s="172">
        <v>42513</v>
      </c>
      <c r="C68" s="170" t="s">
        <v>26</v>
      </c>
      <c r="D68" s="170" t="s">
        <v>27</v>
      </c>
      <c r="E68" s="170">
        <v>1007871</v>
      </c>
      <c r="F68" s="170">
        <f t="shared" si="0"/>
        <v>948308</v>
      </c>
      <c r="G68" s="170">
        <f t="shared" si="16"/>
        <v>958980.40873479343</v>
      </c>
      <c r="H68" s="170">
        <f t="shared" si="1"/>
        <v>969819.1003123679</v>
      </c>
      <c r="I68" s="170">
        <v>61900</v>
      </c>
      <c r="J68" s="170">
        <v>15.01</v>
      </c>
      <c r="K68" s="170">
        <v>15.32</v>
      </c>
      <c r="L68" s="171">
        <f>(K68-J68)/J68</f>
        <v>2.0652898067954732E-2</v>
      </c>
      <c r="M68" s="170">
        <v>5732.9</v>
      </c>
      <c r="N68" s="170">
        <v>5809.48</v>
      </c>
      <c r="O68" s="171">
        <f t="shared" ref="O68:O93" si="19">(N68-M68)/M68</f>
        <v>1.3357986359434132E-2</v>
      </c>
      <c r="P68" s="184">
        <f t="shared" ref="P68:P93" si="20">L68-O68</f>
        <v>7.2949117085205992E-3</v>
      </c>
      <c r="Q68" s="171">
        <f t="shared" ref="Q68:Q93" si="21">L68*0.3+P68*0.7</f>
        <v>1.1302307616350838E-2</v>
      </c>
      <c r="R68" s="170">
        <f t="shared" ref="R68:R93" si="22">G68*Q68</f>
        <v>10838.691577574495</v>
      </c>
      <c r="S68" s="171">
        <f t="shared" ref="S68:S93" si="23">(K68-$J$47)/$J$47</f>
        <v>-5.9097841047423653E-2</v>
      </c>
      <c r="T68" s="184">
        <f t="shared" ref="T68:T93" si="24">(N68-$M$47)/$M$47</f>
        <v>-2.8870697854799003E-2</v>
      </c>
      <c r="U68" s="171">
        <f t="shared" ref="U68:U93" si="25">(S68-T68)*0.7+S68*0.3</f>
        <v>-3.8888352549064351E-2</v>
      </c>
      <c r="V68" s="170">
        <f t="shared" ref="V68:V93" si="26">E68*U68</f>
        <v>-39194.442771978036</v>
      </c>
      <c r="W68" s="170">
        <f t="shared" ref="W68:W93" si="27">E68*S68</f>
        <v>-59563.000154307927</v>
      </c>
      <c r="X68" s="171">
        <f t="shared" si="12"/>
        <v>2.0652898067954732E-2</v>
      </c>
      <c r="Y68" s="171">
        <f t="shared" si="13"/>
        <v>1.3357986359434132E-2</v>
      </c>
      <c r="Z68" s="184">
        <f t="shared" si="14"/>
        <v>7.2949117085205992E-3</v>
      </c>
      <c r="AA68" s="171">
        <f t="shared" si="15"/>
        <v>1.1302307616350838E-2</v>
      </c>
      <c r="AB68" s="170">
        <f t="shared" si="17"/>
        <v>10157.53613063466</v>
      </c>
      <c r="AC68" s="184">
        <f t="shared" si="18"/>
        <v>-3.6141837212343458E-2</v>
      </c>
    </row>
    <row r="69" spans="2:29" s="170" customFormat="1" x14ac:dyDescent="0.15">
      <c r="B69" s="172">
        <v>42514</v>
      </c>
      <c r="C69" s="170" t="s">
        <v>26</v>
      </c>
      <c r="D69" s="170" t="s">
        <v>27</v>
      </c>
      <c r="E69" s="170">
        <v>1007871</v>
      </c>
      <c r="F69" s="170">
        <f t="shared" si="0"/>
        <v>928500</v>
      </c>
      <c r="G69" s="170">
        <f t="shared" si="16"/>
        <v>969819.1003123679</v>
      </c>
      <c r="H69" s="170">
        <f t="shared" si="1"/>
        <v>957309.34393863752</v>
      </c>
      <c r="I69" s="170">
        <v>61900</v>
      </c>
      <c r="J69" s="170">
        <v>15.32</v>
      </c>
      <c r="K69" s="170">
        <v>15</v>
      </c>
      <c r="L69" s="171">
        <f t="shared" si="2"/>
        <v>-2.0887728459530044E-2</v>
      </c>
      <c r="M69" s="170">
        <v>5809.48</v>
      </c>
      <c r="N69" s="170">
        <v>5743.18</v>
      </c>
      <c r="O69" s="171">
        <f t="shared" si="19"/>
        <v>-1.1412381142546196E-2</v>
      </c>
      <c r="P69" s="184">
        <f t="shared" si="20"/>
        <v>-9.4753473169838474E-3</v>
      </c>
      <c r="Q69" s="171">
        <f t="shared" si="21"/>
        <v>-1.2899061659747706E-2</v>
      </c>
      <c r="R69" s="170">
        <f t="shared" si="22"/>
        <v>-12509.756373730279</v>
      </c>
      <c r="S69" s="171">
        <f t="shared" si="23"/>
        <v>-7.8751149850610644E-2</v>
      </c>
      <c r="T69" s="184">
        <f t="shared" si="24"/>
        <v>-3.9953595589574939E-2</v>
      </c>
      <c r="U69" s="171">
        <f t="shared" si="25"/>
        <v>-5.0783632937908184E-2</v>
      </c>
      <c r="V69" s="170">
        <f t="shared" si="26"/>
        <v>-51183.350912762457</v>
      </c>
      <c r="W69" s="170">
        <f t="shared" si="27"/>
        <v>-79371.000151084794</v>
      </c>
      <c r="X69" s="171">
        <f t="shared" si="12"/>
        <v>-2.0887728459530044E-2</v>
      </c>
      <c r="Y69" s="171">
        <f t="shared" si="13"/>
        <v>-1.1412381142546196E-2</v>
      </c>
      <c r="Z69" s="184">
        <f t="shared" si="14"/>
        <v>-9.4753473169838474E-3</v>
      </c>
      <c r="AA69" s="171">
        <f t="shared" si="15"/>
        <v>-1.2899061659747706E-2</v>
      </c>
      <c r="AB69" s="170">
        <f t="shared" si="17"/>
        <v>-11988.908140784421</v>
      </c>
      <c r="AC69" s="184">
        <f t="shared" si="18"/>
        <v>-4.9040898872091163E-2</v>
      </c>
    </row>
    <row r="70" spans="2:29" x14ac:dyDescent="0.15">
      <c r="B70" s="172">
        <v>42515</v>
      </c>
      <c r="C70" s="170" t="s">
        <v>26</v>
      </c>
      <c r="D70" s="170" t="s">
        <v>27</v>
      </c>
      <c r="E70" s="170">
        <v>1007871</v>
      </c>
      <c r="F70" s="183">
        <f t="shared" si="0"/>
        <v>930357</v>
      </c>
      <c r="G70" s="170">
        <f t="shared" ref="G70" si="28">G69*(1+Q69)</f>
        <v>957309.34393863752</v>
      </c>
      <c r="H70" s="170">
        <f t="shared" ref="H70" si="29">G70*(1+Q70)</f>
        <v>962491.01383180474</v>
      </c>
      <c r="I70" s="170">
        <v>61900</v>
      </c>
      <c r="J70" s="183">
        <v>15</v>
      </c>
      <c r="K70" s="183">
        <v>15.03</v>
      </c>
      <c r="L70" s="191">
        <f t="shared" si="2"/>
        <v>1.9999999999999575E-3</v>
      </c>
      <c r="M70" s="183">
        <v>5743.18</v>
      </c>
      <c r="N70" s="183">
        <v>5715.18</v>
      </c>
      <c r="O70" s="191">
        <f t="shared" si="19"/>
        <v>-4.8753478038299335E-3</v>
      </c>
      <c r="P70" s="192">
        <f t="shared" si="20"/>
        <v>6.8753478038298911E-3</v>
      </c>
      <c r="Q70" s="55">
        <f t="shared" si="21"/>
        <v>5.4127434626809103E-3</v>
      </c>
      <c r="R70" s="170">
        <f t="shared" si="22"/>
        <v>5181.6698931672117</v>
      </c>
      <c r="S70" s="191">
        <f t="shared" si="23"/>
        <v>-7.690865215031191E-2</v>
      </c>
      <c r="T70" s="1">
        <f t="shared" si="24"/>
        <v>-4.4634155718892135E-2</v>
      </c>
      <c r="U70" s="191">
        <f t="shared" si="25"/>
        <v>-4.5664743147087419E-2</v>
      </c>
      <c r="V70" s="183">
        <f t="shared" si="26"/>
        <v>-46024.170340398145</v>
      </c>
      <c r="W70" s="183">
        <f t="shared" si="27"/>
        <v>-77514.000151387008</v>
      </c>
      <c r="X70" s="171">
        <f t="shared" si="12"/>
        <v>1.9999999999999575E-3</v>
      </c>
      <c r="Y70" s="171">
        <f t="shared" si="13"/>
        <v>-4.8753478038299335E-3</v>
      </c>
      <c r="Z70" s="184">
        <f t="shared" si="14"/>
        <v>6.8753478038298911E-3</v>
      </c>
      <c r="AA70" s="171">
        <f t="shared" si="15"/>
        <v>5.4127434626809103E-3</v>
      </c>
      <c r="AB70" s="170">
        <f t="shared" si="17"/>
        <v>5159.180572364312</v>
      </c>
      <c r="AC70" s="184">
        <f t="shared" si="18"/>
        <v>-4.3628155409410251E-2</v>
      </c>
    </row>
    <row r="71" spans="2:29" x14ac:dyDescent="0.15">
      <c r="B71" s="172">
        <v>42516</v>
      </c>
      <c r="C71" s="170" t="s">
        <v>26</v>
      </c>
      <c r="D71" s="170" t="s">
        <v>27</v>
      </c>
      <c r="E71" s="170">
        <v>1007871</v>
      </c>
      <c r="F71" s="183">
        <f t="shared" ref="F71:F72" si="30">K71*I71</f>
        <v>940880</v>
      </c>
      <c r="G71" s="170">
        <f t="shared" ref="G71" si="31">G70*(1+Q70)</f>
        <v>962491.01383180474</v>
      </c>
      <c r="H71" s="170">
        <f t="shared" ref="H71" si="32">G71*(1+Q71)</f>
        <v>969934.00189991831</v>
      </c>
      <c r="I71" s="170">
        <v>61900</v>
      </c>
      <c r="J71" s="183">
        <v>15.03</v>
      </c>
      <c r="K71" s="183">
        <v>15.2</v>
      </c>
      <c r="L71" s="191">
        <f t="shared" si="2"/>
        <v>1.13107119095143E-2</v>
      </c>
      <c r="M71" s="183">
        <v>5715.18</v>
      </c>
      <c r="N71" s="183">
        <v>5744.39</v>
      </c>
      <c r="O71" s="191">
        <f t="shared" si="19"/>
        <v>5.1109501363036745E-3</v>
      </c>
      <c r="P71" s="192">
        <f t="shared" si="20"/>
        <v>6.1997617732106255E-3</v>
      </c>
      <c r="Q71" s="55">
        <f t="shared" si="21"/>
        <v>7.7330468141017274E-3</v>
      </c>
      <c r="R71" s="170">
        <f t="shared" si="22"/>
        <v>7442.9880681135792</v>
      </c>
      <c r="S71" s="191">
        <f t="shared" si="23"/>
        <v>-6.6467831848618833E-2</v>
      </c>
      <c r="T71" s="1">
        <f t="shared" si="24"/>
        <v>-3.9751328526843731E-2</v>
      </c>
      <c r="U71" s="191">
        <f t="shared" si="25"/>
        <v>-3.8641901879828217E-2</v>
      </c>
      <c r="V71" s="183">
        <f t="shared" si="26"/>
        <v>-38946.052289524341</v>
      </c>
      <c r="W71" s="183">
        <f t="shared" si="27"/>
        <v>-66991.000153099318</v>
      </c>
      <c r="X71" s="171">
        <f t="shared" si="12"/>
        <v>1.13107119095143E-2</v>
      </c>
      <c r="Y71" s="171">
        <f t="shared" si="13"/>
        <v>5.1109501363036745E-3</v>
      </c>
      <c r="Z71" s="184">
        <f t="shared" si="14"/>
        <v>6.1997617732106255E-3</v>
      </c>
      <c r="AA71" s="171">
        <f t="shared" si="15"/>
        <v>7.7330468141017274E-3</v>
      </c>
      <c r="AB71" s="170">
        <f t="shared" si="17"/>
        <v>7078.1180508738034</v>
      </c>
      <c r="AC71" s="184">
        <f t="shared" si="18"/>
        <v>-3.589510859530852E-2</v>
      </c>
    </row>
    <row r="72" spans="2:29" x14ac:dyDescent="0.15">
      <c r="B72" s="172">
        <v>42517</v>
      </c>
      <c r="C72" s="170" t="s">
        <v>26</v>
      </c>
      <c r="D72" s="170" t="s">
        <v>27</v>
      </c>
      <c r="E72" s="170">
        <v>1007871</v>
      </c>
      <c r="F72" s="183">
        <f t="shared" si="30"/>
        <v>934071</v>
      </c>
      <c r="G72" s="170">
        <f t="shared" ref="G72" si="33">G71*(1+Q71)</f>
        <v>969934.00189991831</v>
      </c>
      <c r="H72" s="170">
        <f t="shared" ref="H72" si="34">G72*(1+Q72)</f>
        <v>963482.07502013596</v>
      </c>
      <c r="I72" s="170">
        <v>61900</v>
      </c>
      <c r="J72" s="183">
        <v>15.2</v>
      </c>
      <c r="K72" s="183">
        <v>15.09</v>
      </c>
      <c r="L72" s="191">
        <f t="shared" si="2"/>
        <v>-7.2368421052631205E-3</v>
      </c>
      <c r="M72" s="183">
        <v>5744.39</v>
      </c>
      <c r="N72" s="183">
        <v>5739.59</v>
      </c>
      <c r="O72" s="191">
        <f t="shared" si="19"/>
        <v>-8.3559786156583754E-4</v>
      </c>
      <c r="P72" s="192">
        <f t="shared" si="20"/>
        <v>-6.4012442436972832E-3</v>
      </c>
      <c r="Q72" s="55">
        <f t="shared" si="21"/>
        <v>-6.6519236021670338E-3</v>
      </c>
      <c r="R72" s="170">
        <f t="shared" si="22"/>
        <v>-6451.9268797823916</v>
      </c>
      <c r="S72" s="191">
        <f t="shared" si="23"/>
        <v>-7.3223656749714316E-2</v>
      </c>
      <c r="T72" s="1">
        <f t="shared" si="24"/>
        <v>-4.0553710263298133E-2</v>
      </c>
      <c r="U72" s="191">
        <f t="shared" si="25"/>
        <v>-4.4836059565405623E-2</v>
      </c>
      <c r="V72" s="183">
        <f t="shared" si="26"/>
        <v>-45188.964190244929</v>
      </c>
      <c r="W72" s="183">
        <f t="shared" si="27"/>
        <v>-73800.00015199132</v>
      </c>
      <c r="X72" s="171">
        <f t="shared" si="12"/>
        <v>-7.2368421052631205E-3</v>
      </c>
      <c r="Y72" s="171">
        <f t="shared" si="13"/>
        <v>-8.3559786156583754E-4</v>
      </c>
      <c r="Z72" s="184">
        <f t="shared" si="14"/>
        <v>-6.4012442436972832E-3</v>
      </c>
      <c r="AA72" s="171">
        <f t="shared" si="15"/>
        <v>-6.6519236021670338E-3</v>
      </c>
      <c r="AB72" s="170">
        <f t="shared" si="17"/>
        <v>-6242.9119007205882</v>
      </c>
      <c r="AC72" s="184">
        <f t="shared" si="18"/>
        <v>-4.2547032197475555E-2</v>
      </c>
    </row>
    <row r="73" spans="2:29" x14ac:dyDescent="0.15">
      <c r="B73" s="172">
        <v>42520</v>
      </c>
      <c r="C73" s="170" t="s">
        <v>26</v>
      </c>
      <c r="D73" s="170" t="s">
        <v>27</v>
      </c>
      <c r="E73" s="170">
        <v>1007871</v>
      </c>
      <c r="F73" s="183">
        <f t="shared" ref="F73" si="35">K73*I73</f>
        <v>926024</v>
      </c>
      <c r="G73" s="170">
        <f t="shared" ref="G73" si="36">G72*(1+Q72)</f>
        <v>963482.07502013596</v>
      </c>
      <c r="H73" s="170">
        <f t="shared" ref="H73" si="37">G73*(1+Q73)</f>
        <v>958504.774834221</v>
      </c>
      <c r="I73" s="170">
        <v>61900</v>
      </c>
      <c r="J73" s="183">
        <v>15.09</v>
      </c>
      <c r="K73" s="183">
        <v>14.96</v>
      </c>
      <c r="L73" s="191">
        <f t="shared" si="2"/>
        <v>-8.6149768058316114E-3</v>
      </c>
      <c r="M73" s="183">
        <v>5739.59</v>
      </c>
      <c r="N73" s="183">
        <v>5711.31</v>
      </c>
      <c r="O73" s="191">
        <f t="shared" si="19"/>
        <v>-4.9271812098076245E-3</v>
      </c>
      <c r="P73" s="192">
        <f t="shared" si="20"/>
        <v>-3.6877955960239869E-3</v>
      </c>
      <c r="Q73" s="55">
        <f t="shared" si="21"/>
        <v>-5.165949958966274E-3</v>
      </c>
      <c r="R73" s="170">
        <f t="shared" si="22"/>
        <v>-4977.3001859150118</v>
      </c>
      <c r="S73" s="191">
        <f t="shared" si="23"/>
        <v>-8.1207813451008956E-2</v>
      </c>
      <c r="T73" s="1">
        <f t="shared" si="24"/>
        <v>-4.5281075993908453E-2</v>
      </c>
      <c r="U73" s="191">
        <f t="shared" si="25"/>
        <v>-4.9511060255273034E-2</v>
      </c>
      <c r="V73" s="183">
        <f t="shared" si="26"/>
        <v>-49900.761810542288</v>
      </c>
      <c r="W73" s="183">
        <f t="shared" si="27"/>
        <v>-81847.000150681852</v>
      </c>
      <c r="X73" s="171">
        <f t="shared" si="12"/>
        <v>-8.6149768058316114E-3</v>
      </c>
      <c r="Y73" s="171">
        <f t="shared" si="13"/>
        <v>-4.9271812098076245E-3</v>
      </c>
      <c r="Z73" s="184">
        <f t="shared" si="14"/>
        <v>-3.6877955960239869E-3</v>
      </c>
      <c r="AA73" s="171">
        <f t="shared" si="15"/>
        <v>-5.165949958966274E-3</v>
      </c>
      <c r="AB73" s="170">
        <f t="shared" si="17"/>
        <v>-4711.7976202973587</v>
      </c>
      <c r="AC73" s="184">
        <f t="shared" si="18"/>
        <v>-4.7712982156441833E-2</v>
      </c>
    </row>
    <row r="74" spans="2:29" x14ac:dyDescent="0.15">
      <c r="B74" s="172">
        <v>42521</v>
      </c>
      <c r="C74" s="170" t="s">
        <v>26</v>
      </c>
      <c r="D74" s="170" t="s">
        <v>27</v>
      </c>
      <c r="E74" s="170">
        <v>1007871</v>
      </c>
      <c r="F74" s="183">
        <f t="shared" ref="F74:F91" si="38">K74*I74</f>
        <v>980496</v>
      </c>
      <c r="G74" s="170">
        <f t="shared" ref="G74" si="39">G73*(1+Q73)</f>
        <v>958504.774834221</v>
      </c>
      <c r="H74" s="170">
        <f t="shared" ref="H74" si="40">G74*(1+Q74)</f>
        <v>987161.42313223484</v>
      </c>
      <c r="I74" s="170">
        <v>61900</v>
      </c>
      <c r="J74" s="183">
        <v>14.96</v>
      </c>
      <c r="K74" s="183">
        <v>15.84</v>
      </c>
      <c r="L74" s="191">
        <f t="shared" si="2"/>
        <v>5.8823529411764636E-2</v>
      </c>
      <c r="M74" s="183">
        <v>5711.31</v>
      </c>
      <c r="N74" s="183">
        <v>5947.32</v>
      </c>
      <c r="O74" s="191">
        <f t="shared" si="19"/>
        <v>4.1323269092379732E-2</v>
      </c>
      <c r="P74" s="192">
        <f t="shared" si="20"/>
        <v>1.7500260319384904E-2</v>
      </c>
      <c r="Q74" s="55">
        <f t="shared" si="21"/>
        <v>2.9897241047098823E-2</v>
      </c>
      <c r="R74" s="183">
        <f t="shared" si="22"/>
        <v>28656.648298013886</v>
      </c>
      <c r="S74" s="191">
        <f t="shared" si="23"/>
        <v>-2.7161214242244849E-2</v>
      </c>
      <c r="T74" s="1">
        <f t="shared" si="24"/>
        <v>-5.8289689896174968E-3</v>
      </c>
      <c r="U74" s="191">
        <f t="shared" si="25"/>
        <v>-2.3080935949512601E-2</v>
      </c>
      <c r="V74" s="183">
        <f t="shared" si="26"/>
        <v>-23262.605996371214</v>
      </c>
      <c r="W74" s="183">
        <f t="shared" si="27"/>
        <v>-27375.000159545558</v>
      </c>
      <c r="X74" s="171">
        <f t="shared" si="12"/>
        <v>5.8823529411764636E-2</v>
      </c>
      <c r="Y74" s="171">
        <f t="shared" si="13"/>
        <v>4.1323269092379732E-2</v>
      </c>
      <c r="Z74" s="184">
        <f t="shared" si="14"/>
        <v>1.7500260319384904E-2</v>
      </c>
      <c r="AA74" s="171">
        <f t="shared" si="15"/>
        <v>2.9897241047098823E-2</v>
      </c>
      <c r="AB74" s="170">
        <f>R74</f>
        <v>28656.648298013886</v>
      </c>
      <c r="AC74" s="184">
        <f t="shared" si="18"/>
        <v>-1.781574110934301E-2</v>
      </c>
    </row>
    <row r="75" spans="2:29" x14ac:dyDescent="0.15">
      <c r="B75" s="172">
        <v>42522</v>
      </c>
      <c r="C75" s="170" t="s">
        <v>26</v>
      </c>
      <c r="D75" s="170" t="s">
        <v>27</v>
      </c>
      <c r="E75" s="170">
        <v>1007871</v>
      </c>
      <c r="F75" s="183">
        <f t="shared" si="38"/>
        <v>986686</v>
      </c>
      <c r="G75" s="170">
        <f t="shared" ref="G75" si="41">G74*(1+Q74)</f>
        <v>987161.42313223484</v>
      </c>
      <c r="H75" s="170">
        <f t="shared" ref="H75" si="42">G75*(1+Q75)</f>
        <v>990319.14262799849</v>
      </c>
      <c r="I75" s="170">
        <v>61900</v>
      </c>
      <c r="J75" s="183">
        <v>15.84</v>
      </c>
      <c r="K75" s="183">
        <v>15.94</v>
      </c>
      <c r="L75" s="191">
        <f t="shared" si="2"/>
        <v>6.3131313131312905E-3</v>
      </c>
      <c r="M75" s="183">
        <v>5947.32</v>
      </c>
      <c r="N75" s="183">
        <v>5973.78</v>
      </c>
      <c r="O75" s="191">
        <f t="shared" si="19"/>
        <v>4.449062771130532E-3</v>
      </c>
      <c r="P75" s="192">
        <f t="shared" si="20"/>
        <v>1.8640685420007585E-3</v>
      </c>
      <c r="Q75" s="55">
        <f t="shared" si="21"/>
        <v>3.1987873733399178E-3</v>
      </c>
      <c r="R75" s="183">
        <f t="shared" si="22"/>
        <v>3157.7194957636566</v>
      </c>
      <c r="S75" s="191">
        <f t="shared" si="23"/>
        <v>-2.101955524124894E-2</v>
      </c>
      <c r="T75" s="1">
        <f t="shared" si="24"/>
        <v>-1.405839667412746E-3</v>
      </c>
      <c r="U75" s="191">
        <f t="shared" si="25"/>
        <v>-2.0035467474060018E-2</v>
      </c>
      <c r="V75" s="183">
        <f t="shared" si="26"/>
        <v>-20193.166638548344</v>
      </c>
      <c r="W75" s="183">
        <f t="shared" si="27"/>
        <v>-21185.000160552809</v>
      </c>
      <c r="X75" s="171">
        <f t="shared" ref="X75" si="43">(K75-K74)/K74</f>
        <v>6.3131313131312905E-3</v>
      </c>
      <c r="Y75" s="171">
        <f t="shared" ref="Y75" si="44">(N75-N74)/N74</f>
        <v>4.449062771130532E-3</v>
      </c>
      <c r="Z75" s="184">
        <f t="shared" ref="Z75" si="45">X75-Y75</f>
        <v>1.8640685420007585E-3</v>
      </c>
      <c r="AA75" s="171">
        <f t="shared" ref="AA75" si="46">X75*0.3+Z75*0.7</f>
        <v>3.1987873733399178E-3</v>
      </c>
      <c r="AB75" s="170">
        <f t="shared" ref="AB75:AB76" si="47">R75</f>
        <v>3157.7194957636566</v>
      </c>
      <c r="AC75" s="184">
        <f t="shared" ref="AC75" si="48">AC74+AA75</f>
        <v>-1.4616953736003092E-2</v>
      </c>
    </row>
    <row r="76" spans="2:29" x14ac:dyDescent="0.15">
      <c r="B76" s="172">
        <v>42523</v>
      </c>
      <c r="C76" s="170" t="s">
        <v>26</v>
      </c>
      <c r="D76" s="170" t="s">
        <v>27</v>
      </c>
      <c r="E76" s="170">
        <v>1007871</v>
      </c>
      <c r="F76" s="183">
        <f t="shared" si="38"/>
        <v>997828.00000000012</v>
      </c>
      <c r="G76" s="170">
        <f t="shared" ref="G76" si="49">G75*(1+Q75)</f>
        <v>990319.14262799849</v>
      </c>
      <c r="H76" s="170">
        <f t="shared" ref="H76" si="50">G76*(1+Q76)</f>
        <v>996847.63057038712</v>
      </c>
      <c r="I76" s="170">
        <v>61900</v>
      </c>
      <c r="J76" s="183">
        <v>15.94</v>
      </c>
      <c r="K76" s="183">
        <v>16.12</v>
      </c>
      <c r="L76" s="191">
        <f t="shared" si="2"/>
        <v>1.1292346298619919E-2</v>
      </c>
      <c r="M76" s="183">
        <v>5973.78</v>
      </c>
      <c r="N76" s="183">
        <v>6013.89</v>
      </c>
      <c r="O76" s="191">
        <f t="shared" si="19"/>
        <v>6.7143416731115946E-3</v>
      </c>
      <c r="P76" s="192">
        <f t="shared" si="20"/>
        <v>4.5780046255083241E-3</v>
      </c>
      <c r="Q76" s="55">
        <f t="shared" si="21"/>
        <v>6.5923071274418023E-3</v>
      </c>
      <c r="R76" s="183">
        <f t="shared" si="22"/>
        <v>6528.4879423886096</v>
      </c>
      <c r="S76" s="191">
        <f t="shared" si="23"/>
        <v>-9.9645690394561757E-3</v>
      </c>
      <c r="T76" s="1">
        <f t="shared" si="24"/>
        <v>5.2990627178342263E-3</v>
      </c>
      <c r="U76" s="191">
        <f t="shared" si="25"/>
        <v>-1.3673912941940133E-2</v>
      </c>
      <c r="V76" s="183">
        <f t="shared" si="26"/>
        <v>-13781.540310706145</v>
      </c>
      <c r="W76" s="183">
        <f t="shared" si="27"/>
        <v>-10043.000162365735</v>
      </c>
      <c r="X76" s="171">
        <f t="shared" ref="X76" si="51">(K76-K75)/K75</f>
        <v>1.1292346298619919E-2</v>
      </c>
      <c r="Y76" s="171">
        <f t="shared" ref="Y76" si="52">(N76-N75)/N75</f>
        <v>6.7143416731115946E-3</v>
      </c>
      <c r="Z76" s="184">
        <f t="shared" ref="Z76" si="53">X76-Y76</f>
        <v>4.5780046255083241E-3</v>
      </c>
      <c r="AA76" s="171">
        <f t="shared" ref="AA76" si="54">X76*0.3+Z76*0.7</f>
        <v>6.5923071274418023E-3</v>
      </c>
      <c r="AB76" s="170">
        <f t="shared" si="47"/>
        <v>6528.4879423886096</v>
      </c>
      <c r="AC76" s="184">
        <f t="shared" ref="AC76" si="55">AC75+AA76</f>
        <v>-8.0246466085612898E-3</v>
      </c>
    </row>
    <row r="77" spans="2:29" x14ac:dyDescent="0.15">
      <c r="B77" s="172">
        <v>42524</v>
      </c>
      <c r="C77" s="170" t="s">
        <v>26</v>
      </c>
      <c r="D77" s="170" t="s">
        <v>27</v>
      </c>
      <c r="E77" s="170">
        <v>1007871</v>
      </c>
      <c r="F77" s="183">
        <f t="shared" si="38"/>
        <v>1009588.9999999999</v>
      </c>
      <c r="G77" s="170">
        <f t="shared" ref="G77" si="56">G76*(1+Q76)</f>
        <v>996847.63057038712</v>
      </c>
      <c r="H77" s="170">
        <f t="shared" ref="H77" si="57">G77*(1+Q77)</f>
        <v>1006426.148806261</v>
      </c>
      <c r="I77" s="170">
        <v>61900</v>
      </c>
      <c r="J77" s="183">
        <v>16.12</v>
      </c>
      <c r="K77" s="183">
        <v>16.309999999999999</v>
      </c>
      <c r="L77" s="191">
        <f t="shared" si="2"/>
        <v>1.1786600496277774E-2</v>
      </c>
      <c r="M77" s="183">
        <v>6013.89</v>
      </c>
      <c r="N77" s="183">
        <v>6032.6</v>
      </c>
      <c r="O77" s="191">
        <f t="shared" si="19"/>
        <v>3.1111310649180541E-3</v>
      </c>
      <c r="P77" s="192">
        <f t="shared" si="20"/>
        <v>8.6754694313597204E-3</v>
      </c>
      <c r="Q77" s="55">
        <f t="shared" si="21"/>
        <v>9.6088087508351371E-3</v>
      </c>
      <c r="R77" s="183">
        <f t="shared" si="22"/>
        <v>9578.5182358740076</v>
      </c>
      <c r="S77" s="191">
        <f t="shared" si="23"/>
        <v>1.7045830624359492E-3</v>
      </c>
      <c r="T77" s="1">
        <f t="shared" si="24"/>
        <v>8.4266798613886838E-3</v>
      </c>
      <c r="U77" s="191">
        <f t="shared" si="25"/>
        <v>-4.1940928405361294E-3</v>
      </c>
      <c r="V77" s="183">
        <f t="shared" si="26"/>
        <v>-4227.104545283989</v>
      </c>
      <c r="W77" s="183">
        <f t="shared" si="27"/>
        <v>1717.9998357203826</v>
      </c>
      <c r="X77" s="171">
        <f t="shared" ref="X77" si="58">(K77-K76)/K76</f>
        <v>1.1786600496277774E-2</v>
      </c>
      <c r="Y77" s="171">
        <f t="shared" ref="Y77" si="59">(N77-N76)/N76</f>
        <v>3.1111310649180541E-3</v>
      </c>
      <c r="Z77" s="184">
        <f t="shared" ref="Z77" si="60">X77-Y77</f>
        <v>8.6754694313597204E-3</v>
      </c>
      <c r="AA77" s="171">
        <f t="shared" ref="AA77" si="61">X77*0.3+Z77*0.7</f>
        <v>9.6088087508351371E-3</v>
      </c>
      <c r="AB77" s="170">
        <f t="shared" ref="AB77" si="62">R77</f>
        <v>9578.5182358740076</v>
      </c>
      <c r="AC77" s="184">
        <f t="shared" ref="AC77" si="63">AC76+AA77</f>
        <v>1.5841621422738473E-3</v>
      </c>
    </row>
    <row r="78" spans="2:29" x14ac:dyDescent="0.15">
      <c r="B78" s="172">
        <v>42527</v>
      </c>
      <c r="C78" s="170" t="s">
        <v>26</v>
      </c>
      <c r="D78" s="170" t="s">
        <v>27</v>
      </c>
      <c r="E78" s="170">
        <v>1007871</v>
      </c>
      <c r="F78" s="183">
        <f t="shared" si="38"/>
        <v>1004017.9999999999</v>
      </c>
      <c r="G78" s="170">
        <f t="shared" ref="G78" si="64">G77*(1+Q77)</f>
        <v>1006426.148806261</v>
      </c>
      <c r="H78" s="170">
        <f t="shared" ref="H78" si="65">G78*(1+Q78)</f>
        <v>998623.3828936331</v>
      </c>
      <c r="I78" s="170">
        <v>61900</v>
      </c>
      <c r="J78" s="183">
        <v>16.309999999999999</v>
      </c>
      <c r="K78" s="183">
        <v>16.22</v>
      </c>
      <c r="L78" s="191">
        <f t="shared" si="2"/>
        <v>-5.5180870631514325E-3</v>
      </c>
      <c r="M78" s="183">
        <v>6032.6</v>
      </c>
      <c r="N78" s="183">
        <v>6051.86</v>
      </c>
      <c r="O78" s="191">
        <f t="shared" si="19"/>
        <v>3.1926532506712374E-3</v>
      </c>
      <c r="P78" s="192">
        <f t="shared" si="20"/>
        <v>-8.7107403138226708E-3</v>
      </c>
      <c r="Q78" s="55">
        <f t="shared" si="21"/>
        <v>-7.7529443386212989E-3</v>
      </c>
      <c r="R78" s="183">
        <f t="shared" si="22"/>
        <v>-7802.7659126279386</v>
      </c>
      <c r="S78" s="191">
        <f t="shared" si="23"/>
        <v>-3.8229100384603782E-3</v>
      </c>
      <c r="T78" s="1">
        <f t="shared" si="24"/>
        <v>1.1646236578911749E-2</v>
      </c>
      <c r="U78" s="191">
        <f t="shared" si="25"/>
        <v>-1.1975275643698602E-2</v>
      </c>
      <c r="V78" s="183">
        <f t="shared" si="26"/>
        <v>-12069.533038290154</v>
      </c>
      <c r="W78" s="183">
        <f t="shared" si="27"/>
        <v>-3853.0001633730999</v>
      </c>
      <c r="X78" s="171">
        <f t="shared" ref="X78" si="66">(K78-K77)/K77</f>
        <v>-5.5180870631514325E-3</v>
      </c>
      <c r="Y78" s="171">
        <f t="shared" ref="Y78" si="67">(N78-N77)/N77</f>
        <v>3.1926532506712374E-3</v>
      </c>
      <c r="Z78" s="184">
        <f t="shared" ref="Z78" si="68">X78-Y78</f>
        <v>-8.7107403138226708E-3</v>
      </c>
      <c r="AA78" s="171">
        <f t="shared" ref="AA78" si="69">X78*0.3+Z78*0.7</f>
        <v>-7.7529443386212989E-3</v>
      </c>
      <c r="AB78" s="170">
        <f t="shared" ref="AB78" si="70">R78</f>
        <v>-7802.7659126279386</v>
      </c>
      <c r="AC78" s="184">
        <f t="shared" ref="AC78" si="71">AC77+AA78</f>
        <v>-6.1687821963474516E-3</v>
      </c>
    </row>
    <row r="79" spans="2:29" x14ac:dyDescent="0.15">
      <c r="B79" s="172">
        <v>42528</v>
      </c>
      <c r="C79" s="170" t="s">
        <v>26</v>
      </c>
      <c r="D79" s="170" t="s">
        <v>27</v>
      </c>
      <c r="E79" s="170">
        <v>1007871</v>
      </c>
      <c r="F79" s="183">
        <f t="shared" si="38"/>
        <v>999684.99999999988</v>
      </c>
      <c r="G79" s="170">
        <f t="shared" ref="G79" si="72">G78*(1+Q78)</f>
        <v>998623.3828936331</v>
      </c>
      <c r="H79" s="170">
        <f t="shared" ref="H79" si="73">G79*(1+Q79)</f>
        <v>995064.46420932945</v>
      </c>
      <c r="I79" s="170">
        <v>61900</v>
      </c>
      <c r="J79" s="183">
        <v>16.22</v>
      </c>
      <c r="K79" s="183">
        <v>16.149999999999999</v>
      </c>
      <c r="L79" s="191">
        <f t="shared" si="2"/>
        <v>-4.3156596794081559E-3</v>
      </c>
      <c r="M79" s="183">
        <v>6051.86</v>
      </c>
      <c r="N79" s="183">
        <v>6045.36</v>
      </c>
      <c r="O79" s="191">
        <f t="shared" si="19"/>
        <v>-1.0740499614994398E-3</v>
      </c>
      <c r="P79" s="192">
        <f t="shared" si="20"/>
        <v>-3.2416097179087163E-3</v>
      </c>
      <c r="Q79" s="55">
        <f t="shared" si="21"/>
        <v>-3.5638247063585482E-3</v>
      </c>
      <c r="R79" s="183">
        <f t="shared" si="22"/>
        <v>-3558.9186843036819</v>
      </c>
      <c r="S79" s="191">
        <f t="shared" si="23"/>
        <v>-8.1220713391575456E-3</v>
      </c>
      <c r="T79" s="1">
        <f t="shared" si="24"/>
        <v>1.0559677977463116E-2</v>
      </c>
      <c r="U79" s="191">
        <f t="shared" si="25"/>
        <v>-1.5513845923381725E-2</v>
      </c>
      <c r="V79" s="183">
        <f t="shared" si="26"/>
        <v>-15635.955404644663</v>
      </c>
      <c r="W79" s="183">
        <f t="shared" si="27"/>
        <v>-8186.0001626680551</v>
      </c>
      <c r="X79" s="171">
        <f t="shared" ref="X79" si="74">(K79-K78)/K78</f>
        <v>-4.3156596794081559E-3</v>
      </c>
      <c r="Y79" s="171">
        <f t="shared" ref="Y79" si="75">(N79-N78)/N78</f>
        <v>-1.0740499614994398E-3</v>
      </c>
      <c r="Z79" s="184">
        <f t="shared" ref="Z79" si="76">X79-Y79</f>
        <v>-3.2416097179087163E-3</v>
      </c>
      <c r="AA79" s="171">
        <f t="shared" ref="AA79" si="77">X79*0.3+Z79*0.7</f>
        <v>-3.5638247063585482E-3</v>
      </c>
      <c r="AB79" s="170">
        <f t="shared" ref="AB79" si="78">R79</f>
        <v>-3558.9186843036819</v>
      </c>
      <c r="AC79" s="184">
        <f t="shared" ref="AC79" si="79">AC78+AA79</f>
        <v>-9.7326069027059998E-3</v>
      </c>
    </row>
    <row r="80" spans="2:29" x14ac:dyDescent="0.15">
      <c r="B80" s="172">
        <v>42529</v>
      </c>
      <c r="C80" s="170" t="s">
        <v>26</v>
      </c>
      <c r="D80" s="170" t="s">
        <v>27</v>
      </c>
      <c r="E80" s="170">
        <v>1007871</v>
      </c>
      <c r="F80" s="183">
        <f t="shared" si="38"/>
        <v>1021350</v>
      </c>
      <c r="G80" s="170">
        <f t="shared" ref="G80" si="80">G79*(1+Q79)</f>
        <v>995064.46420932945</v>
      </c>
      <c r="H80" s="170">
        <f t="shared" ref="H80" si="81">G80*(1+Q80)</f>
        <v>1019104.2499022217</v>
      </c>
      <c r="I80" s="170">
        <v>61900</v>
      </c>
      <c r="J80" s="183">
        <v>16.149999999999999</v>
      </c>
      <c r="K80" s="183">
        <v>16.5</v>
      </c>
      <c r="L80" s="191">
        <f t="shared" si="2"/>
        <v>2.1671826625387088E-2</v>
      </c>
      <c r="M80" s="183">
        <v>6045.36</v>
      </c>
      <c r="N80" s="183">
        <v>6023.88</v>
      </c>
      <c r="O80" s="191">
        <f t="shared" si="19"/>
        <v>-3.5531382746436216E-3</v>
      </c>
      <c r="P80" s="192">
        <f t="shared" si="20"/>
        <v>2.5224964900030709E-2</v>
      </c>
      <c r="Q80" s="55">
        <f t="shared" si="21"/>
        <v>2.4159023417637621E-2</v>
      </c>
      <c r="R80" s="183">
        <f t="shared" si="22"/>
        <v>24039.785692892223</v>
      </c>
      <c r="S80" s="191">
        <f t="shared" si="23"/>
        <v>1.3373735164328293E-2</v>
      </c>
      <c r="T80" s="1">
        <f t="shared" si="24"/>
        <v>6.9690197068298584E-3</v>
      </c>
      <c r="U80" s="191">
        <f t="shared" si="25"/>
        <v>8.4954213695473922E-3</v>
      </c>
      <c r="V80" s="183">
        <f t="shared" si="26"/>
        <v>8562.2888311470997</v>
      </c>
      <c r="W80" s="183">
        <f t="shared" si="27"/>
        <v>13478.999833806722</v>
      </c>
      <c r="X80" s="171">
        <f t="shared" ref="X80" si="82">(K80-K79)/K79</f>
        <v>2.1671826625387088E-2</v>
      </c>
      <c r="Y80" s="171">
        <f t="shared" ref="Y80" si="83">(N80-N79)/N79</f>
        <v>-3.5531382746436216E-3</v>
      </c>
      <c r="Z80" s="184">
        <f t="shared" ref="Z80" si="84">X80-Y80</f>
        <v>2.5224964900030709E-2</v>
      </c>
      <c r="AA80" s="171">
        <f t="shared" ref="AA80" si="85">X80*0.3+Z80*0.7</f>
        <v>2.4159023417637621E-2</v>
      </c>
      <c r="AB80" s="170">
        <f t="shared" ref="AB80" si="86">R80</f>
        <v>24039.785692892223</v>
      </c>
      <c r="AC80" s="184">
        <f t="shared" ref="AC80" si="87">AC79+AA80</f>
        <v>1.4426416514931621E-2</v>
      </c>
    </row>
    <row r="81" spans="2:29" x14ac:dyDescent="0.15">
      <c r="B81" s="172">
        <v>42534</v>
      </c>
      <c r="C81" s="170" t="s">
        <v>26</v>
      </c>
      <c r="D81" s="170" t="s">
        <v>27</v>
      </c>
      <c r="E81" s="170">
        <v>1007871</v>
      </c>
      <c r="F81" s="183">
        <f t="shared" si="38"/>
        <v>998446.99999999988</v>
      </c>
      <c r="G81" s="170">
        <f t="shared" ref="G81" si="88">G80*(1+Q80)</f>
        <v>1019104.2499022217</v>
      </c>
      <c r="H81" s="170">
        <f t="shared" ref="H81" si="89">G81*(1+Q81)</f>
        <v>1029107.2102154207</v>
      </c>
      <c r="I81" s="170">
        <v>61900</v>
      </c>
      <c r="J81" s="183">
        <v>16.5</v>
      </c>
      <c r="K81" s="183">
        <v>16.13</v>
      </c>
      <c r="L81" s="191">
        <f t="shared" si="2"/>
        <v>-2.2424242424242485E-2</v>
      </c>
      <c r="M81" s="183">
        <v>6023.88</v>
      </c>
      <c r="N81" s="183">
        <v>5746.44</v>
      </c>
      <c r="O81" s="191">
        <f t="shared" si="19"/>
        <v>-4.605669435646137E-2</v>
      </c>
      <c r="P81" s="192">
        <f t="shared" si="20"/>
        <v>2.3632451932218884E-2</v>
      </c>
      <c r="Q81" s="55">
        <f t="shared" si="21"/>
        <v>9.8154436252804733E-3</v>
      </c>
      <c r="R81" s="183">
        <f t="shared" si="22"/>
        <v>10002.960313199001</v>
      </c>
      <c r="S81" s="191">
        <f t="shared" si="23"/>
        <v>-9.3504031393567052E-3</v>
      </c>
      <c r="T81" s="1">
        <f t="shared" si="24"/>
        <v>-3.9408644660233125E-2</v>
      </c>
      <c r="U81" s="191">
        <f t="shared" si="25"/>
        <v>1.823564812280648E-2</v>
      </c>
      <c r="V81" s="183">
        <f t="shared" si="26"/>
        <v>18379.18090918109</v>
      </c>
      <c r="W81" s="183">
        <f t="shared" si="27"/>
        <v>-9424.000162466582</v>
      </c>
      <c r="X81" s="171">
        <f t="shared" ref="X81" si="90">(K81-K80)/K80</f>
        <v>-2.2424242424242485E-2</v>
      </c>
      <c r="Y81" s="171">
        <f t="shared" ref="Y81" si="91">(N81-N80)/N80</f>
        <v>-4.605669435646137E-2</v>
      </c>
      <c r="Z81" s="184">
        <f t="shared" ref="Z81" si="92">X81-Y81</f>
        <v>2.3632451932218884E-2</v>
      </c>
      <c r="AA81" s="171">
        <f t="shared" ref="AA81" si="93">X81*0.3+Z81*0.7</f>
        <v>9.8154436252804733E-3</v>
      </c>
      <c r="AB81" s="170">
        <f t="shared" ref="AB81" si="94">R81</f>
        <v>10002.960313199001</v>
      </c>
      <c r="AC81" s="184">
        <f t="shared" ref="AC81" si="95">AC80+AA81</f>
        <v>2.4241860140212096E-2</v>
      </c>
    </row>
    <row r="82" spans="2:29" x14ac:dyDescent="0.15">
      <c r="B82" s="172">
        <v>42535</v>
      </c>
      <c r="C82" s="170" t="s">
        <v>26</v>
      </c>
      <c r="D82" s="170" t="s">
        <v>27</v>
      </c>
      <c r="E82" s="170">
        <v>1007871</v>
      </c>
      <c r="F82" s="183">
        <f t="shared" si="38"/>
        <v>982353</v>
      </c>
      <c r="G82" s="170">
        <f t="shared" ref="G82" si="96">G81*(1+Q81)</f>
        <v>1029107.2102154207</v>
      </c>
      <c r="H82" s="170">
        <f t="shared" ref="H82" si="97">G82*(1+Q82)</f>
        <v>1010473.1183058465</v>
      </c>
      <c r="I82" s="170">
        <v>61900</v>
      </c>
      <c r="J82" s="183">
        <v>16.13</v>
      </c>
      <c r="K82" s="183">
        <v>15.87</v>
      </c>
      <c r="L82" s="191">
        <f t="shared" si="2"/>
        <v>-1.6119032858028508E-2</v>
      </c>
      <c r="M82" s="183">
        <v>5746.44</v>
      </c>
      <c r="N82" s="183">
        <v>5762.76</v>
      </c>
      <c r="O82" s="191">
        <f t="shared" si="19"/>
        <v>2.8400192118947765E-3</v>
      </c>
      <c r="P82" s="192">
        <f t="shared" si="20"/>
        <v>-1.8959052069923283E-2</v>
      </c>
      <c r="Q82" s="55">
        <f t="shared" si="21"/>
        <v>-1.8107046306354849E-2</v>
      </c>
      <c r="R82" s="183">
        <f t="shared" si="22"/>
        <v>-18634.091909574276</v>
      </c>
      <c r="S82" s="191">
        <f t="shared" si="23"/>
        <v>-2.5318716541946108E-2</v>
      </c>
      <c r="T82" s="1">
        <f t="shared" si="24"/>
        <v>-3.6680546756288145E-2</v>
      </c>
      <c r="U82" s="191">
        <f t="shared" si="25"/>
        <v>3.5766618745559312E-4</v>
      </c>
      <c r="V82" s="183">
        <f t="shared" si="26"/>
        <v>360.4813780170561</v>
      </c>
      <c r="W82" s="183">
        <f t="shared" si="27"/>
        <v>-25518.000159847765</v>
      </c>
      <c r="X82" s="171">
        <f t="shared" ref="X82" si="98">(K82-K81)/K81</f>
        <v>-1.6119032858028508E-2</v>
      </c>
      <c r="Y82" s="171">
        <f t="shared" ref="Y82" si="99">(N82-N81)/N81</f>
        <v>2.8400192118947765E-3</v>
      </c>
      <c r="Z82" s="184">
        <f t="shared" ref="Z82" si="100">X82-Y82</f>
        <v>-1.8959052069923283E-2</v>
      </c>
      <c r="AA82" s="171">
        <f t="shared" ref="AA82" si="101">X82*0.3+Z82*0.7</f>
        <v>-1.8107046306354849E-2</v>
      </c>
      <c r="AB82" s="170">
        <f t="shared" ref="AB82" si="102">R82</f>
        <v>-18634.091909574276</v>
      </c>
      <c r="AC82" s="184">
        <f t="shared" ref="AC82" si="103">AC81+AA82</f>
        <v>6.1348138338572465E-3</v>
      </c>
    </row>
    <row r="83" spans="2:29" x14ac:dyDescent="0.15">
      <c r="B83" s="172">
        <v>42536</v>
      </c>
      <c r="C83" s="170" t="s">
        <v>26</v>
      </c>
      <c r="D83" s="170" t="s">
        <v>27</v>
      </c>
      <c r="E83" s="170">
        <v>1007871</v>
      </c>
      <c r="F83" s="183">
        <f t="shared" si="38"/>
        <v>1046729</v>
      </c>
      <c r="G83" s="170">
        <f t="shared" ref="G83" si="104">G82*(1+Q82)</f>
        <v>1010473.1183058465</v>
      </c>
      <c r="H83" s="170">
        <f t="shared" ref="H83" si="105">G83*(1+Q83)</f>
        <v>1053359.9214528175</v>
      </c>
      <c r="I83" s="170">
        <v>61900</v>
      </c>
      <c r="J83" s="183">
        <v>15.87</v>
      </c>
      <c r="K83" s="183">
        <v>16.91</v>
      </c>
      <c r="L83" s="191">
        <f t="shared" si="2"/>
        <v>6.5532451165721553E-2</v>
      </c>
      <c r="M83" s="183">
        <v>5762.76</v>
      </c>
      <c r="N83" s="183">
        <v>5952.85</v>
      </c>
      <c r="O83" s="191">
        <f t="shared" si="19"/>
        <v>3.2985930352817078E-2</v>
      </c>
      <c r="P83" s="192">
        <f t="shared" si="20"/>
        <v>3.2546520812904475E-2</v>
      </c>
      <c r="Q83" s="55">
        <f t="shared" si="21"/>
        <v>4.2442299918749593E-2</v>
      </c>
      <c r="R83" s="183">
        <f t="shared" si="22"/>
        <v>42886.803146970873</v>
      </c>
      <c r="S83" s="191">
        <f t="shared" si="23"/>
        <v>3.855453706841161E-2</v>
      </c>
      <c r="T83" s="1">
        <f t="shared" si="24"/>
        <v>-4.9045583640772421E-3</v>
      </c>
      <c r="U83" s="191">
        <f t="shared" si="25"/>
        <v>4.1987727923265675E-2</v>
      </c>
      <c r="V83" s="183">
        <f t="shared" si="26"/>
        <v>42318.213329749698</v>
      </c>
      <c r="W83" s="183">
        <f t="shared" si="27"/>
        <v>38857.999829677079</v>
      </c>
      <c r="X83" s="171">
        <f t="shared" ref="X83" si="106">(K83-K82)/K82</f>
        <v>6.5532451165721553E-2</v>
      </c>
      <c r="Y83" s="171">
        <f t="shared" ref="Y83" si="107">(N83-N82)/N82</f>
        <v>3.2985930352817078E-2</v>
      </c>
      <c r="Z83" s="184">
        <f t="shared" ref="Z83" si="108">X83-Y83</f>
        <v>3.2546520812904475E-2</v>
      </c>
      <c r="AA83" s="171">
        <f t="shared" ref="AA83" si="109">X83*0.3+Z83*0.7</f>
        <v>4.2442299918749593E-2</v>
      </c>
      <c r="AB83" s="170">
        <f t="shared" ref="AB83" si="110">R83</f>
        <v>42886.803146970873</v>
      </c>
      <c r="AC83" s="184">
        <f t="shared" ref="AC83" si="111">AC82+AA83</f>
        <v>4.8577113752606843E-2</v>
      </c>
    </row>
    <row r="84" spans="2:29" x14ac:dyDescent="0.15">
      <c r="B84" s="172">
        <v>42537</v>
      </c>
      <c r="C84" s="170" t="s">
        <v>26</v>
      </c>
      <c r="D84" s="170" t="s">
        <v>27</v>
      </c>
      <c r="E84" s="170">
        <v>1007871</v>
      </c>
      <c r="F84" s="183">
        <f t="shared" si="38"/>
        <v>1072727</v>
      </c>
      <c r="G84" s="170">
        <f t="shared" ref="G84" si="112">G83*(1+Q83)</f>
        <v>1053359.9214528175</v>
      </c>
      <c r="H84" s="170">
        <f t="shared" ref="H84" si="113">G84*(1+Q84)</f>
        <v>1082286.0524504224</v>
      </c>
      <c r="I84" s="170">
        <v>61900</v>
      </c>
      <c r="J84" s="183">
        <v>16.91</v>
      </c>
      <c r="K84" s="183">
        <v>17.329999999999998</v>
      </c>
      <c r="L84" s="191">
        <f t="shared" si="2"/>
        <v>2.4837374334713079E-2</v>
      </c>
      <c r="M84" s="183">
        <v>5952.85</v>
      </c>
      <c r="N84" s="183">
        <v>5930.54</v>
      </c>
      <c r="O84" s="191">
        <f t="shared" si="19"/>
        <v>-3.7477846745677112E-3</v>
      </c>
      <c r="P84" s="192">
        <f t="shared" si="20"/>
        <v>2.858515900928079E-2</v>
      </c>
      <c r="Q84" s="55">
        <f t="shared" si="21"/>
        <v>2.7460823606910476E-2</v>
      </c>
      <c r="R84" s="183">
        <f t="shared" si="22"/>
        <v>28926.130997604894</v>
      </c>
      <c r="S84" s="191">
        <f t="shared" si="23"/>
        <v>6.4349504872594401E-2</v>
      </c>
      <c r="T84" s="1">
        <f t="shared" si="24"/>
        <v>-8.6339618099725412E-3</v>
      </c>
      <c r="U84" s="191">
        <f t="shared" si="25"/>
        <v>7.0393278139575174E-2</v>
      </c>
      <c r="V84" s="183">
        <f t="shared" si="26"/>
        <v>70947.343631811775</v>
      </c>
      <c r="W84" s="183">
        <f t="shared" si="27"/>
        <v>64855.99982544659</v>
      </c>
      <c r="X84" s="171">
        <f t="shared" ref="X84" si="114">(K84-K83)/K83</f>
        <v>2.4837374334713079E-2</v>
      </c>
      <c r="Y84" s="171">
        <f t="shared" ref="Y84" si="115">(N84-N83)/N83</f>
        <v>-3.7477846745677112E-3</v>
      </c>
      <c r="Z84" s="184">
        <f t="shared" ref="Z84" si="116">X84-Y84</f>
        <v>2.858515900928079E-2</v>
      </c>
      <c r="AA84" s="171">
        <f t="shared" ref="AA84" si="117">X84*0.3+Z84*0.7</f>
        <v>2.7460823606910476E-2</v>
      </c>
      <c r="AB84" s="170">
        <f t="shared" ref="AB84" si="118">R84</f>
        <v>28926.130997604894</v>
      </c>
      <c r="AC84" s="184">
        <f t="shared" ref="AC84" si="119">AC83+AA84</f>
        <v>7.6037937359517319E-2</v>
      </c>
    </row>
    <row r="85" spans="2:29" x14ac:dyDescent="0.15">
      <c r="B85" s="172">
        <v>42538</v>
      </c>
      <c r="C85" s="170" t="s">
        <v>26</v>
      </c>
      <c r="D85" s="170" t="s">
        <v>27</v>
      </c>
      <c r="E85" s="170">
        <v>1007871</v>
      </c>
      <c r="F85" s="183">
        <f t="shared" si="38"/>
        <v>1065299</v>
      </c>
      <c r="G85" s="170">
        <f t="shared" ref="G85" si="120">G84*(1+Q84)</f>
        <v>1082286.0524504224</v>
      </c>
      <c r="H85" s="170">
        <f t="shared" ref="H85" si="121">G85*(1+Q85)</f>
        <v>1070483.0034533567</v>
      </c>
      <c r="I85" s="170">
        <v>61900</v>
      </c>
      <c r="J85" s="183">
        <v>17.329999999999998</v>
      </c>
      <c r="K85" s="183">
        <v>17.21</v>
      </c>
      <c r="L85" s="191">
        <f t="shared" si="2"/>
        <v>-6.9244085401037195E-3</v>
      </c>
      <c r="M85" s="183">
        <v>5930.54</v>
      </c>
      <c r="N85" s="183">
        <v>5964.27</v>
      </c>
      <c r="O85" s="191">
        <f t="shared" si="19"/>
        <v>5.6875090632557022E-3</v>
      </c>
      <c r="P85" s="192">
        <f t="shared" si="20"/>
        <v>-1.2611917603359422E-2</v>
      </c>
      <c r="Q85" s="55">
        <f t="shared" si="21"/>
        <v>-1.090566488438271E-2</v>
      </c>
      <c r="R85" s="183">
        <f t="shared" si="22"/>
        <v>-11803.048997065756</v>
      </c>
      <c r="S85" s="191">
        <f t="shared" si="23"/>
        <v>5.6979514071399444E-2</v>
      </c>
      <c r="T85" s="1">
        <f t="shared" si="24"/>
        <v>-2.995558482762862E-3</v>
      </c>
      <c r="U85" s="191">
        <f t="shared" si="25"/>
        <v>5.9076405009333442E-2</v>
      </c>
      <c r="V85" s="183">
        <f t="shared" si="26"/>
        <v>59541.395393161903</v>
      </c>
      <c r="W85" s="183">
        <f t="shared" si="27"/>
        <v>57427.999826655432</v>
      </c>
      <c r="X85" s="171">
        <f t="shared" ref="X85" si="122">(K85-K84)/K84</f>
        <v>-6.9244085401037195E-3</v>
      </c>
      <c r="Y85" s="171">
        <f t="shared" ref="Y85" si="123">(N85-N84)/N84</f>
        <v>5.6875090632557022E-3</v>
      </c>
      <c r="Z85" s="184">
        <f t="shared" ref="Z85" si="124">X85-Y85</f>
        <v>-1.2611917603359422E-2</v>
      </c>
      <c r="AA85" s="171">
        <f t="shared" ref="AA85" si="125">X85*0.3+Z85*0.7</f>
        <v>-1.090566488438271E-2</v>
      </c>
      <c r="AB85" s="170">
        <f t="shared" ref="AB85" si="126">R85</f>
        <v>-11803.048997065756</v>
      </c>
      <c r="AC85" s="184">
        <f t="shared" ref="AC85" si="127">AC84+AA85</f>
        <v>6.5132272475134603E-2</v>
      </c>
    </row>
    <row r="86" spans="2:29" x14ac:dyDescent="0.15">
      <c r="B86" s="172">
        <v>42541</v>
      </c>
      <c r="C86" s="170" t="s">
        <v>26</v>
      </c>
      <c r="D86" s="170" t="s">
        <v>27</v>
      </c>
      <c r="E86" s="170">
        <v>1007871</v>
      </c>
      <c r="F86" s="183">
        <f t="shared" si="38"/>
        <v>1117914</v>
      </c>
      <c r="G86" s="170">
        <f t="shared" ref="G86" si="128">G85*(1+Q85)</f>
        <v>1070483.0034533567</v>
      </c>
      <c r="H86" s="170">
        <f t="shared" ref="H86" si="129">G86*(1+Q86)</f>
        <v>1120677.9544537568</v>
      </c>
      <c r="I86" s="170">
        <v>61900</v>
      </c>
      <c r="J86" s="183">
        <v>17.21</v>
      </c>
      <c r="K86" s="183">
        <v>18.059999999999999</v>
      </c>
      <c r="L86" s="191">
        <f t="shared" si="2"/>
        <v>4.9389889599070182E-2</v>
      </c>
      <c r="M86" s="183">
        <v>5964.27</v>
      </c>
      <c r="N86" s="183">
        <v>5985.57</v>
      </c>
      <c r="O86" s="191">
        <f t="shared" si="19"/>
        <v>3.571266894355767E-3</v>
      </c>
      <c r="P86" s="192">
        <f t="shared" si="20"/>
        <v>4.5818622704714415E-2</v>
      </c>
      <c r="Q86" s="55">
        <f t="shared" si="21"/>
        <v>4.689000277302114E-2</v>
      </c>
      <c r="R86" s="183">
        <f t="shared" si="22"/>
        <v>50194.951000399895</v>
      </c>
      <c r="S86" s="191">
        <f t="shared" si="23"/>
        <v>0.10918361557986471</v>
      </c>
      <c r="T86" s="1">
        <f t="shared" si="24"/>
        <v>5.6501047275330765E-4</v>
      </c>
      <c r="U86" s="191">
        <f t="shared" si="25"/>
        <v>0.10878810824893739</v>
      </c>
      <c r="V86" s="183">
        <f t="shared" si="26"/>
        <v>109644.37944896478</v>
      </c>
      <c r="W86" s="183">
        <f t="shared" si="27"/>
        <v>110042.99981809383</v>
      </c>
      <c r="X86" s="171">
        <f t="shared" ref="X86" si="130">(K86-K85)/K85</f>
        <v>4.9389889599070182E-2</v>
      </c>
      <c r="Y86" s="171">
        <f t="shared" ref="Y86" si="131">(N86-N85)/N85</f>
        <v>3.571266894355767E-3</v>
      </c>
      <c r="Z86" s="184">
        <f t="shared" ref="Z86" si="132">X86-Y86</f>
        <v>4.5818622704714415E-2</v>
      </c>
      <c r="AA86" s="171">
        <f t="shared" ref="AA86" si="133">X86*0.3+Z86*0.7</f>
        <v>4.689000277302114E-2</v>
      </c>
      <c r="AB86" s="170">
        <f t="shared" ref="AB86" si="134">R86</f>
        <v>50194.951000399895</v>
      </c>
      <c r="AC86" s="184">
        <f t="shared" ref="AC86" si="135">AC85+AA86</f>
        <v>0.11202227524815575</v>
      </c>
    </row>
    <row r="87" spans="2:29" x14ac:dyDescent="0.15">
      <c r="B87" s="172">
        <v>42542</v>
      </c>
      <c r="C87" s="170" t="s">
        <v>26</v>
      </c>
      <c r="D87" s="170" t="s">
        <v>27</v>
      </c>
      <c r="E87" s="170">
        <v>1007871</v>
      </c>
      <c r="F87" s="183">
        <f t="shared" si="38"/>
        <v>1096249</v>
      </c>
      <c r="G87" s="170">
        <f t="shared" ref="G87" si="136">G86*(1+Q86)</f>
        <v>1120677.9544537568</v>
      </c>
      <c r="H87" s="170">
        <f t="shared" ref="H87" si="137">G87*(1+Q87)</f>
        <v>1107972.4518683329</v>
      </c>
      <c r="I87" s="170">
        <v>61900</v>
      </c>
      <c r="J87" s="183">
        <v>18.059999999999999</v>
      </c>
      <c r="K87" s="183">
        <v>17.71</v>
      </c>
      <c r="L87" s="191">
        <f t="shared" si="2"/>
        <v>-1.9379844961240192E-2</v>
      </c>
      <c r="M87" s="183">
        <v>5985.57</v>
      </c>
      <c r="N87" s="183">
        <v>5916.8</v>
      </c>
      <c r="O87" s="191">
        <f t="shared" si="19"/>
        <v>-1.1489298429389269E-2</v>
      </c>
      <c r="P87" s="192">
        <f t="shared" si="20"/>
        <v>-7.8905465318509227E-3</v>
      </c>
      <c r="Q87" s="55">
        <f t="shared" si="21"/>
        <v>-1.1337336060667703E-2</v>
      </c>
      <c r="R87" s="183">
        <f t="shared" si="22"/>
        <v>-12705.502585423896</v>
      </c>
      <c r="S87" s="191">
        <f t="shared" si="23"/>
        <v>8.7687809076379089E-2</v>
      </c>
      <c r="T87" s="1">
        <f t="shared" si="24"/>
        <v>-1.0930779530573155E-2</v>
      </c>
      <c r="U87" s="191">
        <f t="shared" si="25"/>
        <v>9.5339354747780297E-2</v>
      </c>
      <c r="V87" s="183">
        <f t="shared" si="26"/>
        <v>96089.770809000081</v>
      </c>
      <c r="W87" s="183">
        <f t="shared" si="27"/>
        <v>88377.999821619262</v>
      </c>
      <c r="X87" s="171">
        <f t="shared" ref="X87" si="138">(K87-K86)/K86</f>
        <v>-1.9379844961240192E-2</v>
      </c>
      <c r="Y87" s="171">
        <f t="shared" ref="Y87" si="139">(N87-N86)/N86</f>
        <v>-1.1489298429389269E-2</v>
      </c>
      <c r="Z87" s="184">
        <f t="shared" ref="Z87" si="140">X87-Y87</f>
        <v>-7.8905465318509227E-3</v>
      </c>
      <c r="AA87" s="171">
        <f t="shared" ref="AA87" si="141">X87*0.3+Z87*0.7</f>
        <v>-1.1337336060667703E-2</v>
      </c>
      <c r="AB87" s="170">
        <f t="shared" ref="AB87" si="142">R87</f>
        <v>-12705.502585423896</v>
      </c>
      <c r="AC87" s="184">
        <f t="shared" ref="AC87" si="143">AC86+AA87</f>
        <v>0.10068493918748805</v>
      </c>
    </row>
    <row r="88" spans="2:29" x14ac:dyDescent="0.15">
      <c r="B88" s="172">
        <v>42543</v>
      </c>
      <c r="C88" s="170" t="s">
        <v>26</v>
      </c>
      <c r="D88" s="170" t="s">
        <v>27</v>
      </c>
      <c r="E88" s="170">
        <v>1007871</v>
      </c>
      <c r="F88" s="183">
        <f t="shared" si="38"/>
        <v>1167434</v>
      </c>
      <c r="G88" s="170">
        <f t="shared" ref="G88" si="144">G87*(1+Q87)</f>
        <v>1107972.4518683329</v>
      </c>
      <c r="H88" s="170">
        <f t="shared" ref="H88" si="145">G88*(1+Q88)</f>
        <v>1167847.4554842396</v>
      </c>
      <c r="I88" s="170">
        <v>61900</v>
      </c>
      <c r="J88" s="183">
        <v>17.71</v>
      </c>
      <c r="K88" s="183">
        <v>18.86</v>
      </c>
      <c r="L88" s="191">
        <f t="shared" si="2"/>
        <v>6.4935064935064846E-2</v>
      </c>
      <c r="M88" s="183">
        <v>5916.8</v>
      </c>
      <c r="N88" s="183">
        <v>6008.89</v>
      </c>
      <c r="O88" s="191">
        <f t="shared" si="19"/>
        <v>1.5564156300703107E-2</v>
      </c>
      <c r="P88" s="192">
        <f t="shared" si="20"/>
        <v>4.9370908634361735E-2</v>
      </c>
      <c r="Q88" s="55">
        <f t="shared" si="21"/>
        <v>5.4040155524572663E-2</v>
      </c>
      <c r="R88" s="183">
        <f t="shared" si="22"/>
        <v>59875.003615906811</v>
      </c>
      <c r="S88" s="191">
        <f t="shared" si="23"/>
        <v>0.15831688758783219</v>
      </c>
      <c r="T88" s="1">
        <f t="shared" si="24"/>
        <v>4.4632484090275848E-3</v>
      </c>
      <c r="U88" s="191">
        <f t="shared" si="25"/>
        <v>0.15519261370151288</v>
      </c>
      <c r="V88" s="183">
        <f t="shared" si="26"/>
        <v>156414.1347639575</v>
      </c>
      <c r="W88" s="183">
        <f t="shared" si="27"/>
        <v>159562.99981003601</v>
      </c>
      <c r="X88" s="171">
        <f t="shared" ref="X88" si="146">(K88-K87)/K87</f>
        <v>6.4935064935064846E-2</v>
      </c>
      <c r="Y88" s="171">
        <f t="shared" ref="Y88" si="147">(N88-N87)/N87</f>
        <v>1.5564156300703107E-2</v>
      </c>
      <c r="Z88" s="184">
        <f t="shared" ref="Z88" si="148">X88-Y88</f>
        <v>4.9370908634361735E-2</v>
      </c>
      <c r="AA88" s="171">
        <f t="shared" ref="AA88" si="149">X88*0.3+Z88*0.7</f>
        <v>5.4040155524572663E-2</v>
      </c>
      <c r="AB88" s="170">
        <f t="shared" ref="AB88" si="150">R88</f>
        <v>59875.003615906811</v>
      </c>
      <c r="AC88" s="184">
        <f t="shared" ref="AC88" si="151">AC87+AA88</f>
        <v>0.15472509471206072</v>
      </c>
    </row>
    <row r="89" spans="2:29" x14ac:dyDescent="0.15">
      <c r="B89" s="172">
        <v>42544</v>
      </c>
      <c r="C89" s="170" t="s">
        <v>26</v>
      </c>
      <c r="D89" s="170" t="s">
        <v>27</v>
      </c>
      <c r="E89" s="170">
        <v>1007871</v>
      </c>
      <c r="F89" s="183">
        <f t="shared" si="38"/>
        <v>1163720</v>
      </c>
      <c r="G89" s="170">
        <f t="shared" ref="G89" si="152">G88*(1+Q88)</f>
        <v>1167847.4554842396</v>
      </c>
      <c r="H89" s="170">
        <f t="shared" ref="H89" si="153">G89*(1+Q89)</f>
        <v>1168311.5129863832</v>
      </c>
      <c r="I89" s="170">
        <v>61900</v>
      </c>
      <c r="J89" s="183">
        <v>18.86</v>
      </c>
      <c r="K89" s="183">
        <v>18.8</v>
      </c>
      <c r="L89" s="191">
        <f t="shared" si="2"/>
        <v>-3.1813361611876313E-3</v>
      </c>
      <c r="M89" s="183">
        <v>6008.89</v>
      </c>
      <c r="N89" s="183">
        <v>5978.17</v>
      </c>
      <c r="O89" s="191">
        <f t="shared" si="19"/>
        <v>-5.1124250901581243E-3</v>
      </c>
      <c r="P89" s="192">
        <f t="shared" si="20"/>
        <v>1.9310889289704931E-3</v>
      </c>
      <c r="Q89" s="55">
        <f t="shared" si="21"/>
        <v>3.9736140192305576E-4</v>
      </c>
      <c r="R89" s="183">
        <f t="shared" si="22"/>
        <v>464.05750214349092</v>
      </c>
      <c r="S89" s="191">
        <f t="shared" si="23"/>
        <v>0.15463189218723469</v>
      </c>
      <c r="T89" s="1">
        <f t="shared" si="24"/>
        <v>-6.7199470428046042E-4</v>
      </c>
      <c r="U89" s="191">
        <f t="shared" si="25"/>
        <v>0.155102288480231</v>
      </c>
      <c r="V89" s="183">
        <f t="shared" si="26"/>
        <v>156323.09859285891</v>
      </c>
      <c r="W89" s="183">
        <f t="shared" si="27"/>
        <v>155848.99981064041</v>
      </c>
      <c r="X89" s="171">
        <f t="shared" ref="X89" si="154">(K89-K88)/K88</f>
        <v>-3.1813361611876313E-3</v>
      </c>
      <c r="Y89" s="171">
        <f t="shared" ref="Y89" si="155">(N89-N88)/N88</f>
        <v>-5.1124250901581243E-3</v>
      </c>
      <c r="Z89" s="184">
        <f t="shared" ref="Z89" si="156">X89-Y89</f>
        <v>1.9310889289704931E-3</v>
      </c>
      <c r="AA89" s="171">
        <f t="shared" ref="AA89" si="157">X89*0.3+Z89*0.7</f>
        <v>3.9736140192305576E-4</v>
      </c>
      <c r="AB89" s="170">
        <f t="shared" ref="AB89" si="158">R89</f>
        <v>464.05750214349092</v>
      </c>
      <c r="AC89" s="184">
        <f t="shared" ref="AC89" si="159">AC88+AA89</f>
        <v>0.15512245611398379</v>
      </c>
    </row>
    <row r="90" spans="2:29" x14ac:dyDescent="0.15">
      <c r="B90" s="172">
        <v>42545</v>
      </c>
      <c r="C90" s="170" t="s">
        <v>26</v>
      </c>
      <c r="D90" s="170" t="s">
        <v>27</v>
      </c>
      <c r="E90" s="170">
        <v>1007871</v>
      </c>
      <c r="F90" s="183">
        <f t="shared" si="38"/>
        <v>1124723</v>
      </c>
      <c r="G90" s="170">
        <f t="shared" ref="G90" si="160">G89*(1+Q89)</f>
        <v>1168311.5129863832</v>
      </c>
      <c r="H90" s="170">
        <f t="shared" ref="H90" si="161">G90*(1+Q90)</f>
        <v>1139359.1433636299</v>
      </c>
      <c r="I90" s="170">
        <v>61900</v>
      </c>
      <c r="J90" s="183">
        <v>18.8</v>
      </c>
      <c r="K90" s="183">
        <v>18.170000000000002</v>
      </c>
      <c r="L90" s="191">
        <f t="shared" si="2"/>
        <v>-3.3510638297872285E-2</v>
      </c>
      <c r="M90" s="183">
        <v>5978.17</v>
      </c>
      <c r="N90" s="183">
        <v>5903.62</v>
      </c>
      <c r="O90" s="191">
        <f t="shared" si="19"/>
        <v>-1.247037136782664E-2</v>
      </c>
      <c r="P90" s="192">
        <f t="shared" si="20"/>
        <v>-2.1040266930045647E-2</v>
      </c>
      <c r="Q90" s="55">
        <f t="shared" si="21"/>
        <v>-2.4781378340393637E-2</v>
      </c>
      <c r="R90" s="183">
        <f t="shared" si="22"/>
        <v>-28952.369622753275</v>
      </c>
      <c r="S90" s="191">
        <f t="shared" si="23"/>
        <v>0.11593944048096042</v>
      </c>
      <c r="T90" s="1">
        <f t="shared" si="24"/>
        <v>-1.3133986048587509E-2</v>
      </c>
      <c r="U90" s="191">
        <f t="shared" si="25"/>
        <v>0.12513323071497168</v>
      </c>
      <c r="V90" s="183">
        <f t="shared" si="26"/>
        <v>126118.15437392922</v>
      </c>
      <c r="W90" s="183">
        <f t="shared" si="27"/>
        <v>116851.99981698605</v>
      </c>
      <c r="X90" s="171">
        <f t="shared" ref="X90" si="162">(K90-K89)/K89</f>
        <v>-3.3510638297872285E-2</v>
      </c>
      <c r="Y90" s="171">
        <f t="shared" ref="Y90" si="163">(N90-N89)/N89</f>
        <v>-1.247037136782664E-2</v>
      </c>
      <c r="Z90" s="184">
        <f t="shared" ref="Z90" si="164">X90-Y90</f>
        <v>-2.1040266930045647E-2</v>
      </c>
      <c r="AA90" s="171">
        <f t="shared" ref="AA90" si="165">X90*0.3+Z90*0.7</f>
        <v>-2.4781378340393637E-2</v>
      </c>
      <c r="AB90" s="170">
        <f t="shared" ref="AB90" si="166">R90</f>
        <v>-28952.369622753275</v>
      </c>
      <c r="AC90" s="184">
        <f t="shared" ref="AC90" si="167">AC89+AA90</f>
        <v>0.13034107777359016</v>
      </c>
    </row>
    <row r="91" spans="2:29" x14ac:dyDescent="0.15">
      <c r="B91" s="172">
        <v>42548</v>
      </c>
      <c r="C91" s="170" t="s">
        <v>26</v>
      </c>
      <c r="D91" s="170" t="s">
        <v>27</v>
      </c>
      <c r="E91" s="170">
        <v>1007871</v>
      </c>
      <c r="F91" s="183">
        <f t="shared" si="38"/>
        <v>1146388</v>
      </c>
      <c r="G91" s="170">
        <f t="shared" ref="G91" si="168">G90*(1+Q90)</f>
        <v>1139359.1433636299</v>
      </c>
      <c r="H91" s="170">
        <f t="shared" ref="H91" si="169">G91*(1+Q91)</f>
        <v>1142311.6711641101</v>
      </c>
      <c r="I91" s="170">
        <v>61900</v>
      </c>
      <c r="J91" s="183">
        <v>18.170000000000002</v>
      </c>
      <c r="K91" s="183">
        <v>18.52</v>
      </c>
      <c r="L91" s="191">
        <f t="shared" si="2"/>
        <v>1.926252063841485E-2</v>
      </c>
      <c r="M91" s="183">
        <v>5903.62</v>
      </c>
      <c r="N91" s="183">
        <v>6044.22</v>
      </c>
      <c r="O91" s="191">
        <f t="shared" si="19"/>
        <v>2.3815896009567072E-2</v>
      </c>
      <c r="P91" s="192">
        <f t="shared" si="20"/>
        <v>-4.5533753711522219E-3</v>
      </c>
      <c r="Q91" s="55">
        <f t="shared" si="21"/>
        <v>2.5913934317178993E-3</v>
      </c>
      <c r="R91" s="183">
        <f t="shared" si="22"/>
        <v>2952.5278004802431</v>
      </c>
      <c r="S91" s="191">
        <f t="shared" si="23"/>
        <v>0.13743524698444604</v>
      </c>
      <c r="T91" s="1">
        <f t="shared" si="24"/>
        <v>1.0369112315055299E-2</v>
      </c>
      <c r="U91" s="191">
        <f t="shared" si="25"/>
        <v>0.13017686836390732</v>
      </c>
      <c r="V91" s="183">
        <f t="shared" si="26"/>
        <v>131201.49049479963</v>
      </c>
      <c r="W91" s="183">
        <f t="shared" si="27"/>
        <v>138516.9998134606</v>
      </c>
      <c r="X91" s="171">
        <f t="shared" ref="X91" si="170">(K91-K90)/K90</f>
        <v>1.926252063841485E-2</v>
      </c>
      <c r="Y91" s="171">
        <f t="shared" ref="Y91" si="171">(N91-N90)/N90</f>
        <v>2.3815896009567072E-2</v>
      </c>
      <c r="Z91" s="184">
        <f t="shared" ref="Z91" si="172">X91-Y91</f>
        <v>-4.5533753711522219E-3</v>
      </c>
      <c r="AA91" s="171">
        <f t="shared" ref="AA91" si="173">X91*0.3+Z91*0.7</f>
        <v>2.5913934317178993E-3</v>
      </c>
      <c r="AB91" s="170">
        <f t="shared" ref="AB91" si="174">R91</f>
        <v>2952.5278004802431</v>
      </c>
      <c r="AC91" s="184">
        <f t="shared" ref="AC91" si="175">AC90+AA91</f>
        <v>0.13293247120530807</v>
      </c>
    </row>
    <row r="92" spans="2:29" x14ac:dyDescent="0.15">
      <c r="B92" s="172">
        <v>42549</v>
      </c>
      <c r="C92" s="170" t="s">
        <v>26</v>
      </c>
      <c r="D92" s="170" t="s">
        <v>27</v>
      </c>
      <c r="E92" s="170">
        <v>1007871</v>
      </c>
      <c r="F92" s="183">
        <f t="shared" ref="F92:F93" si="176">K92*I92</f>
        <v>1136484</v>
      </c>
      <c r="G92" s="170">
        <f t="shared" ref="G92" si="177">G91*(1+Q91)</f>
        <v>1142311.6711641101</v>
      </c>
      <c r="H92" s="170">
        <f t="shared" ref="H92" si="178">G92*(1+Q92)</f>
        <v>1124069.9573310835</v>
      </c>
      <c r="I92" s="170">
        <v>61900</v>
      </c>
      <c r="J92" s="183">
        <v>18.52</v>
      </c>
      <c r="K92" s="183">
        <v>18.36</v>
      </c>
      <c r="L92" s="191">
        <f t="shared" si="2"/>
        <v>-8.6393088552915841E-3</v>
      </c>
      <c r="M92" s="183">
        <v>6044.22</v>
      </c>
      <c r="N92" s="183">
        <v>6107.51</v>
      </c>
      <c r="O92" s="191">
        <f t="shared" si="19"/>
        <v>1.0471160877664936E-2</v>
      </c>
      <c r="P92" s="192">
        <f t="shared" si="20"/>
        <v>-1.911046973295652E-2</v>
      </c>
      <c r="Q92" s="55">
        <f t="shared" si="21"/>
        <v>-1.5969121469657038E-2</v>
      </c>
      <c r="R92" s="183">
        <f t="shared" si="22"/>
        <v>-18241.713833026603</v>
      </c>
      <c r="S92" s="191">
        <f t="shared" si="23"/>
        <v>0.12760859258285254</v>
      </c>
      <c r="T92" s="1">
        <f t="shared" si="24"/>
        <v>2.0948849835929755E-2</v>
      </c>
      <c r="U92" s="191">
        <f t="shared" si="25"/>
        <v>0.1129443976977017</v>
      </c>
      <c r="V92" s="183">
        <f t="shared" si="26"/>
        <v>113833.38305198032</v>
      </c>
      <c r="W92" s="183">
        <f t="shared" si="27"/>
        <v>128612.99981507217</v>
      </c>
      <c r="X92" s="171">
        <f t="shared" ref="X92" si="179">(K92-K91)/K91</f>
        <v>-8.6393088552915841E-3</v>
      </c>
      <c r="Y92" s="171">
        <f t="shared" ref="Y92" si="180">(N92-N91)/N91</f>
        <v>1.0471160877664936E-2</v>
      </c>
      <c r="Z92" s="184">
        <f t="shared" ref="Z92" si="181">X92-Y92</f>
        <v>-1.911046973295652E-2</v>
      </c>
      <c r="AA92" s="171">
        <f t="shared" ref="AA92" si="182">X92*0.3+Z92*0.7</f>
        <v>-1.5969121469657038E-2</v>
      </c>
      <c r="AB92" s="170">
        <f t="shared" ref="AB92" si="183">R92</f>
        <v>-18241.713833026603</v>
      </c>
      <c r="AC92" s="184">
        <f t="shared" ref="AC92" si="184">AC91+AA92</f>
        <v>0.11696334973565103</v>
      </c>
    </row>
    <row r="93" spans="2:29" x14ac:dyDescent="0.15">
      <c r="B93" s="172">
        <v>42550</v>
      </c>
      <c r="C93" s="170" t="s">
        <v>26</v>
      </c>
      <c r="D93" s="170" t="s">
        <v>27</v>
      </c>
      <c r="E93" s="170">
        <v>1007871</v>
      </c>
      <c r="F93" s="183">
        <f t="shared" si="176"/>
        <v>1132770</v>
      </c>
      <c r="G93" s="170">
        <f t="shared" ref="G93" si="185">G92*(1+Q92)</f>
        <v>1124069.9573310835</v>
      </c>
      <c r="H93" s="170">
        <f t="shared" ref="H93" si="186">G93*(1+Q93)</f>
        <v>1118761.6350489273</v>
      </c>
      <c r="I93" s="170">
        <v>61900</v>
      </c>
      <c r="J93" s="183">
        <v>18.36</v>
      </c>
      <c r="K93" s="183">
        <v>18.3</v>
      </c>
      <c r="L93" s="191">
        <f t="shared" si="2"/>
        <v>-3.2679738562090806E-3</v>
      </c>
      <c r="M93" s="183">
        <v>6107.51</v>
      </c>
      <c r="N93" s="183">
        <v>6120.2</v>
      </c>
      <c r="O93" s="191">
        <f t="shared" si="19"/>
        <v>2.0777698276383664E-3</v>
      </c>
      <c r="P93" s="192">
        <f t="shared" si="20"/>
        <v>-5.3457436838474474E-3</v>
      </c>
      <c r="Q93" s="55">
        <f t="shared" si="21"/>
        <v>-4.722412735555937E-3</v>
      </c>
      <c r="R93" s="183">
        <f t="shared" si="22"/>
        <v>-5308.3222821561276</v>
      </c>
      <c r="S93" s="191">
        <f t="shared" si="23"/>
        <v>0.12392359718225505</v>
      </c>
      <c r="T93" s="1">
        <f t="shared" si="24"/>
        <v>2.3070146551680944E-2</v>
      </c>
      <c r="U93" s="191">
        <f t="shared" si="25"/>
        <v>0.10777449459607838</v>
      </c>
      <c r="V93" s="183">
        <f t="shared" si="26"/>
        <v>108622.78764304411</v>
      </c>
      <c r="W93" s="183">
        <f t="shared" si="27"/>
        <v>124898.99981567658</v>
      </c>
      <c r="X93" s="171">
        <f t="shared" ref="X93" si="187">(K93-K92)/K92</f>
        <v>-3.2679738562090806E-3</v>
      </c>
      <c r="Y93" s="171">
        <f t="shared" ref="Y93" si="188">(N93-N92)/N92</f>
        <v>2.0777698276383664E-3</v>
      </c>
      <c r="Z93" s="184">
        <f t="shared" ref="Z93" si="189">X93-Y93</f>
        <v>-5.3457436838474474E-3</v>
      </c>
      <c r="AA93" s="171">
        <f t="shared" ref="AA93" si="190">X93*0.3+Z93*0.7</f>
        <v>-4.722412735555937E-3</v>
      </c>
      <c r="AB93" s="170">
        <f t="shared" ref="AB93" si="191">R93</f>
        <v>-5308.3222821561276</v>
      </c>
      <c r="AC93" s="184">
        <f t="shared" ref="AC93" si="192">AC92+AA93</f>
        <v>0.1122409370000951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D1" workbookViewId="0">
      <pane ySplit="1" topLeftCell="A62" activePane="bottomLeft" state="frozen"/>
      <selection pane="bottomLeft" activeCell="Y96" sqref="Y96"/>
    </sheetView>
  </sheetViews>
  <sheetFormatPr defaultRowHeight="13.5" x14ac:dyDescent="0.15"/>
  <cols>
    <col min="2" max="2" width="11.375" customWidth="1"/>
    <col min="3" max="3" width="7.375" customWidth="1"/>
    <col min="4" max="4" width="7.75" customWidth="1"/>
    <col min="6" max="6" width="9" style="180"/>
    <col min="8" max="8" width="9" style="164"/>
    <col min="9" max="9" width="6.625" customWidth="1"/>
    <col min="10" max="10" width="7" customWidth="1"/>
    <col min="11" max="11" width="6.75" customWidth="1"/>
    <col min="12" max="12" width="6.625" customWidth="1"/>
    <col min="15" max="15" width="6.875" customWidth="1"/>
    <col min="17" max="17" width="8.625" customWidth="1"/>
    <col min="19" max="19" width="7.5" style="57" customWidth="1"/>
    <col min="20" max="20" width="9" style="57"/>
    <col min="21" max="21" width="9.5" customWidth="1"/>
    <col min="25" max="25" width="9" style="168"/>
  </cols>
  <sheetData>
    <row r="1" spans="1:29" s="156" customFormat="1" ht="28.5" customHeight="1" x14ac:dyDescent="0.15">
      <c r="A1" s="152"/>
      <c r="B1" s="152" t="s">
        <v>0</v>
      </c>
      <c r="C1" s="153" t="s">
        <v>1</v>
      </c>
      <c r="D1" s="153" t="s">
        <v>2</v>
      </c>
      <c r="E1" s="154" t="s">
        <v>3</v>
      </c>
      <c r="F1" s="162" t="s">
        <v>91</v>
      </c>
      <c r="G1" s="152" t="s">
        <v>24</v>
      </c>
      <c r="H1" s="174" t="s">
        <v>87</v>
      </c>
      <c r="I1" s="152" t="s">
        <v>4</v>
      </c>
      <c r="J1" s="187" t="s">
        <v>13</v>
      </c>
      <c r="K1" s="188" t="s">
        <v>8</v>
      </c>
      <c r="L1" s="155" t="s">
        <v>9</v>
      </c>
      <c r="M1" s="189" t="s">
        <v>14</v>
      </c>
      <c r="N1" s="187" t="s">
        <v>10</v>
      </c>
      <c r="O1" s="155" t="s">
        <v>11</v>
      </c>
      <c r="P1" s="156" t="s">
        <v>12</v>
      </c>
      <c r="Q1" s="156" t="s">
        <v>22</v>
      </c>
      <c r="R1" s="146" t="s">
        <v>23</v>
      </c>
      <c r="S1" s="106" t="s">
        <v>19</v>
      </c>
      <c r="T1" s="106" t="s">
        <v>20</v>
      </c>
      <c r="U1" s="156" t="s">
        <v>21</v>
      </c>
      <c r="V1" s="156" t="s">
        <v>60</v>
      </c>
      <c r="W1" s="156" t="s">
        <v>78</v>
      </c>
      <c r="X1" s="156" t="s">
        <v>111</v>
      </c>
      <c r="Y1" s="106" t="s">
        <v>112</v>
      </c>
      <c r="Z1" s="156" t="s">
        <v>113</v>
      </c>
      <c r="AA1" s="156" t="s">
        <v>105</v>
      </c>
      <c r="AB1" s="156" t="s">
        <v>114</v>
      </c>
      <c r="AC1" s="156" t="s">
        <v>107</v>
      </c>
    </row>
    <row r="2" spans="1:29" s="136" customFormat="1" x14ac:dyDescent="0.15">
      <c r="A2" s="139"/>
      <c r="B2" s="151">
        <v>42417</v>
      </c>
      <c r="C2" s="142"/>
      <c r="D2" s="142"/>
      <c r="E2" s="143"/>
      <c r="F2" s="162"/>
      <c r="G2" s="141"/>
      <c r="H2" s="174"/>
      <c r="I2" s="141"/>
      <c r="J2" s="141"/>
      <c r="K2" s="142"/>
      <c r="L2" s="144"/>
      <c r="M2" s="26"/>
      <c r="N2" s="141"/>
      <c r="O2" s="144"/>
      <c r="R2" s="137"/>
      <c r="S2" s="138"/>
      <c r="T2" s="138"/>
      <c r="Y2" s="168"/>
    </row>
    <row r="3" spans="1:29" s="136" customFormat="1" x14ac:dyDescent="0.15">
      <c r="A3" s="139"/>
      <c r="B3" s="151">
        <v>42418</v>
      </c>
      <c r="C3" s="142"/>
      <c r="D3" s="142"/>
      <c r="E3" s="143"/>
      <c r="F3" s="162"/>
      <c r="G3" s="141"/>
      <c r="H3" s="174"/>
      <c r="I3" s="141"/>
      <c r="J3" s="141"/>
      <c r="K3" s="142"/>
      <c r="L3" s="144"/>
      <c r="M3" s="26"/>
      <c r="N3" s="141"/>
      <c r="O3" s="144"/>
      <c r="R3" s="137"/>
      <c r="S3" s="138"/>
      <c r="T3" s="138"/>
      <c r="Y3" s="168"/>
    </row>
    <row r="4" spans="1:29" s="136" customFormat="1" x14ac:dyDescent="0.15">
      <c r="A4" s="139"/>
      <c r="B4" s="151">
        <v>42419</v>
      </c>
      <c r="C4" s="142"/>
      <c r="D4" s="142"/>
      <c r="E4" s="143"/>
      <c r="F4" s="162"/>
      <c r="G4" s="141"/>
      <c r="H4" s="174"/>
      <c r="I4" s="141"/>
      <c r="J4" s="141"/>
      <c r="K4" s="142"/>
      <c r="L4" s="144"/>
      <c r="M4" s="26"/>
      <c r="N4" s="141"/>
      <c r="O4" s="144"/>
      <c r="R4" s="137"/>
      <c r="S4" s="138"/>
      <c r="T4" s="138"/>
      <c r="Y4" s="168"/>
    </row>
    <row r="5" spans="1:29" s="136" customFormat="1" x14ac:dyDescent="0.15">
      <c r="A5" s="139"/>
      <c r="B5" s="151">
        <v>42422</v>
      </c>
      <c r="C5" s="142"/>
      <c r="D5" s="142"/>
      <c r="E5" s="143"/>
      <c r="F5" s="162"/>
      <c r="G5" s="141"/>
      <c r="H5" s="174"/>
      <c r="I5" s="141"/>
      <c r="J5" s="141"/>
      <c r="K5" s="142"/>
      <c r="L5" s="144"/>
      <c r="M5" s="26"/>
      <c r="N5" s="141"/>
      <c r="O5" s="144"/>
      <c r="R5" s="137"/>
      <c r="S5" s="138"/>
      <c r="T5" s="138"/>
      <c r="Y5" s="168"/>
    </row>
    <row r="6" spans="1:29" s="136" customFormat="1" x14ac:dyDescent="0.15">
      <c r="A6" s="139"/>
      <c r="B6" s="151">
        <v>42423</v>
      </c>
      <c r="C6" s="142"/>
      <c r="D6" s="142"/>
      <c r="E6" s="143"/>
      <c r="F6" s="162"/>
      <c r="G6" s="141"/>
      <c r="H6" s="174"/>
      <c r="I6" s="141"/>
      <c r="J6" s="141"/>
      <c r="K6" s="142"/>
      <c r="L6" s="144"/>
      <c r="M6" s="26"/>
      <c r="N6" s="141"/>
      <c r="O6" s="144"/>
      <c r="R6" s="137"/>
      <c r="S6" s="138"/>
      <c r="T6" s="138"/>
      <c r="Y6" s="168"/>
    </row>
    <row r="7" spans="1:29" s="136" customFormat="1" x14ac:dyDescent="0.15">
      <c r="A7" s="139"/>
      <c r="B7" s="151">
        <v>42424</v>
      </c>
      <c r="C7" s="142"/>
      <c r="D7" s="142"/>
      <c r="E7" s="143"/>
      <c r="F7" s="162"/>
      <c r="G7" s="141"/>
      <c r="H7" s="174"/>
      <c r="I7" s="141"/>
      <c r="J7" s="141"/>
      <c r="K7" s="142"/>
      <c r="L7" s="144"/>
      <c r="M7" s="26"/>
      <c r="N7" s="141"/>
      <c r="O7" s="144"/>
      <c r="R7" s="137"/>
      <c r="S7" s="138"/>
      <c r="T7" s="138"/>
      <c r="Y7" s="168"/>
    </row>
    <row r="8" spans="1:29" s="136" customFormat="1" x14ac:dyDescent="0.15">
      <c r="A8" s="139"/>
      <c r="B8" s="151">
        <v>42425</v>
      </c>
      <c r="C8" s="142"/>
      <c r="D8" s="142"/>
      <c r="E8" s="143"/>
      <c r="F8" s="162"/>
      <c r="G8" s="141"/>
      <c r="H8" s="174"/>
      <c r="I8" s="141"/>
      <c r="J8" s="141"/>
      <c r="K8" s="142"/>
      <c r="L8" s="144"/>
      <c r="M8" s="26"/>
      <c r="N8" s="141"/>
      <c r="O8" s="144"/>
      <c r="R8" s="137"/>
      <c r="S8" s="138"/>
      <c r="T8" s="138"/>
      <c r="Y8" s="168"/>
    </row>
    <row r="9" spans="1:29" s="136" customFormat="1" x14ac:dyDescent="0.15">
      <c r="A9" s="139"/>
      <c r="B9" s="151">
        <v>42426</v>
      </c>
      <c r="C9" s="142"/>
      <c r="D9" s="142"/>
      <c r="E9" s="143"/>
      <c r="F9" s="162"/>
      <c r="G9" s="141"/>
      <c r="H9" s="174"/>
      <c r="I9" s="141"/>
      <c r="J9" s="141"/>
      <c r="K9" s="142"/>
      <c r="L9" s="144"/>
      <c r="M9" s="26"/>
      <c r="N9" s="141"/>
      <c r="O9" s="144"/>
      <c r="R9" s="137"/>
      <c r="S9" s="138"/>
      <c r="T9" s="138"/>
      <c r="Y9" s="168"/>
    </row>
    <row r="10" spans="1:29" s="136" customFormat="1" x14ac:dyDescent="0.15">
      <c r="A10" s="139"/>
      <c r="B10" s="151">
        <v>42429</v>
      </c>
      <c r="C10" s="142"/>
      <c r="D10" s="142"/>
      <c r="E10" s="143"/>
      <c r="F10" s="162"/>
      <c r="G10" s="141"/>
      <c r="H10" s="174"/>
      <c r="I10" s="141"/>
      <c r="J10" s="141"/>
      <c r="K10" s="142"/>
      <c r="L10" s="144"/>
      <c r="M10" s="26"/>
      <c r="N10" s="141"/>
      <c r="O10" s="144"/>
      <c r="R10" s="137"/>
      <c r="S10" s="138"/>
      <c r="T10" s="138"/>
      <c r="Y10" s="168"/>
    </row>
    <row r="11" spans="1:29" s="136" customFormat="1" x14ac:dyDescent="0.15">
      <c r="A11" s="139"/>
      <c r="B11" s="151">
        <v>42430</v>
      </c>
      <c r="C11" s="142"/>
      <c r="D11" s="142"/>
      <c r="E11" s="143"/>
      <c r="F11" s="162"/>
      <c r="G11" s="141"/>
      <c r="H11" s="174"/>
      <c r="I11" s="141"/>
      <c r="J11" s="141"/>
      <c r="K11" s="142"/>
      <c r="L11" s="144"/>
      <c r="M11" s="26"/>
      <c r="N11" s="141"/>
      <c r="O11" s="144"/>
      <c r="R11" s="137"/>
      <c r="S11" s="138"/>
      <c r="T11" s="138"/>
      <c r="Y11" s="168"/>
    </row>
    <row r="12" spans="1:29" s="136" customFormat="1" x14ac:dyDescent="0.15">
      <c r="A12" s="139"/>
      <c r="B12" s="151">
        <v>42431</v>
      </c>
      <c r="C12" s="142"/>
      <c r="D12" s="142"/>
      <c r="E12" s="143"/>
      <c r="F12" s="162"/>
      <c r="G12" s="141"/>
      <c r="H12" s="174"/>
      <c r="I12" s="141"/>
      <c r="J12" s="141"/>
      <c r="K12" s="142"/>
      <c r="L12" s="144"/>
      <c r="M12" s="26"/>
      <c r="N12" s="141"/>
      <c r="O12" s="144"/>
      <c r="R12" s="137"/>
      <c r="S12" s="138"/>
      <c r="T12" s="138"/>
      <c r="Y12" s="168"/>
    </row>
    <row r="13" spans="1:29" s="136" customFormat="1" x14ac:dyDescent="0.15">
      <c r="A13" s="139"/>
      <c r="B13" s="151">
        <v>42432</v>
      </c>
      <c r="C13" s="142"/>
      <c r="D13" s="142"/>
      <c r="E13" s="143"/>
      <c r="F13" s="162"/>
      <c r="G13" s="141"/>
      <c r="H13" s="174"/>
      <c r="I13" s="141"/>
      <c r="J13" s="141"/>
      <c r="K13" s="142"/>
      <c r="L13" s="144"/>
      <c r="M13" s="26"/>
      <c r="N13" s="141"/>
      <c r="O13" s="144"/>
      <c r="R13" s="137"/>
      <c r="S13" s="138"/>
      <c r="T13" s="138"/>
      <c r="Y13" s="168"/>
    </row>
    <row r="14" spans="1:29" s="136" customFormat="1" x14ac:dyDescent="0.15">
      <c r="A14" s="139"/>
      <c r="B14" s="151">
        <v>42433</v>
      </c>
      <c r="C14" s="142"/>
      <c r="D14" s="142"/>
      <c r="E14" s="143"/>
      <c r="F14" s="162"/>
      <c r="G14" s="141"/>
      <c r="H14" s="174"/>
      <c r="I14" s="141"/>
      <c r="J14" s="141"/>
      <c r="K14" s="142"/>
      <c r="L14" s="144"/>
      <c r="M14" s="26"/>
      <c r="N14" s="141"/>
      <c r="O14" s="144"/>
      <c r="R14" s="137"/>
      <c r="S14" s="138"/>
      <c r="T14" s="138"/>
      <c r="Y14" s="168"/>
    </row>
    <row r="15" spans="1:29" s="136" customFormat="1" x14ac:dyDescent="0.15">
      <c r="A15" s="139"/>
      <c r="B15" s="151">
        <v>42436</v>
      </c>
      <c r="C15" s="142"/>
      <c r="D15" s="142"/>
      <c r="E15" s="143"/>
      <c r="F15" s="162"/>
      <c r="G15" s="141"/>
      <c r="H15" s="174"/>
      <c r="I15" s="141"/>
      <c r="J15" s="141"/>
      <c r="K15" s="142"/>
      <c r="L15" s="144"/>
      <c r="M15" s="26"/>
      <c r="N15" s="141"/>
      <c r="O15" s="144"/>
      <c r="R15" s="137"/>
      <c r="S15" s="138"/>
      <c r="T15" s="138"/>
      <c r="Y15" s="168"/>
    </row>
    <row r="16" spans="1:29" s="136" customFormat="1" x14ac:dyDescent="0.15">
      <c r="A16" s="139"/>
      <c r="B16" s="151">
        <v>42437</v>
      </c>
      <c r="C16" s="142"/>
      <c r="D16" s="142"/>
      <c r="E16" s="143"/>
      <c r="F16" s="162"/>
      <c r="G16" s="141"/>
      <c r="H16" s="174"/>
      <c r="I16" s="141"/>
      <c r="J16" s="141"/>
      <c r="K16" s="142"/>
      <c r="L16" s="144"/>
      <c r="M16" s="26"/>
      <c r="N16" s="141"/>
      <c r="O16" s="144"/>
      <c r="R16" s="137"/>
      <c r="S16" s="138"/>
      <c r="T16" s="138"/>
      <c r="Y16" s="168"/>
    </row>
    <row r="17" spans="1:25" s="136" customFormat="1" x14ac:dyDescent="0.15">
      <c r="A17" s="139"/>
      <c r="B17" s="151">
        <v>42438</v>
      </c>
      <c r="C17" s="142"/>
      <c r="D17" s="142"/>
      <c r="E17" s="143"/>
      <c r="F17" s="162"/>
      <c r="G17" s="141"/>
      <c r="H17" s="174"/>
      <c r="I17" s="141"/>
      <c r="J17" s="141"/>
      <c r="K17" s="142"/>
      <c r="L17" s="144"/>
      <c r="M17" s="26"/>
      <c r="N17" s="141"/>
      <c r="O17" s="144"/>
      <c r="R17" s="137"/>
      <c r="S17" s="138"/>
      <c r="T17" s="138"/>
      <c r="Y17" s="168"/>
    </row>
    <row r="18" spans="1:25" s="136" customFormat="1" x14ac:dyDescent="0.15">
      <c r="A18" s="139"/>
      <c r="B18" s="151">
        <v>42439</v>
      </c>
      <c r="C18" s="142"/>
      <c r="D18" s="142"/>
      <c r="E18" s="143"/>
      <c r="F18" s="162"/>
      <c r="G18" s="141"/>
      <c r="H18" s="174"/>
      <c r="I18" s="141"/>
      <c r="J18" s="141"/>
      <c r="K18" s="142"/>
      <c r="L18" s="144"/>
      <c r="M18" s="26"/>
      <c r="N18" s="141"/>
      <c r="O18" s="144"/>
      <c r="R18" s="137"/>
      <c r="S18" s="138"/>
      <c r="T18" s="138"/>
      <c r="Y18" s="168"/>
    </row>
    <row r="19" spans="1:25" s="136" customFormat="1" x14ac:dyDescent="0.15">
      <c r="A19" s="139"/>
      <c r="B19" s="151">
        <v>42440</v>
      </c>
      <c r="C19" s="142"/>
      <c r="D19" s="142"/>
      <c r="E19" s="143"/>
      <c r="F19" s="162"/>
      <c r="G19" s="141"/>
      <c r="H19" s="174"/>
      <c r="I19" s="141"/>
      <c r="J19" s="141"/>
      <c r="K19" s="142"/>
      <c r="L19" s="144"/>
      <c r="M19" s="26"/>
      <c r="N19" s="141"/>
      <c r="O19" s="144"/>
      <c r="R19" s="137"/>
      <c r="S19" s="138"/>
      <c r="T19" s="138"/>
      <c r="Y19" s="168"/>
    </row>
    <row r="20" spans="1:25" s="136" customFormat="1" x14ac:dyDescent="0.15">
      <c r="A20" s="139"/>
      <c r="B20" s="151">
        <v>42443</v>
      </c>
      <c r="C20" s="142"/>
      <c r="D20" s="142"/>
      <c r="E20" s="143"/>
      <c r="F20" s="162"/>
      <c r="G20" s="141"/>
      <c r="H20" s="174"/>
      <c r="I20" s="141"/>
      <c r="J20" s="141"/>
      <c r="K20" s="142"/>
      <c r="L20" s="144"/>
      <c r="M20" s="26"/>
      <c r="N20" s="141"/>
      <c r="O20" s="144"/>
      <c r="R20" s="137"/>
      <c r="S20" s="138"/>
      <c r="T20" s="138"/>
      <c r="Y20" s="168"/>
    </row>
    <row r="21" spans="1:25" s="136" customFormat="1" x14ac:dyDescent="0.15">
      <c r="A21" s="139"/>
      <c r="B21" s="151">
        <v>42444</v>
      </c>
      <c r="C21" s="142"/>
      <c r="D21" s="142"/>
      <c r="E21" s="143"/>
      <c r="F21" s="162"/>
      <c r="G21" s="141"/>
      <c r="H21" s="174"/>
      <c r="I21" s="141"/>
      <c r="J21" s="141"/>
      <c r="K21" s="142"/>
      <c r="L21" s="144"/>
      <c r="M21" s="26"/>
      <c r="N21" s="141"/>
      <c r="O21" s="144"/>
      <c r="R21" s="137"/>
      <c r="S21" s="138"/>
      <c r="T21" s="138"/>
      <c r="Y21" s="168"/>
    </row>
    <row r="22" spans="1:25" s="136" customFormat="1" x14ac:dyDescent="0.15">
      <c r="A22" s="139"/>
      <c r="B22" s="151">
        <v>42445</v>
      </c>
      <c r="C22" s="142"/>
      <c r="D22" s="142"/>
      <c r="E22" s="143"/>
      <c r="F22" s="162"/>
      <c r="G22" s="141"/>
      <c r="H22" s="174"/>
      <c r="I22" s="141"/>
      <c r="J22" s="141"/>
      <c r="K22" s="142"/>
      <c r="L22" s="144"/>
      <c r="M22" s="26"/>
      <c r="N22" s="141"/>
      <c r="O22" s="144"/>
      <c r="R22" s="137"/>
      <c r="S22" s="138"/>
      <c r="T22" s="138"/>
      <c r="Y22" s="168"/>
    </row>
    <row r="23" spans="1:25" s="136" customFormat="1" x14ac:dyDescent="0.15">
      <c r="A23" s="139"/>
      <c r="B23" s="151">
        <v>42446</v>
      </c>
      <c r="C23" s="142"/>
      <c r="D23" s="142"/>
      <c r="E23" s="143"/>
      <c r="F23" s="162"/>
      <c r="G23" s="141"/>
      <c r="H23" s="174"/>
      <c r="I23" s="141"/>
      <c r="J23" s="141"/>
      <c r="K23" s="142"/>
      <c r="L23" s="144"/>
      <c r="M23" s="26"/>
      <c r="N23" s="141"/>
      <c r="O23" s="144"/>
      <c r="R23" s="137"/>
      <c r="S23" s="138"/>
      <c r="T23" s="138"/>
      <c r="Y23" s="168"/>
    </row>
    <row r="24" spans="1:25" s="136" customFormat="1" x14ac:dyDescent="0.15">
      <c r="A24" s="139"/>
      <c r="B24" s="151">
        <v>42447</v>
      </c>
      <c r="C24" s="142"/>
      <c r="D24" s="142"/>
      <c r="E24" s="143"/>
      <c r="F24" s="162"/>
      <c r="G24" s="141"/>
      <c r="H24" s="174"/>
      <c r="I24" s="141"/>
      <c r="J24" s="141"/>
      <c r="K24" s="142"/>
      <c r="L24" s="144"/>
      <c r="M24" s="26"/>
      <c r="N24" s="141"/>
      <c r="O24" s="144"/>
      <c r="R24" s="137"/>
      <c r="S24" s="138"/>
      <c r="T24" s="138"/>
      <c r="Y24" s="168"/>
    </row>
    <row r="25" spans="1:25" s="136" customFormat="1" x14ac:dyDescent="0.15">
      <c r="A25" s="139"/>
      <c r="B25" s="151">
        <v>42450</v>
      </c>
      <c r="C25" s="142"/>
      <c r="D25" s="142"/>
      <c r="E25" s="143"/>
      <c r="F25" s="162"/>
      <c r="G25" s="141"/>
      <c r="H25" s="174"/>
      <c r="I25" s="141"/>
      <c r="J25" s="141"/>
      <c r="K25" s="142"/>
      <c r="L25" s="144"/>
      <c r="M25" s="26"/>
      <c r="N25" s="141"/>
      <c r="O25" s="144"/>
      <c r="R25" s="137"/>
      <c r="S25" s="138"/>
      <c r="T25" s="138"/>
      <c r="Y25" s="168"/>
    </row>
    <row r="26" spans="1:25" s="136" customFormat="1" x14ac:dyDescent="0.15">
      <c r="A26" s="139"/>
      <c r="B26" s="151">
        <v>42451</v>
      </c>
      <c r="C26" s="142"/>
      <c r="D26" s="142"/>
      <c r="E26" s="143"/>
      <c r="F26" s="162"/>
      <c r="G26" s="141"/>
      <c r="H26" s="174"/>
      <c r="I26" s="141"/>
      <c r="J26" s="141"/>
      <c r="K26" s="142"/>
      <c r="L26" s="144"/>
      <c r="M26" s="26"/>
      <c r="N26" s="141"/>
      <c r="O26" s="144"/>
      <c r="R26" s="137"/>
      <c r="S26" s="138"/>
      <c r="T26" s="138"/>
      <c r="Y26" s="168"/>
    </row>
    <row r="27" spans="1:25" s="136" customFormat="1" x14ac:dyDescent="0.15">
      <c r="A27" s="139"/>
      <c r="B27" s="151">
        <v>42452</v>
      </c>
      <c r="C27" s="142"/>
      <c r="D27" s="142"/>
      <c r="E27" s="143"/>
      <c r="F27" s="162"/>
      <c r="G27" s="141"/>
      <c r="H27" s="174"/>
      <c r="I27" s="141"/>
      <c r="J27" s="141"/>
      <c r="K27" s="142"/>
      <c r="L27" s="144"/>
      <c r="M27" s="26"/>
      <c r="N27" s="141"/>
      <c r="O27" s="144"/>
      <c r="R27" s="137"/>
      <c r="S27" s="138"/>
      <c r="T27" s="138"/>
      <c r="Y27" s="168"/>
    </row>
    <row r="28" spans="1:25" s="136" customFormat="1" x14ac:dyDescent="0.15">
      <c r="A28" s="139"/>
      <c r="B28" s="151">
        <v>42453</v>
      </c>
      <c r="C28" s="142"/>
      <c r="D28" s="142"/>
      <c r="E28" s="143"/>
      <c r="F28" s="162"/>
      <c r="G28" s="141"/>
      <c r="H28" s="174"/>
      <c r="I28" s="141"/>
      <c r="J28" s="141"/>
      <c r="K28" s="142"/>
      <c r="L28" s="144"/>
      <c r="M28" s="26"/>
      <c r="N28" s="141"/>
      <c r="O28" s="144"/>
      <c r="R28" s="137"/>
      <c r="S28" s="138"/>
      <c r="T28" s="138"/>
      <c r="Y28" s="168"/>
    </row>
    <row r="29" spans="1:25" s="136" customFormat="1" x14ac:dyDescent="0.15">
      <c r="A29" s="139"/>
      <c r="B29" s="151">
        <v>42454</v>
      </c>
      <c r="C29" s="142"/>
      <c r="D29" s="142"/>
      <c r="E29" s="143"/>
      <c r="F29" s="162"/>
      <c r="G29" s="141"/>
      <c r="H29" s="174"/>
      <c r="I29" s="141"/>
      <c r="J29" s="141"/>
      <c r="K29" s="142"/>
      <c r="L29" s="144"/>
      <c r="M29" s="26"/>
      <c r="N29" s="141"/>
      <c r="O29" s="144"/>
      <c r="R29" s="137"/>
      <c r="S29" s="138"/>
      <c r="T29" s="138"/>
      <c r="Y29" s="168"/>
    </row>
    <row r="30" spans="1:25" s="136" customFormat="1" x14ac:dyDescent="0.15">
      <c r="A30" s="139"/>
      <c r="B30" s="151">
        <v>42457</v>
      </c>
      <c r="C30" s="142"/>
      <c r="D30" s="142"/>
      <c r="E30" s="143"/>
      <c r="F30" s="162"/>
      <c r="G30" s="141"/>
      <c r="H30" s="174"/>
      <c r="I30" s="141"/>
      <c r="J30" s="141"/>
      <c r="K30" s="142"/>
      <c r="L30" s="144"/>
      <c r="M30" s="26"/>
      <c r="N30" s="141"/>
      <c r="O30" s="144"/>
      <c r="R30" s="137"/>
      <c r="S30" s="138"/>
      <c r="T30" s="138"/>
      <c r="Y30" s="168"/>
    </row>
    <row r="31" spans="1:25" s="136" customFormat="1" x14ac:dyDescent="0.15">
      <c r="A31" s="139"/>
      <c r="B31" s="151">
        <v>42458</v>
      </c>
      <c r="C31" s="142"/>
      <c r="D31" s="142"/>
      <c r="E31" s="143"/>
      <c r="F31" s="162"/>
      <c r="G31" s="141"/>
      <c r="H31" s="174"/>
      <c r="I31" s="141"/>
      <c r="J31" s="141"/>
      <c r="K31" s="142"/>
      <c r="L31" s="144"/>
      <c r="M31" s="26"/>
      <c r="N31" s="141"/>
      <c r="O31" s="144"/>
      <c r="R31" s="137"/>
      <c r="S31" s="138"/>
      <c r="T31" s="138"/>
      <c r="Y31" s="168"/>
    </row>
    <row r="32" spans="1:25" s="136" customFormat="1" x14ac:dyDescent="0.15">
      <c r="A32" s="139"/>
      <c r="B32" s="151">
        <v>42459</v>
      </c>
      <c r="C32" s="142"/>
      <c r="D32" s="142"/>
      <c r="E32" s="143"/>
      <c r="F32" s="162"/>
      <c r="G32" s="141"/>
      <c r="H32" s="174"/>
      <c r="I32" s="141"/>
      <c r="J32" s="141"/>
      <c r="K32" s="142"/>
      <c r="L32" s="144"/>
      <c r="M32" s="26"/>
      <c r="N32" s="141"/>
      <c r="O32" s="144"/>
      <c r="R32" s="137"/>
      <c r="S32" s="138"/>
      <c r="T32" s="138"/>
      <c r="Y32" s="168"/>
    </row>
    <row r="33" spans="1:29" s="136" customFormat="1" x14ac:dyDescent="0.15">
      <c r="A33" s="139"/>
      <c r="B33" s="151">
        <v>42460</v>
      </c>
      <c r="C33" s="142"/>
      <c r="D33" s="142"/>
      <c r="E33" s="143"/>
      <c r="F33" s="162"/>
      <c r="G33" s="141"/>
      <c r="H33" s="174"/>
      <c r="I33" s="141"/>
      <c r="J33" s="141"/>
      <c r="K33" s="142"/>
      <c r="L33" s="144"/>
      <c r="M33" s="26"/>
      <c r="N33" s="141"/>
      <c r="O33" s="144"/>
      <c r="R33" s="137"/>
      <c r="S33" s="138"/>
      <c r="T33" s="138"/>
      <c r="Y33" s="168"/>
    </row>
    <row r="34" spans="1:29" s="136" customFormat="1" x14ac:dyDescent="0.15">
      <c r="A34" s="139"/>
      <c r="B34" s="151">
        <v>42461</v>
      </c>
      <c r="C34" s="142"/>
      <c r="D34" s="142"/>
      <c r="E34" s="143"/>
      <c r="F34" s="162"/>
      <c r="G34" s="141"/>
      <c r="H34" s="174"/>
      <c r="I34" s="141"/>
      <c r="J34" s="141"/>
      <c r="K34" s="142"/>
      <c r="L34" s="144"/>
      <c r="M34" s="26"/>
      <c r="N34" s="141"/>
      <c r="O34" s="144"/>
      <c r="R34" s="137"/>
      <c r="S34" s="138"/>
      <c r="T34" s="138"/>
      <c r="Y34" s="168"/>
    </row>
    <row r="35" spans="1:29" s="136" customFormat="1" x14ac:dyDescent="0.15">
      <c r="A35" s="139"/>
      <c r="B35" s="151">
        <v>42465</v>
      </c>
      <c r="C35" s="142"/>
      <c r="D35" s="142"/>
      <c r="E35" s="143"/>
      <c r="F35" s="162"/>
      <c r="G35" s="141"/>
      <c r="H35" s="174"/>
      <c r="I35" s="141"/>
      <c r="J35" s="141"/>
      <c r="K35" s="142"/>
      <c r="L35" s="144"/>
      <c r="M35" s="26"/>
      <c r="N35" s="141"/>
      <c r="O35" s="144"/>
      <c r="R35" s="137"/>
      <c r="S35" s="138"/>
      <c r="T35" s="138"/>
      <c r="Y35" s="168"/>
    </row>
    <row r="36" spans="1:29" s="136" customFormat="1" x14ac:dyDescent="0.15">
      <c r="A36" s="139"/>
      <c r="B36" s="151">
        <v>42466</v>
      </c>
      <c r="C36" s="142"/>
      <c r="D36" s="142"/>
      <c r="E36" s="143"/>
      <c r="F36" s="162"/>
      <c r="G36" s="141"/>
      <c r="H36" s="174"/>
      <c r="I36" s="141"/>
      <c r="J36" s="141"/>
      <c r="K36" s="142"/>
      <c r="L36" s="144"/>
      <c r="M36" s="26"/>
      <c r="N36" s="141"/>
      <c r="O36" s="144"/>
      <c r="R36" s="137"/>
      <c r="S36" s="138"/>
      <c r="T36" s="138"/>
      <c r="Y36" s="168"/>
    </row>
    <row r="37" spans="1:29" s="136" customFormat="1" x14ac:dyDescent="0.15">
      <c r="A37" s="139"/>
      <c r="B37" s="151">
        <v>42467</v>
      </c>
      <c r="C37" s="142"/>
      <c r="D37" s="142"/>
      <c r="E37" s="143"/>
      <c r="F37" s="162"/>
      <c r="G37" s="141"/>
      <c r="H37" s="174"/>
      <c r="I37" s="141"/>
      <c r="J37" s="141"/>
      <c r="K37" s="142"/>
      <c r="L37" s="144"/>
      <c r="M37" s="26"/>
      <c r="N37" s="141"/>
      <c r="O37" s="144"/>
      <c r="R37" s="137"/>
      <c r="S37" s="138"/>
      <c r="T37" s="138"/>
      <c r="Y37" s="168"/>
    </row>
    <row r="38" spans="1:29" s="136" customFormat="1" x14ac:dyDescent="0.15">
      <c r="A38" s="139"/>
      <c r="B38" s="151">
        <v>42468</v>
      </c>
      <c r="C38" s="142"/>
      <c r="D38" s="142"/>
      <c r="E38" s="143"/>
      <c r="F38" s="162"/>
      <c r="G38" s="141"/>
      <c r="H38" s="174"/>
      <c r="I38" s="141"/>
      <c r="J38" s="141"/>
      <c r="K38" s="142"/>
      <c r="L38" s="144"/>
      <c r="M38" s="26"/>
      <c r="N38" s="141"/>
      <c r="O38" s="144"/>
      <c r="R38" s="137"/>
      <c r="S38" s="138"/>
      <c r="T38" s="138"/>
      <c r="Y38" s="168"/>
    </row>
    <row r="39" spans="1:29" s="136" customFormat="1" x14ac:dyDescent="0.15">
      <c r="A39" s="139"/>
      <c r="B39" s="151">
        <v>42471</v>
      </c>
      <c r="C39" s="142"/>
      <c r="D39" s="142"/>
      <c r="E39" s="143"/>
      <c r="F39" s="162"/>
      <c r="G39" s="141"/>
      <c r="H39" s="174"/>
      <c r="I39" s="141"/>
      <c r="J39" s="141"/>
      <c r="K39" s="142"/>
      <c r="L39" s="144"/>
      <c r="M39" s="26"/>
      <c r="N39" s="141"/>
      <c r="O39" s="144"/>
      <c r="R39" s="137"/>
      <c r="S39" s="138"/>
      <c r="T39" s="138"/>
      <c r="Y39" s="168"/>
    </row>
    <row r="40" spans="1:29" s="136" customFormat="1" x14ac:dyDescent="0.15">
      <c r="A40" s="139"/>
      <c r="B40" s="151">
        <v>42472</v>
      </c>
      <c r="C40" s="142"/>
      <c r="D40" s="142"/>
      <c r="E40" s="143"/>
      <c r="F40" s="162"/>
      <c r="G40" s="141"/>
      <c r="H40" s="174"/>
      <c r="I40" s="141"/>
      <c r="J40" s="141"/>
      <c r="K40" s="142"/>
      <c r="L40" s="144"/>
      <c r="M40" s="26"/>
      <c r="N40" s="141"/>
      <c r="O40" s="144"/>
      <c r="R40" s="137"/>
      <c r="S40" s="138"/>
      <c r="T40" s="138"/>
      <c r="Y40" s="168"/>
    </row>
    <row r="41" spans="1:29" s="136" customFormat="1" x14ac:dyDescent="0.15">
      <c r="A41" s="139"/>
      <c r="B41" s="151">
        <v>42473</v>
      </c>
      <c r="C41" s="142"/>
      <c r="D41" s="142"/>
      <c r="E41" s="143"/>
      <c r="F41" s="162"/>
      <c r="G41" s="141"/>
      <c r="H41" s="174"/>
      <c r="I41" s="141"/>
      <c r="J41" s="141"/>
      <c r="K41" s="142"/>
      <c r="L41" s="144"/>
      <c r="M41" s="26"/>
      <c r="N41" s="141"/>
      <c r="O41" s="144"/>
      <c r="R41" s="137"/>
      <c r="S41" s="138"/>
      <c r="T41" s="138"/>
      <c r="Y41" s="168"/>
    </row>
    <row r="42" spans="1:29" s="136" customFormat="1" x14ac:dyDescent="0.15">
      <c r="A42" s="139"/>
      <c r="B42" s="151">
        <v>42474</v>
      </c>
      <c r="C42" s="142"/>
      <c r="D42" s="142"/>
      <c r="E42" s="143"/>
      <c r="F42" s="162"/>
      <c r="G42" s="141"/>
      <c r="H42" s="174"/>
      <c r="I42" s="141"/>
      <c r="J42" s="141"/>
      <c r="K42" s="142"/>
      <c r="L42" s="144"/>
      <c r="M42" s="26"/>
      <c r="N42" s="141"/>
      <c r="O42" s="144"/>
      <c r="R42" s="137"/>
      <c r="S42" s="138"/>
      <c r="T42" s="138"/>
      <c r="Y42" s="168"/>
    </row>
    <row r="43" spans="1:29" s="136" customFormat="1" x14ac:dyDescent="0.15">
      <c r="A43" s="139"/>
      <c r="B43" s="151">
        <v>42475</v>
      </c>
      <c r="C43" s="142"/>
      <c r="D43" s="142"/>
      <c r="E43" s="143"/>
      <c r="F43" s="162"/>
      <c r="G43" s="141"/>
      <c r="H43" s="174"/>
      <c r="I43" s="141"/>
      <c r="J43" s="141"/>
      <c r="K43" s="142"/>
      <c r="L43" s="144"/>
      <c r="M43" s="26"/>
      <c r="N43" s="141"/>
      <c r="O43" s="144"/>
      <c r="R43" s="137"/>
      <c r="S43" s="138"/>
      <c r="T43" s="138"/>
      <c r="Y43" s="168"/>
    </row>
    <row r="44" spans="1:29" s="136" customFormat="1" x14ac:dyDescent="0.15">
      <c r="A44" s="139"/>
      <c r="B44" s="151">
        <v>42478</v>
      </c>
      <c r="C44" s="142"/>
      <c r="D44" s="142"/>
      <c r="E44" s="143"/>
      <c r="F44" s="162"/>
      <c r="G44" s="141"/>
      <c r="H44" s="174"/>
      <c r="I44" s="141"/>
      <c r="J44" s="141"/>
      <c r="K44" s="142"/>
      <c r="L44" s="144"/>
      <c r="M44" s="26"/>
      <c r="N44" s="141"/>
      <c r="O44" s="144"/>
      <c r="R44" s="137"/>
      <c r="S44" s="138"/>
      <c r="T44" s="138"/>
      <c r="Y44" s="168"/>
    </row>
    <row r="45" spans="1:29" s="136" customFormat="1" x14ac:dyDescent="0.15">
      <c r="A45" s="139"/>
      <c r="B45" s="151">
        <v>42479</v>
      </c>
      <c r="C45" s="142"/>
      <c r="D45" s="142"/>
      <c r="E45" s="143"/>
      <c r="F45" s="162"/>
      <c r="G45" s="141"/>
      <c r="H45" s="174"/>
      <c r="I45" s="141"/>
      <c r="J45" s="141"/>
      <c r="K45" s="142"/>
      <c r="L45" s="144"/>
      <c r="M45" s="26"/>
      <c r="N45" s="141"/>
      <c r="O45" s="144"/>
      <c r="R45" s="137"/>
      <c r="S45" s="138"/>
      <c r="T45" s="138"/>
      <c r="Y45" s="168"/>
    </row>
    <row r="46" spans="1:29" s="136" customFormat="1" x14ac:dyDescent="0.15">
      <c r="A46" s="139"/>
      <c r="B46" s="151">
        <v>42480</v>
      </c>
      <c r="C46" s="142"/>
      <c r="D46" s="142"/>
      <c r="E46" s="143"/>
      <c r="F46" s="162"/>
      <c r="G46" s="141"/>
      <c r="H46" s="174"/>
      <c r="I46" s="141"/>
      <c r="J46" s="141"/>
      <c r="K46" s="142"/>
      <c r="L46" s="144"/>
      <c r="M46" s="26"/>
      <c r="N46" s="141"/>
      <c r="O46" s="144"/>
      <c r="R46" s="137"/>
      <c r="S46" s="138"/>
      <c r="T46" s="138"/>
      <c r="Y46" s="168"/>
    </row>
    <row r="47" spans="1:29" s="136" customFormat="1" x14ac:dyDescent="0.15">
      <c r="A47" s="139"/>
      <c r="B47" s="151">
        <v>42481</v>
      </c>
      <c r="C47" s="142"/>
      <c r="D47" s="142"/>
      <c r="E47" s="143"/>
      <c r="F47" s="162"/>
      <c r="G47" s="141"/>
      <c r="H47" s="174"/>
      <c r="I47" s="141"/>
      <c r="J47" s="141"/>
      <c r="K47" s="142"/>
      <c r="L47" s="144"/>
      <c r="M47" s="26"/>
      <c r="N47" s="141"/>
      <c r="O47" s="144"/>
      <c r="R47" s="137"/>
      <c r="S47" s="138"/>
      <c r="T47" s="138"/>
      <c r="Y47" s="168"/>
    </row>
    <row r="48" spans="1:29" x14ac:dyDescent="0.15">
      <c r="A48" s="56" t="s">
        <v>25</v>
      </c>
      <c r="B48" s="172">
        <v>42482</v>
      </c>
      <c r="C48" s="170" t="s">
        <v>29</v>
      </c>
      <c r="D48" s="170" t="s">
        <v>30</v>
      </c>
      <c r="E48" s="183">
        <v>2261773</v>
      </c>
      <c r="F48" s="183">
        <f>K48*I48</f>
        <v>2294695.0000000005</v>
      </c>
      <c r="G48" s="170">
        <f>I48*J48</f>
        <v>2261773</v>
      </c>
      <c r="H48" s="170">
        <f>G48*(1+Q48)</f>
        <v>2279573.9434480304</v>
      </c>
      <c r="I48" s="170">
        <v>279500</v>
      </c>
      <c r="J48" s="170">
        <v>8.092211091234347</v>
      </c>
      <c r="K48" s="170">
        <v>8.2100000000000009</v>
      </c>
      <c r="L48" s="171">
        <f>(K48-J48)/J48</f>
        <v>1.4555837389517096E-2</v>
      </c>
      <c r="M48" s="170">
        <v>3153.8161992251198</v>
      </c>
      <c r="N48" s="170">
        <v>3174.9009999999998</v>
      </c>
      <c r="O48" s="171">
        <f>(N48-M48)/M48</f>
        <v>6.6854881334113495E-3</v>
      </c>
      <c r="P48" s="184">
        <f>L48-O48</f>
        <v>7.8703492561057464E-3</v>
      </c>
      <c r="Q48" s="184">
        <f>P48</f>
        <v>7.8703492561057464E-3</v>
      </c>
      <c r="R48" s="170">
        <f>G48*Q48</f>
        <v>17800.943448030062</v>
      </c>
      <c r="S48" s="171">
        <f>(K48-$J$48)/$J$48</f>
        <v>1.4555837389517096E-2</v>
      </c>
      <c r="T48" s="171">
        <f>(N48-$M$48)/$M$48</f>
        <v>6.6854881334113495E-3</v>
      </c>
      <c r="U48" s="184">
        <f>S48-T48</f>
        <v>7.8703492561057464E-3</v>
      </c>
      <c r="V48" s="170">
        <f>E48*U48</f>
        <v>17800.943448030062</v>
      </c>
      <c r="W48" s="170">
        <f>E48*S48</f>
        <v>32922.000000000247</v>
      </c>
      <c r="X48" s="1">
        <f>L48</f>
        <v>1.4555837389517096E-2</v>
      </c>
      <c r="Y48" s="168">
        <f>O48</f>
        <v>6.6854881334113495E-3</v>
      </c>
      <c r="Z48" s="1">
        <f>X48-Y48</f>
        <v>7.8703492561057464E-3</v>
      </c>
      <c r="AA48" s="1">
        <f>Z48</f>
        <v>7.8703492561057464E-3</v>
      </c>
      <c r="AB48">
        <f>V48</f>
        <v>17800.943448030062</v>
      </c>
      <c r="AC48" s="1">
        <f>AA48</f>
        <v>7.8703492561057464E-3</v>
      </c>
    </row>
    <row r="49" spans="1:29" x14ac:dyDescent="0.15">
      <c r="A49" s="56"/>
      <c r="B49" s="172">
        <v>42485</v>
      </c>
      <c r="C49" s="170" t="s">
        <v>29</v>
      </c>
      <c r="D49" s="170" t="s">
        <v>30</v>
      </c>
      <c r="E49" s="183">
        <v>2261773</v>
      </c>
      <c r="F49" s="183">
        <f t="shared" ref="F49:F75" si="0">K49*I49</f>
        <v>2266745</v>
      </c>
      <c r="G49" s="170">
        <f>G48*(1+Q48)</f>
        <v>2279573.9434480304</v>
      </c>
      <c r="H49" s="170">
        <f t="shared" ref="H49:H69" si="1">G49*(1+Q49)</f>
        <v>2261047.3258067034</v>
      </c>
      <c r="I49" s="170">
        <v>279500</v>
      </c>
      <c r="J49" s="170">
        <v>8.2100000000000009</v>
      </c>
      <c r="K49" s="170">
        <v>8.11</v>
      </c>
      <c r="L49" s="171">
        <f t="shared" ref="L49:L93" si="2">(K49-J49)/J49</f>
        <v>-1.2180267965895421E-2</v>
      </c>
      <c r="M49" s="170">
        <v>3174.9009999999998</v>
      </c>
      <c r="N49" s="170">
        <v>3162.0329999999999</v>
      </c>
      <c r="O49" s="171">
        <f t="shared" ref="O49:O67" si="3">(N49-M49)/M49</f>
        <v>-4.0530397640745142E-3</v>
      </c>
      <c r="P49" s="184">
        <f t="shared" ref="P49:P67" si="4">L49-O49</f>
        <v>-8.1272282018209074E-3</v>
      </c>
      <c r="Q49" s="184">
        <f t="shared" ref="Q49:Q67" si="5">P49</f>
        <v>-8.1272282018209074E-3</v>
      </c>
      <c r="R49" s="170">
        <f t="shared" ref="R49:R67" si="6">G49*Q49</f>
        <v>-18526.617641326931</v>
      </c>
      <c r="S49" s="171">
        <f t="shared" ref="S49:S67" si="7">(K49-$J$48)/$J$48</f>
        <v>2.1982754237493559E-3</v>
      </c>
      <c r="T49" s="171">
        <f t="shared" ref="T49:T67" si="8">(N49-$M$48)/$M$48</f>
        <v>2.6053518200898707E-3</v>
      </c>
      <c r="U49" s="184">
        <f t="shared" ref="U49:U67" si="9">S49-T49</f>
        <v>-4.070763963405148E-4</v>
      </c>
      <c r="V49" s="170">
        <f t="shared" ref="V49:V67" si="10">E49*U49</f>
        <v>-920.71440218027521</v>
      </c>
      <c r="W49" s="170">
        <f t="shared" ref="W49:W67" si="11">E49*S49</f>
        <v>4971.9999999998518</v>
      </c>
      <c r="X49">
        <f>(K49-K48)/K48</f>
        <v>-1.2180267965895421E-2</v>
      </c>
      <c r="Y49" s="168">
        <f>(N49-N48)/N48</f>
        <v>-4.0530397640745142E-3</v>
      </c>
      <c r="Z49" s="1">
        <f t="shared" ref="Z49:Z74" si="12">X49-Y49</f>
        <v>-8.1272282018209074E-3</v>
      </c>
      <c r="AA49" s="1">
        <f t="shared" ref="AA49:AA74" si="13">Z49</f>
        <v>-8.1272282018209074E-3</v>
      </c>
      <c r="AB49">
        <f>V49-V48</f>
        <v>-18721.657850210337</v>
      </c>
      <c r="AC49" s="1">
        <f>AA49+AC48</f>
        <v>-2.5687894571516101E-4</v>
      </c>
    </row>
    <row r="50" spans="1:29" x14ac:dyDescent="0.15">
      <c r="A50" s="56"/>
      <c r="B50" s="172">
        <v>42486</v>
      </c>
      <c r="C50" s="170" t="s">
        <v>29</v>
      </c>
      <c r="D50" s="170" t="s">
        <v>30</v>
      </c>
      <c r="E50" s="183">
        <v>2261773</v>
      </c>
      <c r="F50" s="183">
        <f t="shared" si="0"/>
        <v>2269540</v>
      </c>
      <c r="G50" s="170">
        <f t="shared" ref="G50:G69" si="14">G49*(1+Q49)</f>
        <v>2261047.3258067034</v>
      </c>
      <c r="H50" s="170">
        <f t="shared" si="1"/>
        <v>2251587.7309195944</v>
      </c>
      <c r="I50" s="170">
        <v>279500</v>
      </c>
      <c r="J50" s="170">
        <v>8.11</v>
      </c>
      <c r="K50" s="170">
        <v>8.1199999999999992</v>
      </c>
      <c r="L50" s="171">
        <f t="shared" si="2"/>
        <v>1.2330456226880132E-3</v>
      </c>
      <c r="M50" s="170">
        <v>3162.0329999999999</v>
      </c>
      <c r="N50" s="170">
        <v>3179.1610000000001</v>
      </c>
      <c r="O50" s="171">
        <f t="shared" si="3"/>
        <v>5.4167682626968649E-3</v>
      </c>
      <c r="P50" s="184">
        <f t="shared" si="4"/>
        <v>-4.1837226400088514E-3</v>
      </c>
      <c r="Q50" s="184">
        <f t="shared" si="5"/>
        <v>-4.1837226400088514E-3</v>
      </c>
      <c r="R50" s="170">
        <f t="shared" si="6"/>
        <v>-9459.5948871089749</v>
      </c>
      <c r="S50" s="171">
        <f t="shared" si="7"/>
        <v>3.4340316203260862E-3</v>
      </c>
      <c r="T50" s="171">
        <f t="shared" si="8"/>
        <v>8.0362326698389577E-3</v>
      </c>
      <c r="U50" s="184">
        <f t="shared" si="9"/>
        <v>-4.6022010495128714E-3</v>
      </c>
      <c r="V50" s="170">
        <f t="shared" si="10"/>
        <v>-10409.134074359876</v>
      </c>
      <c r="W50" s="170">
        <f t="shared" si="11"/>
        <v>7766.9999999997926</v>
      </c>
      <c r="X50" s="180">
        <f t="shared" ref="X50:X74" si="15">(K50-K49)/K49</f>
        <v>1.2330456226880132E-3</v>
      </c>
      <c r="Y50" s="168">
        <f t="shared" ref="Y50:Y74" si="16">(N50-N49)/N49</f>
        <v>5.4167682626968649E-3</v>
      </c>
      <c r="Z50" s="1">
        <f t="shared" si="12"/>
        <v>-4.1837226400088514E-3</v>
      </c>
      <c r="AA50" s="1">
        <f t="shared" si="13"/>
        <v>-4.1837226400088514E-3</v>
      </c>
      <c r="AB50" s="180">
        <f t="shared" ref="AB50:AB73" si="17">V50-V49</f>
        <v>-9488.4196721795997</v>
      </c>
      <c r="AC50" s="1">
        <f t="shared" ref="AC50:AC74" si="18">AA50+AC49</f>
        <v>-4.4406015857240124E-3</v>
      </c>
    </row>
    <row r="51" spans="1:29" x14ac:dyDescent="0.15">
      <c r="A51" s="56"/>
      <c r="B51" s="172">
        <v>42487</v>
      </c>
      <c r="C51" s="170" t="s">
        <v>29</v>
      </c>
      <c r="D51" s="170" t="s">
        <v>30</v>
      </c>
      <c r="E51" s="183">
        <v>2261773</v>
      </c>
      <c r="F51" s="183">
        <f t="shared" si="0"/>
        <v>2328235</v>
      </c>
      <c r="G51" s="170">
        <f t="shared" si="14"/>
        <v>2251587.7309195944</v>
      </c>
      <c r="H51" s="170">
        <f t="shared" si="1"/>
        <v>2319198.998343105</v>
      </c>
      <c r="I51" s="170">
        <v>279500</v>
      </c>
      <c r="J51" s="170">
        <v>8.1199999999999992</v>
      </c>
      <c r="K51" s="170">
        <v>8.33</v>
      </c>
      <c r="L51" s="171">
        <f t="shared" si="2"/>
        <v>2.5862068965517349E-2</v>
      </c>
      <c r="M51" s="170">
        <v>3179.1610000000001</v>
      </c>
      <c r="N51" s="170">
        <v>3165.9160000000002</v>
      </c>
      <c r="O51" s="171">
        <f t="shared" si="3"/>
        <v>-4.1661935334510866E-3</v>
      </c>
      <c r="P51" s="184">
        <f t="shared" si="4"/>
        <v>3.0028262498968436E-2</v>
      </c>
      <c r="Q51" s="184">
        <f t="shared" si="5"/>
        <v>3.0028262498968436E-2</v>
      </c>
      <c r="R51" s="170">
        <f t="shared" si="6"/>
        <v>67611.26742351029</v>
      </c>
      <c r="S51" s="171">
        <f t="shared" si="7"/>
        <v>2.9384911748438075E-2</v>
      </c>
      <c r="T51" s="171">
        <f t="shared" si="8"/>
        <v>3.8365586358054802E-3</v>
      </c>
      <c r="U51" s="184">
        <f t="shared" si="9"/>
        <v>2.5548353112632594E-2</v>
      </c>
      <c r="V51" s="170">
        <f t="shared" si="10"/>
        <v>57784.575264618361</v>
      </c>
      <c r="W51" s="170">
        <f t="shared" si="11"/>
        <v>66462.000000000029</v>
      </c>
      <c r="X51" s="180">
        <f t="shared" si="15"/>
        <v>2.5862068965517349E-2</v>
      </c>
      <c r="Y51" s="168">
        <f t="shared" si="16"/>
        <v>-4.1661935334510866E-3</v>
      </c>
      <c r="Z51" s="1">
        <f t="shared" si="12"/>
        <v>3.0028262498968436E-2</v>
      </c>
      <c r="AA51" s="1">
        <f t="shared" si="13"/>
        <v>3.0028262498968436E-2</v>
      </c>
      <c r="AB51" s="180">
        <f t="shared" si="17"/>
        <v>68193.709338978239</v>
      </c>
      <c r="AC51" s="1">
        <f t="shared" si="18"/>
        <v>2.5587660913244423E-2</v>
      </c>
    </row>
    <row r="52" spans="1:29" x14ac:dyDescent="0.15">
      <c r="A52" s="56"/>
      <c r="B52" s="172">
        <v>42488</v>
      </c>
      <c r="C52" s="170" t="s">
        <v>29</v>
      </c>
      <c r="D52" s="170" t="s">
        <v>30</v>
      </c>
      <c r="E52" s="183">
        <v>2261773</v>
      </c>
      <c r="F52" s="183">
        <f t="shared" si="0"/>
        <v>2322645</v>
      </c>
      <c r="G52" s="170">
        <f t="shared" si="14"/>
        <v>2319198.998343105</v>
      </c>
      <c r="H52" s="170">
        <f t="shared" si="1"/>
        <v>2317538.8598629353</v>
      </c>
      <c r="I52" s="170">
        <v>279500</v>
      </c>
      <c r="J52" s="170">
        <v>8.33</v>
      </c>
      <c r="K52" s="170">
        <v>8.31</v>
      </c>
      <c r="L52" s="171">
        <f t="shared" si="2"/>
        <v>-2.4009603841536101E-3</v>
      </c>
      <c r="M52" s="170">
        <v>3165.9160000000002</v>
      </c>
      <c r="N52" s="170">
        <v>3160.5810000000001</v>
      </c>
      <c r="O52" s="171">
        <f t="shared" si="3"/>
        <v>-1.6851363081016792E-3</v>
      </c>
      <c r="P52" s="184">
        <f t="shared" si="4"/>
        <v>-7.1582407605193092E-4</v>
      </c>
      <c r="Q52" s="184">
        <f t="shared" si="5"/>
        <v>-7.1582407605193092E-4</v>
      </c>
      <c r="R52" s="170">
        <f t="shared" si="6"/>
        <v>-1660.1384801695167</v>
      </c>
      <c r="S52" s="171">
        <f t="shared" si="7"/>
        <v>2.6913399355284615E-2</v>
      </c>
      <c r="T52" s="171">
        <f t="shared" si="8"/>
        <v>2.1449572034484441E-3</v>
      </c>
      <c r="U52" s="184">
        <f t="shared" si="9"/>
        <v>2.476844215183617E-2</v>
      </c>
      <c r="V52" s="170">
        <f t="shared" si="10"/>
        <v>56020.593711084948</v>
      </c>
      <c r="W52" s="170">
        <f t="shared" si="11"/>
        <v>60872.000000000153</v>
      </c>
      <c r="X52" s="180">
        <f t="shared" si="15"/>
        <v>-2.4009603841536101E-3</v>
      </c>
      <c r="Y52" s="168">
        <f t="shared" si="16"/>
        <v>-1.6851363081016792E-3</v>
      </c>
      <c r="Z52" s="1">
        <f t="shared" si="12"/>
        <v>-7.1582407605193092E-4</v>
      </c>
      <c r="AA52" s="1">
        <f t="shared" si="13"/>
        <v>-7.1582407605193092E-4</v>
      </c>
      <c r="AB52" s="180">
        <f t="shared" si="17"/>
        <v>-1763.9815535334128</v>
      </c>
      <c r="AC52" s="1">
        <f t="shared" si="18"/>
        <v>2.487183683719249E-2</v>
      </c>
    </row>
    <row r="53" spans="1:29" x14ac:dyDescent="0.15">
      <c r="A53" s="56"/>
      <c r="B53" s="172">
        <v>42489</v>
      </c>
      <c r="C53" s="170" t="s">
        <v>29</v>
      </c>
      <c r="D53" s="170" t="s">
        <v>30</v>
      </c>
      <c r="E53" s="183">
        <v>2261773</v>
      </c>
      <c r="F53" s="183">
        <f t="shared" si="0"/>
        <v>2361775</v>
      </c>
      <c r="G53" s="170">
        <f t="shared" si="14"/>
        <v>2317538.8598629353</v>
      </c>
      <c r="H53" s="170">
        <f t="shared" si="1"/>
        <v>2359395.6348382761</v>
      </c>
      <c r="I53" s="170">
        <v>279500</v>
      </c>
      <c r="J53" s="170">
        <v>8.31</v>
      </c>
      <c r="K53" s="170">
        <v>8.4499999999999993</v>
      </c>
      <c r="L53" s="171">
        <f t="shared" si="2"/>
        <v>1.6847172081828975E-2</v>
      </c>
      <c r="M53" s="170">
        <v>3160.5810000000001</v>
      </c>
      <c r="N53" s="170">
        <v>3156.7449999999999</v>
      </c>
      <c r="O53" s="171">
        <f t="shared" si="3"/>
        <v>-1.2137008986639608E-3</v>
      </c>
      <c r="P53" s="184">
        <f t="shared" si="4"/>
        <v>1.8060872980492935E-2</v>
      </c>
      <c r="Q53" s="184">
        <f t="shared" si="5"/>
        <v>1.8060872980492935E-2</v>
      </c>
      <c r="R53" s="170">
        <f t="shared" si="6"/>
        <v>41856.774975340893</v>
      </c>
      <c r="S53" s="171">
        <f t="shared" si="7"/>
        <v>4.4213986107359056E-2</v>
      </c>
      <c r="T53" s="171">
        <f t="shared" si="8"/>
        <v>9.2865296829906211E-4</v>
      </c>
      <c r="U53" s="184">
        <f t="shared" si="9"/>
        <v>4.3285333139059995E-2</v>
      </c>
      <c r="V53" s="170">
        <f t="shared" si="10"/>
        <v>97901.59778993114</v>
      </c>
      <c r="W53" s="170">
        <f t="shared" si="11"/>
        <v>100001.99999999981</v>
      </c>
      <c r="X53" s="180">
        <f t="shared" si="15"/>
        <v>1.6847172081828975E-2</v>
      </c>
      <c r="Y53" s="168">
        <f t="shared" si="16"/>
        <v>-1.2137008986639608E-3</v>
      </c>
      <c r="Z53" s="1">
        <f t="shared" si="12"/>
        <v>1.8060872980492935E-2</v>
      </c>
      <c r="AA53" s="1">
        <f t="shared" si="13"/>
        <v>1.8060872980492935E-2</v>
      </c>
      <c r="AB53" s="180">
        <f t="shared" si="17"/>
        <v>41881.004078846192</v>
      </c>
      <c r="AC53" s="1">
        <f t="shared" si="18"/>
        <v>4.2932709817685426E-2</v>
      </c>
    </row>
    <row r="54" spans="1:29" x14ac:dyDescent="0.15">
      <c r="A54" s="56"/>
      <c r="B54" s="172">
        <v>42493</v>
      </c>
      <c r="C54" s="170" t="s">
        <v>29</v>
      </c>
      <c r="D54" s="170" t="s">
        <v>30</v>
      </c>
      <c r="E54" s="183">
        <v>2261773</v>
      </c>
      <c r="F54" s="183">
        <f t="shared" si="0"/>
        <v>2386929.9999999995</v>
      </c>
      <c r="G54" s="170">
        <f t="shared" si="14"/>
        <v>2359395.6348382761</v>
      </c>
      <c r="H54" s="170">
        <f t="shared" si="1"/>
        <v>2342075.9102659947</v>
      </c>
      <c r="I54" s="170">
        <v>279500</v>
      </c>
      <c r="J54" s="170">
        <v>8.4499999999999993</v>
      </c>
      <c r="K54" s="170">
        <v>8.5399999999999991</v>
      </c>
      <c r="L54" s="171">
        <f t="shared" si="2"/>
        <v>1.0650887573964481E-2</v>
      </c>
      <c r="M54" s="170">
        <v>3156.7449999999999</v>
      </c>
      <c r="N54" s="170">
        <v>3213.54</v>
      </c>
      <c r="O54" s="171">
        <f t="shared" si="3"/>
        <v>1.7991633787334763E-2</v>
      </c>
      <c r="P54" s="184">
        <f t="shared" si="4"/>
        <v>-7.3407462133702819E-3</v>
      </c>
      <c r="Q54" s="184">
        <f t="shared" si="5"/>
        <v>-7.3407462133702819E-3</v>
      </c>
      <c r="R54" s="170">
        <f t="shared" si="6"/>
        <v>-17319.724572281448</v>
      </c>
      <c r="S54" s="171">
        <f t="shared" si="7"/>
        <v>5.5335791876549842E-2</v>
      </c>
      <c r="T54" s="171">
        <f t="shared" si="8"/>
        <v>1.8936994739754982E-2</v>
      </c>
      <c r="U54" s="184">
        <f t="shared" si="9"/>
        <v>3.6398797136794864E-2</v>
      </c>
      <c r="V54" s="170">
        <f t="shared" si="10"/>
        <v>82325.816596479926</v>
      </c>
      <c r="W54" s="170">
        <f t="shared" si="11"/>
        <v>125156.99999999977</v>
      </c>
      <c r="X54" s="180">
        <f t="shared" si="15"/>
        <v>1.0650887573964481E-2</v>
      </c>
      <c r="Y54" s="168">
        <f t="shared" si="16"/>
        <v>1.7991633787334763E-2</v>
      </c>
      <c r="Z54" s="1">
        <f t="shared" si="12"/>
        <v>-7.3407462133702819E-3</v>
      </c>
      <c r="AA54" s="1">
        <f t="shared" si="13"/>
        <v>-7.3407462133702819E-3</v>
      </c>
      <c r="AB54" s="180">
        <f t="shared" si="17"/>
        <v>-15575.781193451214</v>
      </c>
      <c r="AC54" s="1">
        <f t="shared" si="18"/>
        <v>3.5591963604315144E-2</v>
      </c>
    </row>
    <row r="55" spans="1:29" x14ac:dyDescent="0.15">
      <c r="A55" s="56"/>
      <c r="B55" s="172">
        <v>42494</v>
      </c>
      <c r="C55" s="170" t="s">
        <v>29</v>
      </c>
      <c r="D55" s="170" t="s">
        <v>30</v>
      </c>
      <c r="E55" s="183">
        <v>2261773</v>
      </c>
      <c r="F55" s="183">
        <f t="shared" si="0"/>
        <v>2331030</v>
      </c>
      <c r="G55" s="170">
        <f t="shared" si="14"/>
        <v>2342075.9102659947</v>
      </c>
      <c r="H55" s="170">
        <f t="shared" si="1"/>
        <v>2290199.1934065935</v>
      </c>
      <c r="I55" s="170">
        <v>279500</v>
      </c>
      <c r="J55" s="170">
        <v>8.5399999999999991</v>
      </c>
      <c r="K55" s="170">
        <v>8.34</v>
      </c>
      <c r="L55" s="171">
        <f t="shared" si="2"/>
        <v>-2.3419203747072518E-2</v>
      </c>
      <c r="M55" s="170">
        <v>3213.54</v>
      </c>
      <c r="N55" s="170">
        <v>3209.4609999999998</v>
      </c>
      <c r="O55" s="171">
        <f t="shared" si="3"/>
        <v>-1.2693167036975355E-3</v>
      </c>
      <c r="P55" s="184">
        <f t="shared" si="4"/>
        <v>-2.2149887043374984E-2</v>
      </c>
      <c r="Q55" s="184">
        <f t="shared" si="5"/>
        <v>-2.2149887043374984E-2</v>
      </c>
      <c r="R55" s="170">
        <f t="shared" si="6"/>
        <v>-51876.716859401429</v>
      </c>
      <c r="S55" s="171">
        <f t="shared" si="7"/>
        <v>3.0620667945014807E-2</v>
      </c>
      <c r="T55" s="171">
        <f t="shared" si="8"/>
        <v>1.7643640992316443E-2</v>
      </c>
      <c r="U55" s="184">
        <f t="shared" si="9"/>
        <v>1.2977026952698364E-2</v>
      </c>
      <c r="V55" s="170">
        <f t="shared" si="10"/>
        <v>29351.089181885436</v>
      </c>
      <c r="W55" s="170">
        <f t="shared" si="11"/>
        <v>69256.999999999971</v>
      </c>
      <c r="X55" s="180">
        <f t="shared" si="15"/>
        <v>-2.3419203747072518E-2</v>
      </c>
      <c r="Y55" s="168">
        <f t="shared" si="16"/>
        <v>-1.2693167036975355E-3</v>
      </c>
      <c r="Z55" s="1">
        <f t="shared" si="12"/>
        <v>-2.2149887043374984E-2</v>
      </c>
      <c r="AA55" s="1">
        <f t="shared" si="13"/>
        <v>-2.2149887043374984E-2</v>
      </c>
      <c r="AB55" s="180">
        <f t="shared" si="17"/>
        <v>-52974.72741459449</v>
      </c>
      <c r="AC55" s="1">
        <f t="shared" si="18"/>
        <v>1.344207656094016E-2</v>
      </c>
    </row>
    <row r="56" spans="1:29" x14ac:dyDescent="0.15">
      <c r="A56" s="56"/>
      <c r="B56" s="172">
        <v>42495</v>
      </c>
      <c r="C56" s="170" t="s">
        <v>29</v>
      </c>
      <c r="D56" s="170" t="s">
        <v>30</v>
      </c>
      <c r="E56" s="183">
        <v>2261773</v>
      </c>
      <c r="F56" s="183">
        <f t="shared" si="0"/>
        <v>2325440</v>
      </c>
      <c r="G56" s="170">
        <f t="shared" si="14"/>
        <v>2290199.1934065935</v>
      </c>
      <c r="H56" s="170">
        <f t="shared" si="1"/>
        <v>2281525.2668864755</v>
      </c>
      <c r="I56" s="170">
        <v>279500</v>
      </c>
      <c r="J56" s="170">
        <v>8.34</v>
      </c>
      <c r="K56" s="170">
        <v>8.32</v>
      </c>
      <c r="L56" s="171">
        <f t="shared" si="2"/>
        <v>-2.3980815347721313E-3</v>
      </c>
      <c r="M56" s="170">
        <v>3209.4609999999998</v>
      </c>
      <c r="N56" s="170">
        <v>3213.92</v>
      </c>
      <c r="O56" s="171">
        <f t="shared" si="3"/>
        <v>1.3893298594375466E-3</v>
      </c>
      <c r="P56" s="184">
        <f t="shared" si="4"/>
        <v>-3.787411394209678E-3</v>
      </c>
      <c r="Q56" s="184">
        <f t="shared" si="5"/>
        <v>-3.787411394209678E-3</v>
      </c>
      <c r="R56" s="170">
        <f t="shared" si="6"/>
        <v>-8673.926520117946</v>
      </c>
      <c r="S56" s="171">
        <f t="shared" si="7"/>
        <v>2.8149155551861347E-2</v>
      </c>
      <c r="T56" s="171">
        <f t="shared" si="8"/>
        <v>1.9057483689013811E-2</v>
      </c>
      <c r="U56" s="184">
        <f t="shared" si="9"/>
        <v>9.0916718628475356E-3</v>
      </c>
      <c r="V56" s="170">
        <f t="shared" si="10"/>
        <v>20563.297944248257</v>
      </c>
      <c r="W56" s="170">
        <f t="shared" si="11"/>
        <v>63667.000000000095</v>
      </c>
      <c r="X56" s="180">
        <f t="shared" si="15"/>
        <v>-2.3980815347721313E-3</v>
      </c>
      <c r="Y56" s="168">
        <f t="shared" si="16"/>
        <v>1.3893298594375466E-3</v>
      </c>
      <c r="Z56" s="1">
        <f t="shared" si="12"/>
        <v>-3.787411394209678E-3</v>
      </c>
      <c r="AA56" s="1">
        <f t="shared" si="13"/>
        <v>-3.787411394209678E-3</v>
      </c>
      <c r="AB56" s="180">
        <f t="shared" si="17"/>
        <v>-8787.7912376371787</v>
      </c>
      <c r="AC56" s="1">
        <f t="shared" si="18"/>
        <v>9.6546651667304816E-3</v>
      </c>
    </row>
    <row r="57" spans="1:29" x14ac:dyDescent="0.15">
      <c r="A57" s="56"/>
      <c r="B57" s="172">
        <v>42496</v>
      </c>
      <c r="C57" s="170" t="s">
        <v>29</v>
      </c>
      <c r="D57" s="170" t="s">
        <v>30</v>
      </c>
      <c r="E57" s="183">
        <v>2261773</v>
      </c>
      <c r="F57" s="183">
        <f t="shared" si="0"/>
        <v>2224820</v>
      </c>
      <c r="G57" s="170">
        <f t="shared" si="14"/>
        <v>2281525.2668864755</v>
      </c>
      <c r="H57" s="170">
        <f t="shared" si="1"/>
        <v>2242127.976892394</v>
      </c>
      <c r="I57" s="170">
        <v>279500</v>
      </c>
      <c r="J57" s="170">
        <v>8.32</v>
      </c>
      <c r="K57" s="170">
        <v>7.96</v>
      </c>
      <c r="L57" s="171">
        <f t="shared" si="2"/>
        <v>-4.3269230769230803E-2</v>
      </c>
      <c r="M57" s="170">
        <v>3213.92</v>
      </c>
      <c r="N57" s="170">
        <v>3130.3539999999998</v>
      </c>
      <c r="O57" s="171">
        <f t="shared" si="3"/>
        <v>-2.6001269477771774E-2</v>
      </c>
      <c r="P57" s="184">
        <f t="shared" si="4"/>
        <v>-1.7267961291459029E-2</v>
      </c>
      <c r="Q57" s="184">
        <f t="shared" si="5"/>
        <v>-1.7267961291459029E-2</v>
      </c>
      <c r="R57" s="170">
        <f t="shared" si="6"/>
        <v>-39397.289994081388</v>
      </c>
      <c r="S57" s="171">
        <f t="shared" si="7"/>
        <v>-1.6338067524901925E-2</v>
      </c>
      <c r="T57" s="171">
        <f t="shared" si="8"/>
        <v>-7.4393045577242495E-3</v>
      </c>
      <c r="U57" s="184">
        <f t="shared" si="9"/>
        <v>-8.8987629671776758E-3</v>
      </c>
      <c r="V57" s="170">
        <f t="shared" si="10"/>
        <v>-20126.981812562353</v>
      </c>
      <c r="W57" s="170">
        <f t="shared" si="11"/>
        <v>-36953</v>
      </c>
      <c r="X57" s="180">
        <f t="shared" si="15"/>
        <v>-4.3269230769230803E-2</v>
      </c>
      <c r="Y57" s="168">
        <f t="shared" si="16"/>
        <v>-2.6001269477771774E-2</v>
      </c>
      <c r="Z57" s="1">
        <f t="shared" si="12"/>
        <v>-1.7267961291459029E-2</v>
      </c>
      <c r="AA57" s="1">
        <f t="shared" si="13"/>
        <v>-1.7267961291459029E-2</v>
      </c>
      <c r="AB57" s="180">
        <f t="shared" si="17"/>
        <v>-40690.279756810611</v>
      </c>
      <c r="AC57" s="1">
        <f t="shared" si="18"/>
        <v>-7.6132961247285472E-3</v>
      </c>
    </row>
    <row r="58" spans="1:29" x14ac:dyDescent="0.15">
      <c r="A58" s="56"/>
      <c r="B58" s="172">
        <v>42499</v>
      </c>
      <c r="C58" s="170" t="s">
        <v>29</v>
      </c>
      <c r="D58" s="170" t="s">
        <v>30</v>
      </c>
      <c r="E58" s="183">
        <v>2261773</v>
      </c>
      <c r="F58" s="183">
        <f t="shared" si="0"/>
        <v>2101840</v>
      </c>
      <c r="G58" s="170">
        <f t="shared" si="14"/>
        <v>2242127.976892394</v>
      </c>
      <c r="H58" s="170">
        <f t="shared" si="1"/>
        <v>2164560.8099105349</v>
      </c>
      <c r="I58" s="170">
        <v>279500</v>
      </c>
      <c r="J58" s="170">
        <v>7.96</v>
      </c>
      <c r="K58" s="170">
        <v>7.52</v>
      </c>
      <c r="L58" s="171">
        <f t="shared" si="2"/>
        <v>-5.5276381909547791E-2</v>
      </c>
      <c r="M58" s="170">
        <v>3130.3539999999998</v>
      </c>
      <c r="N58" s="170">
        <v>3065.6149999999998</v>
      </c>
      <c r="O58" s="171">
        <f t="shared" si="3"/>
        <v>-2.068104757481104E-2</v>
      </c>
      <c r="P58" s="184">
        <f t="shared" si="4"/>
        <v>-3.4595334334736751E-2</v>
      </c>
      <c r="Q58" s="184">
        <f t="shared" si="5"/>
        <v>-3.4595334334736751E-2</v>
      </c>
      <c r="R58" s="170">
        <f t="shared" si="6"/>
        <v>-77567.166981859293</v>
      </c>
      <c r="S58" s="171">
        <f t="shared" si="7"/>
        <v>-7.0711340174279255E-2</v>
      </c>
      <c r="T58" s="171">
        <f t="shared" si="8"/>
        <v>-2.7966499521053484E-2</v>
      </c>
      <c r="U58" s="184">
        <f t="shared" si="9"/>
        <v>-4.2744840653225771E-2</v>
      </c>
      <c r="V58" s="170">
        <f t="shared" si="10"/>
        <v>-96679.126478768419</v>
      </c>
      <c r="W58" s="170">
        <f t="shared" si="11"/>
        <v>-159933.00000000012</v>
      </c>
      <c r="X58" s="180">
        <f t="shared" si="15"/>
        <v>-5.5276381909547791E-2</v>
      </c>
      <c r="Y58" s="168">
        <f t="shared" si="16"/>
        <v>-2.068104757481104E-2</v>
      </c>
      <c r="Z58" s="1">
        <f t="shared" si="12"/>
        <v>-3.4595334334736751E-2</v>
      </c>
      <c r="AA58" s="1">
        <f t="shared" si="13"/>
        <v>-3.4595334334736751E-2</v>
      </c>
      <c r="AB58" s="180">
        <f t="shared" si="17"/>
        <v>-76552.144666206063</v>
      </c>
      <c r="AC58" s="1">
        <f t="shared" si="18"/>
        <v>-4.2208630459465296E-2</v>
      </c>
    </row>
    <row r="59" spans="1:29" x14ac:dyDescent="0.15">
      <c r="A59" s="56"/>
      <c r="B59" s="172">
        <v>42500</v>
      </c>
      <c r="C59" s="170" t="s">
        <v>29</v>
      </c>
      <c r="D59" s="170" t="s">
        <v>30</v>
      </c>
      <c r="E59" s="183">
        <v>2261773</v>
      </c>
      <c r="F59" s="183">
        <f t="shared" si="0"/>
        <v>2071095</v>
      </c>
      <c r="G59" s="170">
        <f t="shared" si="14"/>
        <v>2164560.8099105349</v>
      </c>
      <c r="H59" s="170">
        <f t="shared" si="1"/>
        <v>2130429.1993385083</v>
      </c>
      <c r="I59" s="170">
        <v>279500</v>
      </c>
      <c r="J59" s="170">
        <v>7.52</v>
      </c>
      <c r="K59" s="170">
        <v>7.41</v>
      </c>
      <c r="L59" s="171">
        <f t="shared" si="2"/>
        <v>-1.4627659574468011E-2</v>
      </c>
      <c r="M59" s="170">
        <v>3065.6149999999998</v>
      </c>
      <c r="N59" s="170">
        <v>3069.1120000000001</v>
      </c>
      <c r="O59" s="171">
        <f t="shared" si="3"/>
        <v>1.1407172785885698E-3</v>
      </c>
      <c r="P59" s="184">
        <f t="shared" si="4"/>
        <v>-1.5768376853056581E-2</v>
      </c>
      <c r="Q59" s="184">
        <f t="shared" si="5"/>
        <v>-1.5768376853056581E-2</v>
      </c>
      <c r="R59" s="170">
        <f t="shared" si="6"/>
        <v>-34131.610572026686</v>
      </c>
      <c r="S59" s="171">
        <f t="shared" si="7"/>
        <v>-8.4304658336623498E-2</v>
      </c>
      <c r="T59" s="171">
        <f t="shared" si="8"/>
        <v>-2.6857684111690219E-2</v>
      </c>
      <c r="U59" s="184">
        <f t="shared" si="9"/>
        <v>-5.7446974224933278E-2</v>
      </c>
      <c r="V59" s="170">
        <f t="shared" si="10"/>
        <v>-129932.01523365002</v>
      </c>
      <c r="W59" s="170">
        <f t="shared" si="11"/>
        <v>-190677.99999999994</v>
      </c>
      <c r="X59" s="180">
        <f t="shared" si="15"/>
        <v>-1.4627659574468011E-2</v>
      </c>
      <c r="Y59" s="168">
        <f t="shared" si="16"/>
        <v>1.1407172785885698E-3</v>
      </c>
      <c r="Z59" s="1">
        <f t="shared" si="12"/>
        <v>-1.5768376853056581E-2</v>
      </c>
      <c r="AA59" s="1">
        <f t="shared" si="13"/>
        <v>-1.5768376853056581E-2</v>
      </c>
      <c r="AB59" s="180">
        <f t="shared" si="17"/>
        <v>-33252.888754881598</v>
      </c>
      <c r="AC59" s="1">
        <f t="shared" si="18"/>
        <v>-5.797700731252188E-2</v>
      </c>
    </row>
    <row r="60" spans="1:29" x14ac:dyDescent="0.15">
      <c r="A60" s="56"/>
      <c r="B60" s="172">
        <v>42501</v>
      </c>
      <c r="C60" s="170" t="s">
        <v>29</v>
      </c>
      <c r="D60" s="170" t="s">
        <v>30</v>
      </c>
      <c r="E60" s="183">
        <v>2261773</v>
      </c>
      <c r="F60" s="183">
        <f t="shared" si="0"/>
        <v>2104635</v>
      </c>
      <c r="G60" s="170">
        <f t="shared" si="14"/>
        <v>2130429.1993385083</v>
      </c>
      <c r="H60" s="170">
        <f t="shared" si="1"/>
        <v>2155422.9758814401</v>
      </c>
      <c r="I60" s="170">
        <v>279500</v>
      </c>
      <c r="J60" s="170">
        <v>7.41</v>
      </c>
      <c r="K60" s="170">
        <v>7.53</v>
      </c>
      <c r="L60" s="171">
        <f t="shared" si="2"/>
        <v>1.6194331983805682E-2</v>
      </c>
      <c r="M60" s="170">
        <v>3069.1120000000001</v>
      </c>
      <c r="N60" s="170">
        <v>3082.808</v>
      </c>
      <c r="O60" s="171">
        <f t="shared" si="3"/>
        <v>4.4625285750405693E-3</v>
      </c>
      <c r="P60" s="184">
        <f t="shared" si="4"/>
        <v>1.1731803408765113E-2</v>
      </c>
      <c r="Q60" s="184">
        <f t="shared" si="5"/>
        <v>1.1731803408765113E-2</v>
      </c>
      <c r="R60" s="170">
        <f t="shared" si="6"/>
        <v>24993.776542932243</v>
      </c>
      <c r="S60" s="171">
        <f t="shared" si="7"/>
        <v>-6.9475583977702413E-2</v>
      </c>
      <c r="T60" s="171">
        <f t="shared" si="8"/>
        <v>-2.2515008719457479E-2</v>
      </c>
      <c r="U60" s="184">
        <f t="shared" si="9"/>
        <v>-4.696057525824493E-2</v>
      </c>
      <c r="V60" s="170">
        <f t="shared" si="10"/>
        <v>-106214.16118356641</v>
      </c>
      <c r="W60" s="170">
        <f t="shared" si="11"/>
        <v>-157137.99999999991</v>
      </c>
      <c r="X60" s="180">
        <f t="shared" si="15"/>
        <v>1.6194331983805682E-2</v>
      </c>
      <c r="Y60" s="168">
        <f t="shared" si="16"/>
        <v>4.4625285750405693E-3</v>
      </c>
      <c r="Z60" s="1">
        <f t="shared" si="12"/>
        <v>1.1731803408765113E-2</v>
      </c>
      <c r="AA60" s="1">
        <f t="shared" si="13"/>
        <v>1.1731803408765113E-2</v>
      </c>
      <c r="AB60" s="180">
        <f t="shared" si="17"/>
        <v>23717.85405008361</v>
      </c>
      <c r="AC60" s="1">
        <f t="shared" si="18"/>
        <v>-4.6245203903756769E-2</v>
      </c>
    </row>
    <row r="61" spans="1:29" x14ac:dyDescent="0.15">
      <c r="A61" s="56"/>
      <c r="B61" s="172">
        <v>42502</v>
      </c>
      <c r="C61" s="170" t="s">
        <v>29</v>
      </c>
      <c r="D61" s="170" t="s">
        <v>30</v>
      </c>
      <c r="E61" s="183">
        <v>2261773</v>
      </c>
      <c r="F61" s="183">
        <f t="shared" si="0"/>
        <v>2182895</v>
      </c>
      <c r="G61" s="170">
        <f t="shared" si="14"/>
        <v>2155422.9758814401</v>
      </c>
      <c r="H61" s="170">
        <f t="shared" si="1"/>
        <v>2230447.25097181</v>
      </c>
      <c r="I61" s="170">
        <v>279500</v>
      </c>
      <c r="J61" s="170">
        <v>7.53</v>
      </c>
      <c r="K61" s="170">
        <v>7.81</v>
      </c>
      <c r="L61" s="171">
        <f t="shared" si="2"/>
        <v>3.7184594953519168E-2</v>
      </c>
      <c r="M61" s="170">
        <v>3082.808</v>
      </c>
      <c r="N61" s="170">
        <v>3090.1370000000002</v>
      </c>
      <c r="O61" s="171">
        <f t="shared" si="3"/>
        <v>2.3773780267860268E-3</v>
      </c>
      <c r="P61" s="184">
        <f t="shared" si="4"/>
        <v>3.4807216926733144E-2</v>
      </c>
      <c r="Q61" s="184">
        <f t="shared" si="5"/>
        <v>3.4807216926733144E-2</v>
      </c>
      <c r="R61" s="170">
        <f t="shared" si="6"/>
        <v>75024.275090369993</v>
      </c>
      <c r="S61" s="171">
        <f t="shared" si="7"/>
        <v>-3.4874410473553316E-2</v>
      </c>
      <c r="T61" s="171">
        <f t="shared" si="8"/>
        <v>-2.0191157379673988E-2</v>
      </c>
      <c r="U61" s="184">
        <f t="shared" si="9"/>
        <v>-1.4683253093879328E-2</v>
      </c>
      <c r="V61" s="170">
        <f t="shared" si="10"/>
        <v>-33210.18539990273</v>
      </c>
      <c r="W61" s="170">
        <f t="shared" si="11"/>
        <v>-78878.000000000102</v>
      </c>
      <c r="X61" s="180">
        <f t="shared" si="15"/>
        <v>3.7184594953519168E-2</v>
      </c>
      <c r="Y61" s="168">
        <f t="shared" si="16"/>
        <v>2.3773780267860268E-3</v>
      </c>
      <c r="Z61" s="1">
        <f t="shared" si="12"/>
        <v>3.4807216926733144E-2</v>
      </c>
      <c r="AA61" s="1">
        <f t="shared" si="13"/>
        <v>3.4807216926733144E-2</v>
      </c>
      <c r="AB61" s="180">
        <f t="shared" si="17"/>
        <v>73003.975783663685</v>
      </c>
      <c r="AC61" s="1">
        <f t="shared" si="18"/>
        <v>-1.1437986977023626E-2</v>
      </c>
    </row>
    <row r="62" spans="1:29" x14ac:dyDescent="0.15">
      <c r="A62" s="56"/>
      <c r="B62" s="172">
        <v>42503</v>
      </c>
      <c r="C62" s="170" t="s">
        <v>29</v>
      </c>
      <c r="D62" s="170" t="s">
        <v>30</v>
      </c>
      <c r="E62" s="183">
        <v>2261773</v>
      </c>
      <c r="F62" s="183">
        <f t="shared" si="0"/>
        <v>2168920</v>
      </c>
      <c r="G62" s="170">
        <f t="shared" si="14"/>
        <v>2230447.25097181</v>
      </c>
      <c r="H62" s="170">
        <f t="shared" si="1"/>
        <v>2227140.5556666204</v>
      </c>
      <c r="I62" s="170">
        <v>279500</v>
      </c>
      <c r="J62" s="170">
        <v>7.81</v>
      </c>
      <c r="K62" s="170">
        <v>7.76</v>
      </c>
      <c r="L62" s="171">
        <f t="shared" si="2"/>
        <v>-6.4020486555697595E-3</v>
      </c>
      <c r="M62" s="170">
        <v>3090.1370000000002</v>
      </c>
      <c r="N62" s="170">
        <v>3074.9349999999999</v>
      </c>
      <c r="O62" s="171">
        <f t="shared" si="3"/>
        <v>-4.9195229855505517E-3</v>
      </c>
      <c r="P62" s="184">
        <f t="shared" si="4"/>
        <v>-1.4825256700192078E-3</v>
      </c>
      <c r="Q62" s="184">
        <f t="shared" si="5"/>
        <v>-1.4825256700192078E-3</v>
      </c>
      <c r="R62" s="170">
        <f t="shared" si="6"/>
        <v>-3306.695305189483</v>
      </c>
      <c r="S62" s="171">
        <f t="shared" si="7"/>
        <v>-4.1053191456437071E-2</v>
      </c>
      <c r="T62" s="171">
        <f t="shared" si="8"/>
        <v>-2.5011349502390364E-2</v>
      </c>
      <c r="U62" s="184">
        <f t="shared" si="9"/>
        <v>-1.6041841954046707E-2</v>
      </c>
      <c r="V62" s="170">
        <f t="shared" si="10"/>
        <v>-36283.005001930083</v>
      </c>
      <c r="W62" s="170">
        <f t="shared" si="11"/>
        <v>-92853.000000000044</v>
      </c>
      <c r="X62" s="180">
        <f t="shared" si="15"/>
        <v>-6.4020486555697595E-3</v>
      </c>
      <c r="Y62" s="168">
        <f t="shared" si="16"/>
        <v>-4.9195229855505517E-3</v>
      </c>
      <c r="Z62" s="1">
        <f t="shared" si="12"/>
        <v>-1.4825256700192078E-3</v>
      </c>
      <c r="AA62" s="1">
        <f t="shared" si="13"/>
        <v>-1.4825256700192078E-3</v>
      </c>
      <c r="AB62" s="180">
        <f t="shared" si="17"/>
        <v>-3072.8196020273535</v>
      </c>
      <c r="AC62" s="1">
        <f t="shared" si="18"/>
        <v>-1.2920512647042835E-2</v>
      </c>
    </row>
    <row r="63" spans="1:29" x14ac:dyDescent="0.15">
      <c r="B63" s="172">
        <v>42506</v>
      </c>
      <c r="C63" s="170" t="s">
        <v>29</v>
      </c>
      <c r="D63" s="170" t="s">
        <v>30</v>
      </c>
      <c r="E63" s="183">
        <v>2261773</v>
      </c>
      <c r="F63" s="183">
        <f t="shared" si="0"/>
        <v>2196870</v>
      </c>
      <c r="G63" s="170">
        <f t="shared" si="14"/>
        <v>2227140.5556666204</v>
      </c>
      <c r="H63" s="170">
        <f t="shared" si="1"/>
        <v>2241084.8876563907</v>
      </c>
      <c r="I63" s="170">
        <v>279500</v>
      </c>
      <c r="J63" s="170">
        <v>7.76</v>
      </c>
      <c r="K63" s="170">
        <v>7.86</v>
      </c>
      <c r="L63" s="171">
        <f t="shared" si="2"/>
        <v>1.2886597938144399E-2</v>
      </c>
      <c r="M63" s="170">
        <v>3074.9349999999999</v>
      </c>
      <c r="N63" s="170">
        <v>3095.308</v>
      </c>
      <c r="O63" s="171">
        <f t="shared" si="3"/>
        <v>6.6255059050028854E-3</v>
      </c>
      <c r="P63" s="184">
        <f t="shared" si="4"/>
        <v>6.2610920331415132E-3</v>
      </c>
      <c r="Q63" s="184">
        <f t="shared" si="5"/>
        <v>6.2610920331415132E-3</v>
      </c>
      <c r="R63" s="170">
        <f t="shared" si="6"/>
        <v>13944.331989770639</v>
      </c>
      <c r="S63" s="171">
        <f t="shared" si="7"/>
        <v>-2.8695629490669443E-2</v>
      </c>
      <c r="T63" s="171">
        <f t="shared" si="8"/>
        <v>-1.8551556441207658E-2</v>
      </c>
      <c r="U63" s="184">
        <f t="shared" si="9"/>
        <v>-1.0144073049461785E-2</v>
      </c>
      <c r="V63" s="170">
        <f t="shared" si="10"/>
        <v>-22943.590533300332</v>
      </c>
      <c r="W63" s="170">
        <f t="shared" si="11"/>
        <v>-64902.999999999898</v>
      </c>
      <c r="X63" s="180">
        <f t="shared" si="15"/>
        <v>1.2886597938144399E-2</v>
      </c>
      <c r="Y63" s="168">
        <f t="shared" si="16"/>
        <v>6.6255059050028854E-3</v>
      </c>
      <c r="Z63" s="1">
        <f t="shared" si="12"/>
        <v>6.2610920331415132E-3</v>
      </c>
      <c r="AA63" s="1">
        <f t="shared" si="13"/>
        <v>6.2610920331415132E-3</v>
      </c>
      <c r="AB63" s="180">
        <f t="shared" si="17"/>
        <v>13339.414468629751</v>
      </c>
      <c r="AC63" s="1">
        <f t="shared" si="18"/>
        <v>-6.6594206139013214E-3</v>
      </c>
    </row>
    <row r="64" spans="1:29" x14ac:dyDescent="0.15">
      <c r="B64" s="172">
        <v>42507</v>
      </c>
      <c r="C64" s="170" t="s">
        <v>29</v>
      </c>
      <c r="D64" s="170" t="s">
        <v>30</v>
      </c>
      <c r="E64" s="183">
        <v>2261773</v>
      </c>
      <c r="F64" s="183">
        <f t="shared" si="0"/>
        <v>2297490</v>
      </c>
      <c r="G64" s="170">
        <f t="shared" si="14"/>
        <v>2241084.8876563907</v>
      </c>
      <c r="H64" s="170">
        <f t="shared" si="1"/>
        <v>2350451.8586507631</v>
      </c>
      <c r="I64" s="170">
        <v>279500</v>
      </c>
      <c r="J64" s="170">
        <v>7.86</v>
      </c>
      <c r="K64" s="170">
        <v>8.2200000000000006</v>
      </c>
      <c r="L64" s="171">
        <f t="shared" si="2"/>
        <v>4.5801526717557293E-2</v>
      </c>
      <c r="M64" s="170">
        <v>3095.308</v>
      </c>
      <c r="N64" s="170">
        <v>3086.0239999999999</v>
      </c>
      <c r="O64" s="171">
        <f t="shared" si="3"/>
        <v>-2.9993784140383141E-3</v>
      </c>
      <c r="P64" s="184">
        <f t="shared" si="4"/>
        <v>4.8800905131595608E-2</v>
      </c>
      <c r="Q64" s="184">
        <f t="shared" si="5"/>
        <v>4.8800905131595608E-2</v>
      </c>
      <c r="R64" s="170">
        <f t="shared" si="6"/>
        <v>109366.97099437212</v>
      </c>
      <c r="S64" s="171">
        <f t="shared" si="7"/>
        <v>1.5791593586093826E-2</v>
      </c>
      <c r="T64" s="171">
        <f t="shared" si="8"/>
        <v>-2.1495291717309399E-2</v>
      </c>
      <c r="U64" s="184">
        <f t="shared" si="9"/>
        <v>3.7286885303403225E-2</v>
      </c>
      <c r="V64" s="170">
        <f t="shared" si="10"/>
        <v>84334.470433334223</v>
      </c>
      <c r="W64" s="170">
        <f t="shared" si="11"/>
        <v>35717.000000000189</v>
      </c>
      <c r="X64" s="180">
        <f t="shared" si="15"/>
        <v>4.5801526717557293E-2</v>
      </c>
      <c r="Y64" s="168">
        <f t="shared" si="16"/>
        <v>-2.9993784140383141E-3</v>
      </c>
      <c r="Z64" s="1">
        <f t="shared" si="12"/>
        <v>4.8800905131595608E-2</v>
      </c>
      <c r="AA64" s="1">
        <f t="shared" si="13"/>
        <v>4.8800905131595608E-2</v>
      </c>
      <c r="AB64" s="180">
        <f t="shared" si="17"/>
        <v>107278.06096663456</v>
      </c>
      <c r="AC64" s="1">
        <f t="shared" si="18"/>
        <v>4.2141484517694283E-2</v>
      </c>
    </row>
    <row r="65" spans="2:29" x14ac:dyDescent="0.15">
      <c r="B65" s="172">
        <v>42508</v>
      </c>
      <c r="C65" s="170" t="s">
        <v>29</v>
      </c>
      <c r="D65" s="170" t="s">
        <v>30</v>
      </c>
      <c r="E65" s="183">
        <v>2261773</v>
      </c>
      <c r="F65" s="183">
        <f t="shared" si="0"/>
        <v>2247179.9999999995</v>
      </c>
      <c r="G65" s="170">
        <f t="shared" si="14"/>
        <v>2350451.8586507631</v>
      </c>
      <c r="H65" s="170">
        <f t="shared" si="1"/>
        <v>2312679.5167546934</v>
      </c>
      <c r="I65" s="170">
        <v>279500</v>
      </c>
      <c r="J65" s="170">
        <v>8.2200000000000006</v>
      </c>
      <c r="K65" s="170">
        <v>8.0399999999999991</v>
      </c>
      <c r="L65" s="171">
        <f t="shared" si="2"/>
        <v>-2.1897810218978284E-2</v>
      </c>
      <c r="M65" s="170">
        <v>3086.0239999999999</v>
      </c>
      <c r="N65" s="170">
        <v>3068.04</v>
      </c>
      <c r="O65" s="171">
        <f t="shared" si="3"/>
        <v>-5.8275632334680236E-3</v>
      </c>
      <c r="P65" s="184">
        <f t="shared" si="4"/>
        <v>-1.607024698551026E-2</v>
      </c>
      <c r="Q65" s="184">
        <f t="shared" si="5"/>
        <v>-1.607024698551026E-2</v>
      </c>
      <c r="R65" s="170">
        <f t="shared" si="6"/>
        <v>-37772.341896069411</v>
      </c>
      <c r="S65" s="171">
        <f t="shared" si="7"/>
        <v>-6.4520179522879742E-3</v>
      </c>
      <c r="T65" s="171">
        <f t="shared" si="8"/>
        <v>-2.719758977907296E-2</v>
      </c>
      <c r="U65" s="184">
        <f t="shared" si="9"/>
        <v>2.0745571826784985E-2</v>
      </c>
      <c r="V65" s="170">
        <f t="shared" si="10"/>
        <v>46921.774227382957</v>
      </c>
      <c r="W65" s="170">
        <f t="shared" si="11"/>
        <v>-14593.000000000227</v>
      </c>
      <c r="X65" s="180">
        <f t="shared" si="15"/>
        <v>-2.1897810218978284E-2</v>
      </c>
      <c r="Y65" s="168">
        <f t="shared" si="16"/>
        <v>-5.8275632334680236E-3</v>
      </c>
      <c r="Z65" s="1">
        <f t="shared" si="12"/>
        <v>-1.607024698551026E-2</v>
      </c>
      <c r="AA65" s="1">
        <f t="shared" si="13"/>
        <v>-1.607024698551026E-2</v>
      </c>
      <c r="AB65" s="180">
        <f t="shared" si="17"/>
        <v>-37412.696205951266</v>
      </c>
      <c r="AC65" s="1">
        <f t="shared" si="18"/>
        <v>2.6071237532184023E-2</v>
      </c>
    </row>
    <row r="66" spans="2:29" x14ac:dyDescent="0.15">
      <c r="B66" s="172">
        <v>42509</v>
      </c>
      <c r="C66" s="170" t="s">
        <v>29</v>
      </c>
      <c r="D66" s="170" t="s">
        <v>30</v>
      </c>
      <c r="E66" s="183">
        <v>2261773</v>
      </c>
      <c r="F66" s="183">
        <f t="shared" si="0"/>
        <v>2216435</v>
      </c>
      <c r="G66" s="170">
        <f t="shared" si="14"/>
        <v>2312679.5167546934</v>
      </c>
      <c r="H66" s="170">
        <f t="shared" si="1"/>
        <v>2285214.4147725911</v>
      </c>
      <c r="I66" s="170">
        <v>279500</v>
      </c>
      <c r="J66" s="170">
        <v>8.0399999999999991</v>
      </c>
      <c r="K66" s="170">
        <v>7.93</v>
      </c>
      <c r="L66" s="171">
        <f t="shared" si="2"/>
        <v>-1.3681592039800926E-2</v>
      </c>
      <c r="M66" s="170">
        <v>3068.04</v>
      </c>
      <c r="N66" s="170">
        <v>3062.5</v>
      </c>
      <c r="O66" s="171">
        <f>(N66-M66)/M66</f>
        <v>-1.8057130937015045E-3</v>
      </c>
      <c r="P66" s="184">
        <f t="shared" si="4"/>
        <v>-1.187587894609942E-2</v>
      </c>
      <c r="Q66" s="184">
        <f t="shared" si="5"/>
        <v>-1.187587894609942E-2</v>
      </c>
      <c r="R66" s="170">
        <f t="shared" si="6"/>
        <v>-27465.101982102446</v>
      </c>
      <c r="S66" s="171">
        <f t="shared" si="7"/>
        <v>-2.0045336114632224E-2</v>
      </c>
      <c r="T66" s="171">
        <f t="shared" si="8"/>
        <v>-2.8954191828793271E-2</v>
      </c>
      <c r="U66" s="184">
        <f t="shared" si="9"/>
        <v>8.9088557141610465E-3</v>
      </c>
      <c r="V66" s="170">
        <f t="shared" si="10"/>
        <v>20149.809315185172</v>
      </c>
      <c r="W66" s="170">
        <f t="shared" si="11"/>
        <v>-45338.000000000073</v>
      </c>
      <c r="X66" s="180">
        <f t="shared" si="15"/>
        <v>-1.3681592039800926E-2</v>
      </c>
      <c r="Y66" s="168">
        <f t="shared" si="16"/>
        <v>-1.8057130937015045E-3</v>
      </c>
      <c r="Z66" s="1">
        <f t="shared" si="12"/>
        <v>-1.187587894609942E-2</v>
      </c>
      <c r="AA66" s="1">
        <f t="shared" si="13"/>
        <v>-1.187587894609942E-2</v>
      </c>
      <c r="AB66" s="180">
        <f t="shared" si="17"/>
        <v>-26771.964912197785</v>
      </c>
      <c r="AC66" s="1">
        <f t="shared" si="18"/>
        <v>1.4195358586084603E-2</v>
      </c>
    </row>
    <row r="67" spans="2:29" x14ac:dyDescent="0.15">
      <c r="B67" s="172">
        <v>42510</v>
      </c>
      <c r="C67" s="170" t="s">
        <v>29</v>
      </c>
      <c r="D67" s="170" t="s">
        <v>30</v>
      </c>
      <c r="E67" s="183">
        <v>2261773</v>
      </c>
      <c r="F67" s="183">
        <f t="shared" si="0"/>
        <v>2213640</v>
      </c>
      <c r="G67" s="170">
        <f t="shared" si="14"/>
        <v>2285214.4147725911</v>
      </c>
      <c r="H67" s="170">
        <f t="shared" si="1"/>
        <v>2270602.5360866529</v>
      </c>
      <c r="I67" s="170">
        <v>279500</v>
      </c>
      <c r="J67" s="170">
        <v>7.93</v>
      </c>
      <c r="K67" s="170">
        <v>7.92</v>
      </c>
      <c r="L67" s="171">
        <f t="shared" si="2"/>
        <v>-1.2610340479192669E-3</v>
      </c>
      <c r="M67" s="170">
        <v>3062.5</v>
      </c>
      <c r="N67" s="170">
        <v>3078.22</v>
      </c>
      <c r="O67" s="171">
        <f t="shared" si="3"/>
        <v>5.1330612244897302E-3</v>
      </c>
      <c r="P67" s="184">
        <f t="shared" si="4"/>
        <v>-6.3940952724089971E-3</v>
      </c>
      <c r="Q67" s="184">
        <f t="shared" si="5"/>
        <v>-6.3940952724089971E-3</v>
      </c>
      <c r="R67" s="170">
        <f t="shared" si="6"/>
        <v>-14611.878685938318</v>
      </c>
      <c r="S67" s="171">
        <f t="shared" si="7"/>
        <v>-2.1281092311208952E-2</v>
      </c>
      <c r="T67" s="171">
        <f t="shared" si="8"/>
        <v>-2.3969754243666357E-2</v>
      </c>
      <c r="U67" s="184">
        <f t="shared" si="9"/>
        <v>2.6886619324574049E-3</v>
      </c>
      <c r="V67" s="170">
        <f t="shared" si="10"/>
        <v>6081.1429649599822</v>
      </c>
      <c r="W67" s="170">
        <f t="shared" si="11"/>
        <v>-48133.000000000007</v>
      </c>
      <c r="X67" s="180">
        <f t="shared" si="15"/>
        <v>-1.2610340479192669E-3</v>
      </c>
      <c r="Y67" s="168">
        <f t="shared" si="16"/>
        <v>5.1330612244897302E-3</v>
      </c>
      <c r="Z67" s="1">
        <f t="shared" si="12"/>
        <v>-6.3940952724089971E-3</v>
      </c>
      <c r="AA67" s="1">
        <f t="shared" si="13"/>
        <v>-6.3940952724089971E-3</v>
      </c>
      <c r="AB67" s="180">
        <f t="shared" si="17"/>
        <v>-14068.66635022519</v>
      </c>
      <c r="AC67" s="1">
        <f t="shared" si="18"/>
        <v>7.8012633136756056E-3</v>
      </c>
    </row>
    <row r="68" spans="2:29" x14ac:dyDescent="0.15">
      <c r="B68" s="172">
        <v>42513</v>
      </c>
      <c r="C68" s="170" t="s">
        <v>29</v>
      </c>
      <c r="D68" s="170" t="s">
        <v>30</v>
      </c>
      <c r="E68" s="183">
        <v>2261773</v>
      </c>
      <c r="F68" s="183">
        <f t="shared" si="0"/>
        <v>2230410</v>
      </c>
      <c r="G68" s="170">
        <f t="shared" si="14"/>
        <v>2270602.5360866529</v>
      </c>
      <c r="H68" s="170">
        <f t="shared" si="1"/>
        <v>2281165.3562509278</v>
      </c>
      <c r="I68" s="170">
        <v>279500</v>
      </c>
      <c r="J68" s="170">
        <v>7.92</v>
      </c>
      <c r="K68" s="170">
        <v>7.98</v>
      </c>
      <c r="L68" s="171">
        <f t="shared" si="2"/>
        <v>7.5757575757576384E-3</v>
      </c>
      <c r="M68" s="170">
        <v>3078.22</v>
      </c>
      <c r="N68" s="170">
        <v>3087.22</v>
      </c>
      <c r="O68" s="171">
        <f t="shared" ref="O68:O90" si="19">(N68-M68)/M68</f>
        <v>2.9237676319431361E-3</v>
      </c>
      <c r="P68" s="184">
        <f t="shared" ref="P68:P90" si="20">L68-O68</f>
        <v>4.6519899438145027E-3</v>
      </c>
      <c r="Q68" s="184">
        <f t="shared" ref="Q68:Q90" si="21">P68</f>
        <v>4.6519899438145027E-3</v>
      </c>
      <c r="R68" s="170">
        <f t="shared" ref="R68:R90" si="22">G68*Q68</f>
        <v>10562.820164274815</v>
      </c>
      <c r="S68" s="171">
        <f t="shared" ref="S68:S91" si="23">(K68-$J$48)/$J$48</f>
        <v>-1.3866555131748354E-2</v>
      </c>
      <c r="T68" s="171">
        <f t="shared" ref="T68:T90" si="24">(N68-$M$48)/$M$48</f>
        <v>-2.1116068603326484E-2</v>
      </c>
      <c r="U68" s="184">
        <f t="shared" ref="U68:U90" si="25">S68-T68</f>
        <v>7.2495134715781298E-3</v>
      </c>
      <c r="V68" s="170">
        <f t="shared" ref="V68:V90" si="26">E68*U68</f>
        <v>16396.753833151681</v>
      </c>
      <c r="W68" s="170">
        <f t="shared" ref="W68:W89" si="27">E68*S68</f>
        <v>-31362.999999999873</v>
      </c>
      <c r="X68" s="180">
        <f t="shared" si="15"/>
        <v>7.5757575757576384E-3</v>
      </c>
      <c r="Y68" s="168">
        <f t="shared" si="16"/>
        <v>2.9237676319431361E-3</v>
      </c>
      <c r="Z68" s="1">
        <f t="shared" si="12"/>
        <v>4.6519899438145027E-3</v>
      </c>
      <c r="AA68" s="1">
        <f t="shared" si="13"/>
        <v>4.6519899438145027E-3</v>
      </c>
      <c r="AB68" s="180">
        <f t="shared" si="17"/>
        <v>10315.610868191699</v>
      </c>
      <c r="AC68" s="1">
        <f t="shared" si="18"/>
        <v>1.2453253257490108E-2</v>
      </c>
    </row>
    <row r="69" spans="2:29" x14ac:dyDescent="0.15">
      <c r="B69" s="172">
        <v>42514</v>
      </c>
      <c r="C69" s="170" t="s">
        <v>29</v>
      </c>
      <c r="D69" s="170" t="s">
        <v>30</v>
      </c>
      <c r="E69" s="183">
        <v>2261773</v>
      </c>
      <c r="F69" s="183">
        <f t="shared" si="0"/>
        <v>2174510</v>
      </c>
      <c r="G69" s="170">
        <f t="shared" si="14"/>
        <v>2281165.3562509278</v>
      </c>
      <c r="H69" s="170">
        <f t="shared" si="1"/>
        <v>2241475.8079523626</v>
      </c>
      <c r="I69" s="170">
        <v>279500</v>
      </c>
      <c r="J69" s="170">
        <v>7.98</v>
      </c>
      <c r="K69" s="170">
        <v>7.78</v>
      </c>
      <c r="L69" s="171">
        <f t="shared" si="2"/>
        <v>-2.5062656641604029E-2</v>
      </c>
      <c r="M69" s="170">
        <v>3087.22</v>
      </c>
      <c r="N69" s="170">
        <v>3063.56</v>
      </c>
      <c r="O69" s="171">
        <f t="shared" si="19"/>
        <v>-7.6638529162158372E-3</v>
      </c>
      <c r="P69" s="184">
        <f t="shared" si="20"/>
        <v>-1.7398803725388191E-2</v>
      </c>
      <c r="Q69" s="184">
        <f t="shared" si="21"/>
        <v>-1.7398803725388191E-2</v>
      </c>
      <c r="R69" s="170">
        <f t="shared" si="22"/>
        <v>-39689.548298565125</v>
      </c>
      <c r="S69" s="171">
        <f t="shared" si="23"/>
        <v>-3.8581679063283504E-2</v>
      </c>
      <c r="T69" s="171">
        <f t="shared" si="24"/>
        <v>-2.8618091075597703E-2</v>
      </c>
      <c r="U69" s="184">
        <f t="shared" si="25"/>
        <v>-9.9635879876858006E-3</v>
      </c>
      <c r="V69" s="170">
        <f t="shared" si="26"/>
        <v>-22535.374293672077</v>
      </c>
      <c r="W69" s="170">
        <f t="shared" si="27"/>
        <v>-87262.999999999927</v>
      </c>
      <c r="X69" s="180">
        <f t="shared" si="15"/>
        <v>-2.5062656641604029E-2</v>
      </c>
      <c r="Y69" s="168">
        <f t="shared" si="16"/>
        <v>-7.6638529162158372E-3</v>
      </c>
      <c r="Z69" s="1">
        <f t="shared" si="12"/>
        <v>-1.7398803725388191E-2</v>
      </c>
      <c r="AA69" s="1">
        <f t="shared" si="13"/>
        <v>-1.7398803725388191E-2</v>
      </c>
      <c r="AB69" s="180">
        <f t="shared" si="17"/>
        <v>-38932.128126823758</v>
      </c>
      <c r="AC69" s="1">
        <f t="shared" si="18"/>
        <v>-4.9455504678980831E-3</v>
      </c>
    </row>
    <row r="70" spans="2:29" x14ac:dyDescent="0.15">
      <c r="B70" s="172">
        <v>42515</v>
      </c>
      <c r="C70" s="170" t="s">
        <v>29</v>
      </c>
      <c r="D70" s="170" t="s">
        <v>30</v>
      </c>
      <c r="E70" s="183">
        <v>2261773</v>
      </c>
      <c r="F70" s="183">
        <f t="shared" si="0"/>
        <v>2182895</v>
      </c>
      <c r="G70" s="170">
        <f t="shared" ref="G70" si="28">G69*(1+Q69)</f>
        <v>2241475.8079523626</v>
      </c>
      <c r="H70" s="170">
        <f t="shared" ref="H70" si="29">G70*(1+Q70)</f>
        <v>2253287.1066460749</v>
      </c>
      <c r="I70" s="170">
        <v>279500</v>
      </c>
      <c r="J70" s="183">
        <v>7.78</v>
      </c>
      <c r="K70" s="183">
        <v>7.81</v>
      </c>
      <c r="L70" s="191">
        <f t="shared" si="2"/>
        <v>3.856041131105316E-3</v>
      </c>
      <c r="M70" s="183">
        <v>3063.56</v>
      </c>
      <c r="N70" s="183">
        <v>3059.23</v>
      </c>
      <c r="O70" s="191">
        <f t="shared" si="19"/>
        <v>-1.4133883455848513E-3</v>
      </c>
      <c r="P70" s="192">
        <f t="shared" si="20"/>
        <v>5.2694294766901673E-3</v>
      </c>
      <c r="Q70" s="192">
        <f t="shared" si="21"/>
        <v>5.2694294766901673E-3</v>
      </c>
      <c r="R70" s="170">
        <f t="shared" si="22"/>
        <v>11811.298693712088</v>
      </c>
      <c r="S70" s="57">
        <f t="shared" si="23"/>
        <v>-3.4874410473553316E-2</v>
      </c>
      <c r="T70" s="57">
        <f t="shared" si="24"/>
        <v>-2.999103094478342E-2</v>
      </c>
      <c r="U70" s="192">
        <f t="shared" si="25"/>
        <v>-4.8833795287698961E-3</v>
      </c>
      <c r="V70" s="183">
        <f t="shared" si="26"/>
        <v>-11045.095966924475</v>
      </c>
      <c r="W70" s="183">
        <f t="shared" si="27"/>
        <v>-78878.000000000102</v>
      </c>
      <c r="X70" s="180">
        <f t="shared" si="15"/>
        <v>3.856041131105316E-3</v>
      </c>
      <c r="Y70" s="168">
        <f t="shared" si="16"/>
        <v>-1.4133883455848513E-3</v>
      </c>
      <c r="Z70" s="1">
        <f t="shared" si="12"/>
        <v>5.2694294766901673E-3</v>
      </c>
      <c r="AA70" s="1">
        <f t="shared" si="13"/>
        <v>5.2694294766901673E-3</v>
      </c>
      <c r="AB70" s="180">
        <f t="shared" si="17"/>
        <v>11490.278326747602</v>
      </c>
      <c r="AC70" s="1">
        <f t="shared" si="18"/>
        <v>3.2387900879208426E-4</v>
      </c>
    </row>
    <row r="71" spans="2:29" x14ac:dyDescent="0.15">
      <c r="B71" s="172">
        <v>42516</v>
      </c>
      <c r="C71" s="170" t="s">
        <v>29</v>
      </c>
      <c r="D71" s="170" t="s">
        <v>30</v>
      </c>
      <c r="E71" s="183">
        <v>2261773</v>
      </c>
      <c r="F71" s="183">
        <f t="shared" si="0"/>
        <v>2283515</v>
      </c>
      <c r="G71" s="170">
        <f t="shared" ref="G71" si="30">G70*(1+Q70)</f>
        <v>2253287.1066460749</v>
      </c>
      <c r="H71" s="170">
        <f t="shared" ref="H71" si="31">G71*(1+Q71)</f>
        <v>2353483.7759127626</v>
      </c>
      <c r="I71" s="170">
        <v>279500</v>
      </c>
      <c r="J71" s="183">
        <v>7.81</v>
      </c>
      <c r="K71" s="183">
        <v>8.17</v>
      </c>
      <c r="L71" s="191">
        <f t="shared" si="2"/>
        <v>4.6094750320102476E-2</v>
      </c>
      <c r="M71" s="183">
        <v>3059.23</v>
      </c>
      <c r="N71" s="183">
        <v>3064.21</v>
      </c>
      <c r="O71" s="191">
        <f t="shared" si="19"/>
        <v>1.6278606054464745E-3</v>
      </c>
      <c r="P71" s="192">
        <f t="shared" si="20"/>
        <v>4.4466889714656004E-2</v>
      </c>
      <c r="Q71" s="192">
        <f t="shared" si="21"/>
        <v>4.4466889714656004E-2</v>
      </c>
      <c r="R71" s="170">
        <f t="shared" si="22"/>
        <v>100196.66926668733</v>
      </c>
      <c r="S71" s="57">
        <f t="shared" si="23"/>
        <v>9.612812603209956E-3</v>
      </c>
      <c r="T71" s="57">
        <f t="shared" si="24"/>
        <v>-2.8411991557128684E-2</v>
      </c>
      <c r="U71" s="192">
        <f t="shared" si="25"/>
        <v>3.8024804160338641E-2</v>
      </c>
      <c r="V71" s="183">
        <f t="shared" si="26"/>
        <v>86003.475380141608</v>
      </c>
      <c r="W71" s="183">
        <f t="shared" si="27"/>
        <v>21741.999999999993</v>
      </c>
      <c r="X71" s="180">
        <f t="shared" si="15"/>
        <v>4.6094750320102476E-2</v>
      </c>
      <c r="Y71" s="168">
        <f t="shared" si="16"/>
        <v>1.6278606054464745E-3</v>
      </c>
      <c r="Z71" s="1">
        <f t="shared" si="12"/>
        <v>4.4466889714656004E-2</v>
      </c>
      <c r="AA71" s="1">
        <f t="shared" si="13"/>
        <v>4.4466889714656004E-2</v>
      </c>
      <c r="AB71" s="180">
        <f t="shared" si="17"/>
        <v>97048.571347066085</v>
      </c>
      <c r="AC71" s="1">
        <f t="shared" si="18"/>
        <v>4.4790768723448088E-2</v>
      </c>
    </row>
    <row r="72" spans="2:29" x14ac:dyDescent="0.15">
      <c r="B72" s="172">
        <v>42517</v>
      </c>
      <c r="C72" s="170" t="s">
        <v>29</v>
      </c>
      <c r="D72" s="170" t="s">
        <v>30</v>
      </c>
      <c r="E72" s="183">
        <v>2261773</v>
      </c>
      <c r="F72" s="183">
        <f t="shared" si="0"/>
        <v>2258360</v>
      </c>
      <c r="G72" s="170">
        <f t="shared" ref="G72" si="32">G71*(1+Q71)</f>
        <v>2353483.7759127626</v>
      </c>
      <c r="H72" s="170">
        <f t="shared" ref="H72" si="33">G72*(1+Q72)</f>
        <v>2328871.3811896904</v>
      </c>
      <c r="I72" s="170">
        <v>279500</v>
      </c>
      <c r="J72" s="183">
        <v>8.17</v>
      </c>
      <c r="K72" s="183">
        <v>8.08</v>
      </c>
      <c r="L72" s="191">
        <f t="shared" si="2"/>
        <v>-1.1015911872705002E-2</v>
      </c>
      <c r="M72" s="183">
        <v>3064.21</v>
      </c>
      <c r="N72" s="183">
        <v>3062.5</v>
      </c>
      <c r="O72" s="191">
        <f t="shared" si="19"/>
        <v>-5.5805574683198483E-4</v>
      </c>
      <c r="P72" s="192">
        <f t="shared" si="20"/>
        <v>-1.0457856125873017E-2</v>
      </c>
      <c r="Q72" s="192">
        <f t="shared" si="21"/>
        <v>-1.0457856125873017E-2</v>
      </c>
      <c r="R72" s="170">
        <f t="shared" si="22"/>
        <v>-24612.394723072044</v>
      </c>
      <c r="S72" s="57">
        <f t="shared" si="23"/>
        <v>-1.5089931659808343E-3</v>
      </c>
      <c r="T72" s="57">
        <f t="shared" si="24"/>
        <v>-2.8954191828793271E-2</v>
      </c>
      <c r="U72" s="192">
        <f t="shared" si="25"/>
        <v>2.7445198662812437E-2</v>
      </c>
      <c r="V72" s="183">
        <f t="shared" si="26"/>
        <v>62074.809315185274</v>
      </c>
      <c r="W72" s="183">
        <f t="shared" si="27"/>
        <v>-3412.9999999999695</v>
      </c>
      <c r="X72" s="180">
        <f t="shared" si="15"/>
        <v>-1.1015911872705002E-2</v>
      </c>
      <c r="Y72" s="168">
        <f t="shared" si="16"/>
        <v>-5.5805574683198483E-4</v>
      </c>
      <c r="Z72" s="1">
        <f t="shared" si="12"/>
        <v>-1.0457856125873017E-2</v>
      </c>
      <c r="AA72" s="1">
        <f t="shared" si="13"/>
        <v>-1.0457856125873017E-2</v>
      </c>
      <c r="AB72" s="180">
        <f t="shared" si="17"/>
        <v>-23928.666064956335</v>
      </c>
      <c r="AC72" s="1">
        <f t="shared" si="18"/>
        <v>3.4332912597575073E-2</v>
      </c>
    </row>
    <row r="73" spans="2:29" x14ac:dyDescent="0.15">
      <c r="B73" s="172">
        <v>42520</v>
      </c>
      <c r="C73" s="170" t="s">
        <v>29</v>
      </c>
      <c r="D73" s="170" t="s">
        <v>30</v>
      </c>
      <c r="E73" s="183">
        <v>2261773</v>
      </c>
      <c r="F73" s="183">
        <f t="shared" si="0"/>
        <v>2247179.9999999995</v>
      </c>
      <c r="G73" s="170">
        <f t="shared" ref="G73" si="34">G72*(1+Q72)</f>
        <v>2328871.3811896904</v>
      </c>
      <c r="H73" s="170">
        <f t="shared" ref="H73" si="35">G73*(1+Q73)</f>
        <v>2314140.8297168515</v>
      </c>
      <c r="I73" s="170">
        <v>279500</v>
      </c>
      <c r="J73" s="183">
        <v>8.08</v>
      </c>
      <c r="K73" s="183">
        <v>8.0399999999999991</v>
      </c>
      <c r="L73" s="191">
        <f t="shared" si="2"/>
        <v>-4.950495049505065E-3</v>
      </c>
      <c r="M73" s="183">
        <v>3062.5</v>
      </c>
      <c r="N73" s="183">
        <v>3066.71</v>
      </c>
      <c r="O73" s="191">
        <f t="shared" si="19"/>
        <v>1.3746938775510322E-3</v>
      </c>
      <c r="P73" s="192">
        <f t="shared" si="20"/>
        <v>-6.3251889270560975E-3</v>
      </c>
      <c r="Q73" s="192">
        <f t="shared" si="21"/>
        <v>-6.3251889270560975E-3</v>
      </c>
      <c r="R73" s="170">
        <f t="shared" si="22"/>
        <v>-14730.55147283887</v>
      </c>
      <c r="S73" s="57">
        <f t="shared" si="23"/>
        <v>-6.4520179522879742E-3</v>
      </c>
      <c r="T73" s="57">
        <f t="shared" si="24"/>
        <v>-2.761930110147872E-2</v>
      </c>
      <c r="U73" s="192">
        <f t="shared" si="25"/>
        <v>2.1167283149190745E-2</v>
      </c>
      <c r="V73" s="183">
        <f t="shared" si="26"/>
        <v>47875.589510194601</v>
      </c>
      <c r="W73" s="183">
        <f t="shared" si="27"/>
        <v>-14593.000000000227</v>
      </c>
      <c r="X73" s="180">
        <f t="shared" si="15"/>
        <v>-4.950495049505065E-3</v>
      </c>
      <c r="Y73" s="168">
        <f t="shared" si="16"/>
        <v>1.3746938775510322E-3</v>
      </c>
      <c r="Z73" s="1">
        <f t="shared" si="12"/>
        <v>-6.3251889270560975E-3</v>
      </c>
      <c r="AA73" s="1">
        <f t="shared" si="13"/>
        <v>-6.3251889270560975E-3</v>
      </c>
      <c r="AB73" s="180">
        <f t="shared" si="17"/>
        <v>-14199.219804990673</v>
      </c>
      <c r="AC73" s="1">
        <f t="shared" si="18"/>
        <v>2.8007723670518975E-2</v>
      </c>
    </row>
    <row r="74" spans="2:29" x14ac:dyDescent="0.15">
      <c r="B74" s="172">
        <v>42521</v>
      </c>
      <c r="C74" s="170" t="s">
        <v>29</v>
      </c>
      <c r="D74" s="170" t="s">
        <v>30</v>
      </c>
      <c r="E74" s="183">
        <v>2261773</v>
      </c>
      <c r="F74" s="183">
        <f t="shared" si="0"/>
        <v>2317054.9999999995</v>
      </c>
      <c r="G74" s="170">
        <f t="shared" ref="G74" si="36">G73*(1+Q73)</f>
        <v>2314140.8297168515</v>
      </c>
      <c r="H74" s="170">
        <f t="shared" ref="H74" si="37">G74*(1+Q74)</f>
        <v>2308487.2859792379</v>
      </c>
      <c r="I74" s="170">
        <v>279500</v>
      </c>
      <c r="J74" s="183">
        <v>8.0399999999999991</v>
      </c>
      <c r="K74" s="183">
        <v>8.2899999999999991</v>
      </c>
      <c r="L74" s="191">
        <f t="shared" si="2"/>
        <v>3.1094527363184084E-2</v>
      </c>
      <c r="M74" s="183">
        <v>3066.71</v>
      </c>
      <c r="N74" s="183">
        <v>3169.56</v>
      </c>
      <c r="O74" s="191">
        <f t="shared" si="19"/>
        <v>3.3537569577821155E-2</v>
      </c>
      <c r="P74" s="192">
        <f t="shared" si="20"/>
        <v>-2.4430422146370714E-3</v>
      </c>
      <c r="Q74" s="192">
        <f t="shared" si="21"/>
        <v>-2.4430422146370714E-3</v>
      </c>
      <c r="R74" s="170">
        <f t="shared" si="22"/>
        <v>-5653.5437376135269</v>
      </c>
      <c r="S74" s="57">
        <f t="shared" si="23"/>
        <v>2.4441886962130937E-2</v>
      </c>
      <c r="T74" s="57">
        <f t="shared" si="24"/>
        <v>4.9919842439607983E-3</v>
      </c>
      <c r="U74" s="192">
        <f t="shared" si="25"/>
        <v>1.9449902718170139E-2</v>
      </c>
      <c r="V74" s="183">
        <f t="shared" si="26"/>
        <v>43991.264820583834</v>
      </c>
      <c r="W74" s="183">
        <f t="shared" si="27"/>
        <v>55281.999999999774</v>
      </c>
      <c r="X74" s="180">
        <f t="shared" si="15"/>
        <v>3.1094527363184084E-2</v>
      </c>
      <c r="Y74" s="168">
        <f t="shared" si="16"/>
        <v>3.3537569577821155E-2</v>
      </c>
      <c r="Z74" s="1">
        <f t="shared" si="12"/>
        <v>-2.4430422146370714E-3</v>
      </c>
      <c r="AA74" s="1">
        <f t="shared" si="13"/>
        <v>-2.4430422146370714E-3</v>
      </c>
      <c r="AB74" s="180">
        <f>R74</f>
        <v>-5653.5437376135269</v>
      </c>
      <c r="AC74" s="1">
        <f t="shared" si="18"/>
        <v>2.5564681455881904E-2</v>
      </c>
    </row>
    <row r="75" spans="2:29" x14ac:dyDescent="0.15">
      <c r="B75" s="172">
        <v>42522</v>
      </c>
      <c r="C75" s="170" t="s">
        <v>29</v>
      </c>
      <c r="D75" s="170" t="s">
        <v>30</v>
      </c>
      <c r="E75" s="183">
        <v>2261773</v>
      </c>
      <c r="F75" s="183">
        <f t="shared" si="0"/>
        <v>2303080</v>
      </c>
      <c r="G75" s="170">
        <f t="shared" ref="G75" si="38">G74*(1+Q74)</f>
        <v>2308487.2859792379</v>
      </c>
      <c r="H75" s="170">
        <f t="shared" ref="H75" si="39">G75*(1+Q75)</f>
        <v>2301126.2189670829</v>
      </c>
      <c r="I75" s="170">
        <v>279500</v>
      </c>
      <c r="J75" s="183">
        <v>8.2899999999999991</v>
      </c>
      <c r="K75" s="183">
        <v>8.24</v>
      </c>
      <c r="L75" s="191">
        <f t="shared" si="2"/>
        <v>-6.0313630880577734E-3</v>
      </c>
      <c r="M75" s="183">
        <v>3169.56</v>
      </c>
      <c r="N75" s="183">
        <v>3160.55</v>
      </c>
      <c r="O75" s="191">
        <f t="shared" si="19"/>
        <v>-2.8426658589835066E-3</v>
      </c>
      <c r="P75" s="192">
        <f t="shared" si="20"/>
        <v>-3.1886972290742668E-3</v>
      </c>
      <c r="Q75" s="192">
        <f t="shared" si="21"/>
        <v>-3.1886972290742668E-3</v>
      </c>
      <c r="R75" s="170">
        <f t="shared" si="22"/>
        <v>-7361.0670121551702</v>
      </c>
      <c r="S75" s="57">
        <f t="shared" si="23"/>
        <v>1.8263105979247286E-2</v>
      </c>
      <c r="T75" s="57">
        <f t="shared" si="24"/>
        <v>2.1351278417984006E-3</v>
      </c>
      <c r="U75" s="192">
        <f t="shared" si="25"/>
        <v>1.6127978137448887E-2</v>
      </c>
      <c r="V75" s="183">
        <f t="shared" si="26"/>
        <v>36477.825495872181</v>
      </c>
      <c r="W75" s="183">
        <f t="shared" si="27"/>
        <v>41307.000000000073</v>
      </c>
      <c r="X75" s="180">
        <f t="shared" ref="X75" si="40">(K75-K74)/K74</f>
        <v>-6.0313630880577734E-3</v>
      </c>
      <c r="Y75" s="168">
        <f t="shared" ref="Y75" si="41">(N75-N74)/N74</f>
        <v>-2.8426658589835066E-3</v>
      </c>
      <c r="Z75" s="1">
        <f t="shared" ref="Z75" si="42">X75-Y75</f>
        <v>-3.1886972290742668E-3</v>
      </c>
      <c r="AA75" s="1">
        <f t="shared" ref="AA75" si="43">Z75</f>
        <v>-3.1886972290742668E-3</v>
      </c>
      <c r="AB75" s="180">
        <f t="shared" ref="AB75:AB76" si="44">R75</f>
        <v>-7361.0670121551702</v>
      </c>
      <c r="AC75" s="1">
        <f t="shared" ref="AC75" si="45">AA75+AC74</f>
        <v>2.2375984226807637E-2</v>
      </c>
    </row>
    <row r="76" spans="2:29" x14ac:dyDescent="0.15">
      <c r="B76" s="172">
        <v>42523</v>
      </c>
      <c r="C76" s="170" t="s">
        <v>29</v>
      </c>
      <c r="D76" s="170" t="s">
        <v>30</v>
      </c>
      <c r="E76" s="183">
        <v>2261773</v>
      </c>
      <c r="F76" s="183">
        <f t="shared" ref="F76:F77" si="46">K76*I76</f>
        <v>2291900</v>
      </c>
      <c r="G76" s="170">
        <f t="shared" ref="G76" si="47">G75*(1+Q75)</f>
        <v>2301126.2189670829</v>
      </c>
      <c r="H76" s="170">
        <f t="shared" ref="H76" si="48">G76*(1+Q76)</f>
        <v>2285186.7938998765</v>
      </c>
      <c r="I76" s="170">
        <v>279500</v>
      </c>
      <c r="J76" s="183">
        <v>8.24</v>
      </c>
      <c r="K76" s="183">
        <v>8.1999999999999993</v>
      </c>
      <c r="L76" s="191">
        <f t="shared" si="2"/>
        <v>-4.8543689320389473E-3</v>
      </c>
      <c r="M76" s="183">
        <v>3160.55</v>
      </c>
      <c r="N76" s="183">
        <v>3167.1</v>
      </c>
      <c r="O76" s="191">
        <f t="shared" si="19"/>
        <v>2.0724241033996385E-3</v>
      </c>
      <c r="P76" s="192">
        <f t="shared" si="20"/>
        <v>-6.9267930354385858E-3</v>
      </c>
      <c r="Q76" s="192">
        <f t="shared" si="21"/>
        <v>-6.9267930354385858E-3</v>
      </c>
      <c r="R76" s="170">
        <f t="shared" si="22"/>
        <v>-15939.425067206315</v>
      </c>
      <c r="S76" s="57">
        <f t="shared" si="23"/>
        <v>1.3320081192940146E-2</v>
      </c>
      <c r="T76" s="57">
        <f t="shared" si="24"/>
        <v>4.211976835601222E-3</v>
      </c>
      <c r="U76" s="192">
        <f t="shared" si="25"/>
        <v>9.1081043573389246E-3</v>
      </c>
      <c r="V76" s="183">
        <f t="shared" si="26"/>
        <v>20600.464516611533</v>
      </c>
      <c r="W76" s="183">
        <f t="shared" si="27"/>
        <v>30126.999999999811</v>
      </c>
      <c r="X76" s="180">
        <f t="shared" ref="X76" si="49">(K76-K75)/K75</f>
        <v>-4.8543689320389473E-3</v>
      </c>
      <c r="Y76" s="168">
        <f t="shared" ref="Y76" si="50">(N76-N75)/N75</f>
        <v>2.0724241033996385E-3</v>
      </c>
      <c r="Z76" s="1">
        <f t="shared" ref="Z76" si="51">X76-Y76</f>
        <v>-6.9267930354385858E-3</v>
      </c>
      <c r="AA76" s="1">
        <f t="shared" ref="AA76" si="52">Z76</f>
        <v>-6.9267930354385858E-3</v>
      </c>
      <c r="AB76" s="180">
        <f t="shared" si="44"/>
        <v>-15939.425067206315</v>
      </c>
      <c r="AC76" s="1">
        <f t="shared" ref="AC76" si="53">AA76+AC75</f>
        <v>1.544919119136905E-2</v>
      </c>
    </row>
    <row r="77" spans="2:29" x14ac:dyDescent="0.15">
      <c r="B77" s="172">
        <v>42524</v>
      </c>
      <c r="C77" s="170" t="s">
        <v>29</v>
      </c>
      <c r="D77" s="170" t="s">
        <v>30</v>
      </c>
      <c r="E77" s="183">
        <v>2261773</v>
      </c>
      <c r="F77" s="183">
        <f t="shared" si="46"/>
        <v>2280720</v>
      </c>
      <c r="G77" s="170">
        <f t="shared" ref="G77" si="54">G76*(1+Q76)</f>
        <v>2285186.7938998765</v>
      </c>
      <c r="H77" s="170">
        <f t="shared" ref="H77" si="55">G77*(1+Q77)</f>
        <v>2257999.7248757696</v>
      </c>
      <c r="I77" s="170">
        <v>279500</v>
      </c>
      <c r="J77" s="183">
        <v>8.1999999999999993</v>
      </c>
      <c r="K77" s="183">
        <v>8.16</v>
      </c>
      <c r="L77" s="191">
        <f t="shared" si="2"/>
        <v>-4.8780487804877017E-3</v>
      </c>
      <c r="M77" s="183">
        <v>3167.1</v>
      </c>
      <c r="N77" s="183">
        <v>3189.33</v>
      </c>
      <c r="O77" s="191">
        <f t="shared" si="19"/>
        <v>7.0190394998579202E-3</v>
      </c>
      <c r="P77" s="192">
        <f t="shared" si="20"/>
        <v>-1.1897088280345622E-2</v>
      </c>
      <c r="Q77" s="192">
        <f t="shared" si="21"/>
        <v>-1.1897088280345622E-2</v>
      </c>
      <c r="R77" s="170">
        <f t="shared" si="22"/>
        <v>-27187.069024106808</v>
      </c>
      <c r="S77" s="57">
        <f t="shared" si="23"/>
        <v>8.3770564066332261E-3</v>
      </c>
      <c r="T77" s="57">
        <f t="shared" si="24"/>
        <v>1.1260580367240713E-2</v>
      </c>
      <c r="U77" s="192">
        <f t="shared" si="25"/>
        <v>-2.8835239606074866E-3</v>
      </c>
      <c r="V77" s="183">
        <f t="shared" si="26"/>
        <v>-6521.8766389550765</v>
      </c>
      <c r="W77" s="183">
        <f t="shared" si="27"/>
        <v>18947.000000000051</v>
      </c>
      <c r="X77" s="180">
        <f t="shared" ref="X77" si="56">(K77-K76)/K76</f>
        <v>-4.8780487804877017E-3</v>
      </c>
      <c r="Y77" s="168">
        <f t="shared" ref="Y77:Y78" si="57">(N77-N76)/N76</f>
        <v>7.0190394998579202E-3</v>
      </c>
      <c r="Z77" s="1">
        <f t="shared" ref="Z77" si="58">X77-Y77</f>
        <v>-1.1897088280345622E-2</v>
      </c>
      <c r="AA77" s="1">
        <f t="shared" ref="AA77" si="59">Z77</f>
        <v>-1.1897088280345622E-2</v>
      </c>
      <c r="AB77" s="180">
        <f t="shared" ref="AB77" si="60">R77</f>
        <v>-27187.069024106808</v>
      </c>
      <c r="AC77" s="1">
        <f t="shared" ref="AC77" si="61">AA77+AC76</f>
        <v>3.5521029110234283E-3</v>
      </c>
    </row>
    <row r="78" spans="2:29" x14ac:dyDescent="0.15">
      <c r="B78" s="172">
        <v>42527</v>
      </c>
      <c r="C78" s="170" t="s">
        <v>29</v>
      </c>
      <c r="D78" s="170" t="s">
        <v>30</v>
      </c>
      <c r="E78" s="183">
        <v>2261773</v>
      </c>
      <c r="F78" s="183">
        <f t="shared" ref="F78:F91" si="62">K78*I78</f>
        <v>2300285</v>
      </c>
      <c r="G78" s="170">
        <f t="shared" ref="G78" si="63">G77*(1+Q77)</f>
        <v>2257999.7248757696</v>
      </c>
      <c r="H78" s="170">
        <f t="shared" ref="H78" si="64">G78*(1+Q78)</f>
        <v>2284831.9888159563</v>
      </c>
      <c r="I78" s="170">
        <v>279500</v>
      </c>
      <c r="J78" s="183">
        <v>8.16</v>
      </c>
      <c r="K78" s="183">
        <v>8.23</v>
      </c>
      <c r="L78" s="191">
        <f t="shared" si="2"/>
        <v>8.5784313725490551E-3</v>
      </c>
      <c r="M78" s="183">
        <v>3189.33</v>
      </c>
      <c r="N78" s="183">
        <v>3178.79</v>
      </c>
      <c r="O78" s="191">
        <f t="shared" si="19"/>
        <v>-3.3047693402689479E-3</v>
      </c>
      <c r="P78" s="192">
        <f t="shared" si="20"/>
        <v>1.1883200712818003E-2</v>
      </c>
      <c r="Q78" s="192">
        <f t="shared" si="21"/>
        <v>1.1883200712818003E-2</v>
      </c>
      <c r="R78" s="170">
        <f t="shared" si="22"/>
        <v>26832.2639401866</v>
      </c>
      <c r="S78" s="57">
        <f t="shared" si="23"/>
        <v>1.7027349782670554E-2</v>
      </c>
      <c r="T78" s="57">
        <f t="shared" si="24"/>
        <v>7.9185974062204734E-3</v>
      </c>
      <c r="U78" s="192">
        <f t="shared" si="25"/>
        <v>9.1087523764500807E-3</v>
      </c>
      <c r="V78" s="183">
        <f t="shared" si="26"/>
        <v>20601.930188740629</v>
      </c>
      <c r="W78" s="183">
        <f t="shared" si="27"/>
        <v>38512.000000000124</v>
      </c>
      <c r="X78" s="180">
        <f t="shared" ref="X78" si="65">(K78-K77)/K77</f>
        <v>8.5784313725490551E-3</v>
      </c>
      <c r="Y78" s="168">
        <f t="shared" si="57"/>
        <v>-3.3047693402689479E-3</v>
      </c>
      <c r="Z78" s="1">
        <f t="shared" ref="Z78" si="66">X78-Y78</f>
        <v>1.1883200712818003E-2</v>
      </c>
      <c r="AA78" s="1">
        <f t="shared" ref="AA78" si="67">Z78</f>
        <v>1.1883200712818003E-2</v>
      </c>
      <c r="AB78" s="180">
        <f t="shared" ref="AB78" si="68">R78</f>
        <v>26832.2639401866</v>
      </c>
      <c r="AC78" s="1">
        <f t="shared" ref="AC78" si="69">AA78+AC77</f>
        <v>1.5435303623841431E-2</v>
      </c>
    </row>
    <row r="79" spans="2:29" x14ac:dyDescent="0.15">
      <c r="B79" s="172">
        <v>42528</v>
      </c>
      <c r="C79" s="170" t="s">
        <v>29</v>
      </c>
      <c r="D79" s="170" t="s">
        <v>30</v>
      </c>
      <c r="E79" s="183">
        <v>2261773</v>
      </c>
      <c r="F79" s="183">
        <f t="shared" si="62"/>
        <v>2305875</v>
      </c>
      <c r="G79" s="170">
        <f t="shared" ref="G79" si="70">G78*(1+Q78)</f>
        <v>2284831.9888159563</v>
      </c>
      <c r="H79" s="170">
        <f t="shared" ref="H79" si="71">G79*(1+Q79)</f>
        <v>2291635.1029043053</v>
      </c>
      <c r="I79" s="170">
        <v>279500</v>
      </c>
      <c r="J79" s="183">
        <v>8.23</v>
      </c>
      <c r="K79" s="183">
        <v>8.25</v>
      </c>
      <c r="L79" s="191">
        <f t="shared" si="2"/>
        <v>2.4301336573511025E-3</v>
      </c>
      <c r="M79" s="183">
        <v>3178.79</v>
      </c>
      <c r="N79" s="183">
        <v>3177.05</v>
      </c>
      <c r="O79" s="191">
        <f t="shared" si="19"/>
        <v>-5.4737809040540013E-4</v>
      </c>
      <c r="P79" s="192">
        <f t="shared" si="20"/>
        <v>2.9775117477565025E-3</v>
      </c>
      <c r="Q79" s="192">
        <f t="shared" si="21"/>
        <v>2.9775117477565025E-3</v>
      </c>
      <c r="R79" s="170">
        <f t="shared" si="22"/>
        <v>6803.1140883493636</v>
      </c>
      <c r="S79" s="57">
        <f t="shared" si="23"/>
        <v>1.9498862175824017E-2</v>
      </c>
      <c r="T79" s="57">
        <f t="shared" si="24"/>
        <v>7.3668848490881676E-3</v>
      </c>
      <c r="U79" s="192">
        <f t="shared" si="25"/>
        <v>1.2131977326735849E-2</v>
      </c>
      <c r="V79" s="183">
        <f t="shared" si="26"/>
        <v>27439.77875422332</v>
      </c>
      <c r="W79" s="183">
        <f t="shared" si="27"/>
        <v>44102.000000000015</v>
      </c>
      <c r="X79" s="180">
        <f t="shared" ref="X79" si="72">(K79-K78)/K78</f>
        <v>2.4301336573511025E-3</v>
      </c>
      <c r="Y79" s="168">
        <f t="shared" ref="Y79" si="73">(N79-N78)/N78</f>
        <v>-5.4737809040540013E-4</v>
      </c>
      <c r="Z79" s="1">
        <f t="shared" ref="Z79" si="74">X79-Y79</f>
        <v>2.9775117477565025E-3</v>
      </c>
      <c r="AA79" s="1">
        <f t="shared" ref="AA79" si="75">Z79</f>
        <v>2.9775117477565025E-3</v>
      </c>
      <c r="AB79" s="180">
        <f t="shared" ref="AB79:AB80" si="76">R79</f>
        <v>6803.1140883493636</v>
      </c>
      <c r="AC79" s="1">
        <f t="shared" ref="AC79:AC80" si="77">AA79+AC78</f>
        <v>1.8412815371597932E-2</v>
      </c>
    </row>
    <row r="80" spans="2:29" x14ac:dyDescent="0.15">
      <c r="B80" s="172">
        <v>42529</v>
      </c>
      <c r="C80" s="170" t="s">
        <v>29</v>
      </c>
      <c r="D80" s="170" t="s">
        <v>30</v>
      </c>
      <c r="E80" s="183">
        <v>2261773</v>
      </c>
      <c r="F80" s="183">
        <f t="shared" si="62"/>
        <v>2406495</v>
      </c>
      <c r="G80" s="170">
        <f t="shared" ref="G80" si="78">G79*(1+Q79)</f>
        <v>2291635.1029043053</v>
      </c>
      <c r="H80" s="170">
        <f t="shared" ref="H80" si="79">G80*(1+Q80)</f>
        <v>2401054.0225324524</v>
      </c>
      <c r="I80" s="170">
        <v>279500</v>
      </c>
      <c r="J80" s="183">
        <v>8.25</v>
      </c>
      <c r="K80" s="183">
        <v>8.61</v>
      </c>
      <c r="L80" s="191">
        <f t="shared" si="2"/>
        <v>4.363636363636357E-2</v>
      </c>
      <c r="M80" s="183">
        <v>3177.05</v>
      </c>
      <c r="N80" s="183">
        <v>3163.99</v>
      </c>
      <c r="O80" s="191">
        <f t="shared" si="19"/>
        <v>-4.1107316535781303E-3</v>
      </c>
      <c r="P80" s="192">
        <f t="shared" si="20"/>
        <v>4.7747095289941699E-2</v>
      </c>
      <c r="Q80" s="192">
        <f t="shared" si="21"/>
        <v>4.7747095289941699E-2</v>
      </c>
      <c r="R80" s="183">
        <f t="shared" si="22"/>
        <v>109418.91962814721</v>
      </c>
      <c r="S80" s="57">
        <f t="shared" si="23"/>
        <v>6.3986085252587172E-2</v>
      </c>
      <c r="T80" s="57">
        <f t="shared" si="24"/>
        <v>3.225869908772625E-3</v>
      </c>
      <c r="U80" s="192">
        <f t="shared" si="25"/>
        <v>6.0760215343814546E-2</v>
      </c>
      <c r="V80" s="183">
        <f t="shared" si="26"/>
        <v>137425.81453882545</v>
      </c>
      <c r="W80" s="183">
        <f t="shared" si="27"/>
        <v>144721.99999999985</v>
      </c>
      <c r="X80" s="180">
        <f t="shared" ref="X80" si="80">(K80-K79)/K79</f>
        <v>4.363636363636357E-2</v>
      </c>
      <c r="Y80" s="168">
        <f t="shared" ref="Y80" si="81">(N80-N79)/N79</f>
        <v>-4.1107316535781303E-3</v>
      </c>
      <c r="Z80" s="1">
        <f t="shared" ref="Z80" si="82">X80-Y80</f>
        <v>4.7747095289941699E-2</v>
      </c>
      <c r="AA80" s="1">
        <f t="shared" ref="AA80" si="83">Z80</f>
        <v>4.7747095289941699E-2</v>
      </c>
      <c r="AB80">
        <f t="shared" si="76"/>
        <v>109418.91962814721</v>
      </c>
      <c r="AC80" s="1">
        <f t="shared" si="77"/>
        <v>6.6159910661539631E-2</v>
      </c>
    </row>
    <row r="81" spans="1:29" x14ac:dyDescent="0.15">
      <c r="B81" s="172">
        <v>42534</v>
      </c>
      <c r="C81" s="170" t="s">
        <v>29</v>
      </c>
      <c r="D81" s="170" t="s">
        <v>30</v>
      </c>
      <c r="E81" s="183">
        <v>2261773</v>
      </c>
      <c r="F81" s="183">
        <f t="shared" si="62"/>
        <v>2249975</v>
      </c>
      <c r="G81" s="170">
        <f t="shared" ref="G81" si="84">G80*(1+Q80)</f>
        <v>2401054.0225324524</v>
      </c>
      <c r="H81" s="170">
        <f t="shared" ref="H81" si="85">G81*(1+Q81)</f>
        <v>2318991.4680346325</v>
      </c>
      <c r="I81" s="170">
        <v>279500</v>
      </c>
      <c r="J81" s="183">
        <v>8.61</v>
      </c>
      <c r="K81" s="183">
        <v>8.0500000000000007</v>
      </c>
      <c r="L81" s="191">
        <f t="shared" si="2"/>
        <v>-6.5040650406503919E-2</v>
      </c>
      <c r="M81" s="183">
        <v>3163.99</v>
      </c>
      <c r="N81" s="183">
        <v>3066.34</v>
      </c>
      <c r="O81" s="191">
        <f t="shared" si="19"/>
        <v>-3.0862929402431627E-2</v>
      </c>
      <c r="P81" s="192">
        <f t="shared" si="20"/>
        <v>-3.4177721004072292E-2</v>
      </c>
      <c r="Q81" s="192">
        <f t="shared" si="21"/>
        <v>-3.4177721004072292E-2</v>
      </c>
      <c r="R81" s="183">
        <f t="shared" si="22"/>
        <v>-82062.55449781967</v>
      </c>
      <c r="S81" s="57">
        <f t="shared" si="23"/>
        <v>-5.216261755711024E-3</v>
      </c>
      <c r="T81" s="57">
        <f t="shared" si="24"/>
        <v>-2.7736619288914879E-2</v>
      </c>
      <c r="U81" s="192">
        <f t="shared" si="25"/>
        <v>2.2520357533203854E-2</v>
      </c>
      <c r="V81" s="183">
        <f t="shared" si="26"/>
        <v>50935.936618947082</v>
      </c>
      <c r="W81" s="183">
        <f t="shared" si="27"/>
        <v>-11797.999999999789</v>
      </c>
      <c r="X81" s="180">
        <f t="shared" ref="X81" si="86">(K81-K80)/K80</f>
        <v>-6.5040650406503919E-2</v>
      </c>
      <c r="Y81" s="168">
        <f t="shared" ref="Y81" si="87">(N81-N80)/N80</f>
        <v>-3.0862929402431627E-2</v>
      </c>
      <c r="Z81" s="1">
        <f t="shared" ref="Z81" si="88">X81-Y81</f>
        <v>-3.4177721004072292E-2</v>
      </c>
      <c r="AA81" s="1">
        <f t="shared" ref="AA81" si="89">Z81</f>
        <v>-3.4177721004072292E-2</v>
      </c>
      <c r="AB81" s="180">
        <f t="shared" ref="AB81" si="90">R81</f>
        <v>-82062.55449781967</v>
      </c>
      <c r="AC81" s="1">
        <f t="shared" ref="AC81" si="91">AA81+AC80</f>
        <v>3.1982189657467339E-2</v>
      </c>
    </row>
    <row r="82" spans="1:29" x14ac:dyDescent="0.15">
      <c r="B82" s="172">
        <v>42535</v>
      </c>
      <c r="C82" s="170" t="s">
        <v>29</v>
      </c>
      <c r="D82" s="170" t="s">
        <v>30</v>
      </c>
      <c r="E82" s="183">
        <v>2261773</v>
      </c>
      <c r="F82" s="183">
        <f t="shared" si="62"/>
        <v>2185690</v>
      </c>
      <c r="G82" s="170">
        <f t="shared" ref="G82" si="92">G81*(1+Q81)</f>
        <v>2318991.4680346325</v>
      </c>
      <c r="H82" s="170">
        <f t="shared" ref="H82" si="93">G82*(1+Q82)</f>
        <v>2245444.0930868522</v>
      </c>
      <c r="I82" s="170">
        <v>279500</v>
      </c>
      <c r="J82" s="183">
        <v>8.0500000000000007</v>
      </c>
      <c r="K82" s="183">
        <v>7.82</v>
      </c>
      <c r="L82" s="191">
        <f t="shared" si="2"/>
        <v>-2.8571428571428623E-2</v>
      </c>
      <c r="M82" s="183">
        <v>3066.34</v>
      </c>
      <c r="N82" s="183">
        <v>3075.98</v>
      </c>
      <c r="O82" s="191">
        <f t="shared" si="19"/>
        <v>3.1438131453132632E-3</v>
      </c>
      <c r="P82" s="192">
        <f t="shared" si="20"/>
        <v>-3.1715241716741886E-2</v>
      </c>
      <c r="Q82" s="192">
        <f t="shared" si="21"/>
        <v>-3.1715241716741886E-2</v>
      </c>
      <c r="R82" s="183">
        <f t="shared" si="22"/>
        <v>-73547.374947780481</v>
      </c>
      <c r="S82" s="57">
        <f t="shared" si="23"/>
        <v>-3.3638654276976473E-2</v>
      </c>
      <c r="T82" s="57">
        <f t="shared" si="24"/>
        <v>-2.4680004891928658E-2</v>
      </c>
      <c r="U82" s="192">
        <f t="shared" si="25"/>
        <v>-8.9586493850478156E-3</v>
      </c>
      <c r="V82" s="183">
        <f t="shared" si="26"/>
        <v>-20262.431295567752</v>
      </c>
      <c r="W82" s="183">
        <f t="shared" si="27"/>
        <v>-76082.999999999913</v>
      </c>
      <c r="X82" s="180">
        <f t="shared" ref="X82" si="94">(K82-K81)/K81</f>
        <v>-2.8571428571428623E-2</v>
      </c>
      <c r="Y82" s="168">
        <f t="shared" ref="Y82" si="95">(N82-N81)/N81</f>
        <v>3.1438131453132632E-3</v>
      </c>
      <c r="Z82" s="1">
        <f t="shared" ref="Z82" si="96">X82-Y82</f>
        <v>-3.1715241716741886E-2</v>
      </c>
      <c r="AA82" s="1">
        <f t="shared" ref="AA82" si="97">Z82</f>
        <v>-3.1715241716741886E-2</v>
      </c>
      <c r="AB82" s="180">
        <f t="shared" ref="AB82" si="98">R82</f>
        <v>-73547.374947780481</v>
      </c>
      <c r="AC82" s="1">
        <f t="shared" ref="AC82" si="99">AA82+AC81</f>
        <v>2.6694794072545242E-4</v>
      </c>
    </row>
    <row r="83" spans="1:29" x14ac:dyDescent="0.15">
      <c r="B83" s="172">
        <v>42536</v>
      </c>
      <c r="C83" s="170" t="s">
        <v>29</v>
      </c>
      <c r="D83" s="170" t="s">
        <v>30</v>
      </c>
      <c r="E83" s="183">
        <v>2261773</v>
      </c>
      <c r="F83" s="183">
        <f t="shared" si="62"/>
        <v>2236000</v>
      </c>
      <c r="G83" s="170">
        <f t="shared" ref="G83" si="100">G82*(1+Q82)</f>
        <v>2245444.0930868522</v>
      </c>
      <c r="H83" s="170">
        <f t="shared" ref="H83" si="101">G83*(1+Q83)</f>
        <v>2267645.0867704959</v>
      </c>
      <c r="I83" s="170">
        <v>279500</v>
      </c>
      <c r="J83" s="183">
        <v>7.82</v>
      </c>
      <c r="K83" s="183">
        <v>8</v>
      </c>
      <c r="L83" s="191">
        <f t="shared" si="2"/>
        <v>2.3017902813299195E-2</v>
      </c>
      <c r="M83" s="183">
        <v>3075.98</v>
      </c>
      <c r="N83" s="183">
        <v>3116.37</v>
      </c>
      <c r="O83" s="191">
        <f t="shared" si="19"/>
        <v>1.3130774582409467E-2</v>
      </c>
      <c r="P83" s="192">
        <f t="shared" si="20"/>
        <v>9.8871282308897277E-3</v>
      </c>
      <c r="Q83" s="192">
        <f t="shared" si="21"/>
        <v>9.8871282308897277E-3</v>
      </c>
      <c r="R83" s="183">
        <f t="shared" si="22"/>
        <v>22200.993683643599</v>
      </c>
      <c r="S83" s="57">
        <f t="shared" si="23"/>
        <v>-1.1395042738594895E-2</v>
      </c>
      <c r="T83" s="57">
        <f t="shared" si="24"/>
        <v>-1.1873297890447868E-2</v>
      </c>
      <c r="U83" s="192">
        <f t="shared" si="25"/>
        <v>4.7825515185297325E-4</v>
      </c>
      <c r="V83" s="183">
        <f t="shared" si="26"/>
        <v>1081.7045895719548</v>
      </c>
      <c r="W83" s="183">
        <f t="shared" si="27"/>
        <v>-25772.999999999989</v>
      </c>
      <c r="X83" s="180">
        <f t="shared" ref="X83" si="102">(K83-K82)/K82</f>
        <v>2.3017902813299195E-2</v>
      </c>
      <c r="Y83" s="168">
        <f t="shared" ref="Y83" si="103">(N83-N82)/N82</f>
        <v>1.3130774582409467E-2</v>
      </c>
      <c r="Z83" s="1">
        <f t="shared" ref="Z83" si="104">X83-Y83</f>
        <v>9.8871282308897277E-3</v>
      </c>
      <c r="AA83" s="1">
        <f t="shared" ref="AA83" si="105">Z83</f>
        <v>9.8871282308897277E-3</v>
      </c>
      <c r="AB83" s="180">
        <f t="shared" ref="AB83" si="106">R83</f>
        <v>22200.993683643599</v>
      </c>
      <c r="AC83" s="1">
        <f t="shared" ref="AC83" si="107">AA83+AC82</f>
        <v>1.015407617161518E-2</v>
      </c>
    </row>
    <row r="84" spans="1:29" x14ac:dyDescent="0.15">
      <c r="B84" s="172">
        <v>42537</v>
      </c>
      <c r="C84" s="170" t="s">
        <v>29</v>
      </c>
      <c r="D84" s="170" t="s">
        <v>30</v>
      </c>
      <c r="E84" s="183">
        <v>2261773</v>
      </c>
      <c r="F84" s="183">
        <f t="shared" si="62"/>
        <v>2202460</v>
      </c>
      <c r="G84" s="170">
        <f t="shared" ref="G84" si="108">G83*(1+Q83)</f>
        <v>2267645.0867704959</v>
      </c>
      <c r="H84" s="170">
        <f t="shared" ref="H84" si="109">G84*(1+Q84)</f>
        <v>2249413.2674249648</v>
      </c>
      <c r="I84" s="170">
        <v>279500</v>
      </c>
      <c r="J84" s="183">
        <v>8</v>
      </c>
      <c r="K84" s="183">
        <v>7.88</v>
      </c>
      <c r="L84" s="191">
        <f t="shared" si="2"/>
        <v>-1.5000000000000013E-2</v>
      </c>
      <c r="M84" s="183">
        <v>3116.37</v>
      </c>
      <c r="N84" s="183">
        <v>3094.68</v>
      </c>
      <c r="O84" s="191">
        <f t="shared" si="19"/>
        <v>-6.9600207934231353E-3</v>
      </c>
      <c r="P84" s="192">
        <f t="shared" si="20"/>
        <v>-8.039979206576878E-3</v>
      </c>
      <c r="Q84" s="192">
        <f t="shared" si="21"/>
        <v>-8.039979206576878E-3</v>
      </c>
      <c r="R84" s="183">
        <f t="shared" si="22"/>
        <v>-18231.819345531007</v>
      </c>
      <c r="S84" s="57">
        <f t="shared" si="23"/>
        <v>-2.6224117097515983E-2</v>
      </c>
      <c r="T84" s="57">
        <f t="shared" si="24"/>
        <v>-1.8750680283666978E-2</v>
      </c>
      <c r="U84" s="192">
        <f t="shared" si="25"/>
        <v>-7.4734368138490055E-3</v>
      </c>
      <c r="V84" s="183">
        <f t="shared" si="26"/>
        <v>-16903.217602769706</v>
      </c>
      <c r="W84" s="183">
        <f t="shared" si="27"/>
        <v>-59313.000000000015</v>
      </c>
      <c r="X84" s="180">
        <f t="shared" ref="X84" si="110">(K84-K83)/K83</f>
        <v>-1.5000000000000013E-2</v>
      </c>
      <c r="Y84" s="168">
        <f t="shared" ref="Y84" si="111">(N84-N83)/N83</f>
        <v>-6.9600207934231353E-3</v>
      </c>
      <c r="Z84" s="1">
        <f t="shared" ref="Z84" si="112">X84-Y84</f>
        <v>-8.039979206576878E-3</v>
      </c>
      <c r="AA84" s="1">
        <f t="shared" ref="AA84" si="113">Z84</f>
        <v>-8.039979206576878E-3</v>
      </c>
      <c r="AB84" s="180">
        <f t="shared" ref="AB84" si="114">R84</f>
        <v>-18231.819345531007</v>
      </c>
      <c r="AC84" s="1">
        <f t="shared" ref="AC84" si="115">AA84+AC83</f>
        <v>2.1140969650383021E-3</v>
      </c>
    </row>
    <row r="85" spans="1:29" x14ac:dyDescent="0.15">
      <c r="B85" s="172">
        <v>42538</v>
      </c>
      <c r="C85" s="170" t="s">
        <v>29</v>
      </c>
      <c r="D85" s="170" t="s">
        <v>30</v>
      </c>
      <c r="E85" s="183">
        <v>2261773</v>
      </c>
      <c r="F85" s="183">
        <f t="shared" si="62"/>
        <v>2180100</v>
      </c>
      <c r="G85" s="170">
        <f t="shared" ref="G85" si="116">G84*(1+Q84)</f>
        <v>2249413.2674249648</v>
      </c>
      <c r="H85" s="170">
        <f t="shared" ref="H85" si="117">G85*(1+Q85)</f>
        <v>2215179.3479483267</v>
      </c>
      <c r="I85" s="170">
        <v>279500</v>
      </c>
      <c r="J85" s="183">
        <v>7.88</v>
      </c>
      <c r="K85" s="183">
        <v>7.8</v>
      </c>
      <c r="L85" s="191">
        <f t="shared" si="2"/>
        <v>-1.01522842639594E-2</v>
      </c>
      <c r="M85" s="183">
        <v>3094.68</v>
      </c>
      <c r="N85" s="183">
        <v>3110.36</v>
      </c>
      <c r="O85" s="191">
        <f t="shared" si="19"/>
        <v>5.0667597296005697E-3</v>
      </c>
      <c r="P85" s="192">
        <f t="shared" si="20"/>
        <v>-1.521904399355997E-2</v>
      </c>
      <c r="Q85" s="192">
        <f t="shared" si="21"/>
        <v>-1.521904399355997E-2</v>
      </c>
      <c r="R85" s="183">
        <f t="shared" si="22"/>
        <v>-34233.919476638017</v>
      </c>
      <c r="S85" s="57">
        <f t="shared" si="23"/>
        <v>-3.6110166670130041E-2</v>
      </c>
      <c r="T85" s="57">
        <f t="shared" si="24"/>
        <v>-1.3778925745830308E-2</v>
      </c>
      <c r="U85" s="192">
        <f t="shared" si="25"/>
        <v>-2.2331240924299733E-2</v>
      </c>
      <c r="V85" s="183">
        <f t="shared" si="26"/>
        <v>-50508.197779076181</v>
      </c>
      <c r="W85" s="183">
        <f t="shared" si="27"/>
        <v>-81673.000000000029</v>
      </c>
      <c r="X85" s="180">
        <f t="shared" ref="X85" si="118">(K85-K84)/K84</f>
        <v>-1.01522842639594E-2</v>
      </c>
      <c r="Y85" s="168">
        <f t="shared" ref="Y85" si="119">(N85-N84)/N84</f>
        <v>5.0667597296005697E-3</v>
      </c>
      <c r="Z85" s="1">
        <f t="shared" ref="Z85" si="120">X85-Y85</f>
        <v>-1.521904399355997E-2</v>
      </c>
      <c r="AA85" s="1">
        <f t="shared" ref="AA85" si="121">Z85</f>
        <v>-1.521904399355997E-2</v>
      </c>
      <c r="AB85" s="180">
        <f t="shared" ref="AB85" si="122">R85</f>
        <v>-34233.919476638017</v>
      </c>
      <c r="AC85" s="1">
        <f t="shared" ref="AC85" si="123">AA85+AC84</f>
        <v>-1.3104947028521668E-2</v>
      </c>
    </row>
    <row r="86" spans="1:29" x14ac:dyDescent="0.15">
      <c r="B86" s="172">
        <v>42541</v>
      </c>
      <c r="C86" s="170" t="s">
        <v>29</v>
      </c>
      <c r="D86" s="170" t="s">
        <v>30</v>
      </c>
      <c r="E86" s="183">
        <v>2261773</v>
      </c>
      <c r="F86" s="183">
        <f t="shared" si="62"/>
        <v>2185690</v>
      </c>
      <c r="G86" s="170">
        <f t="shared" ref="G86" si="124">G85*(1+Q85)</f>
        <v>2215179.3479483267</v>
      </c>
      <c r="H86" s="170">
        <f t="shared" ref="H86" si="125">G86*(1+Q86)</f>
        <v>2219214.1271379711</v>
      </c>
      <c r="I86" s="170">
        <v>279500</v>
      </c>
      <c r="J86" s="183">
        <v>7.8</v>
      </c>
      <c r="K86" s="183">
        <v>7.82</v>
      </c>
      <c r="L86" s="191">
        <f t="shared" si="2"/>
        <v>2.5641025641026235E-3</v>
      </c>
      <c r="M86" s="183">
        <v>3110.36</v>
      </c>
      <c r="N86" s="183">
        <v>3112.67</v>
      </c>
      <c r="O86" s="191">
        <f t="shared" si="19"/>
        <v>7.4267930400337748E-4</v>
      </c>
      <c r="P86" s="192">
        <f t="shared" si="20"/>
        <v>1.8214232600992459E-3</v>
      </c>
      <c r="Q86" s="192">
        <f t="shared" si="21"/>
        <v>1.8214232600992459E-3</v>
      </c>
      <c r="R86" s="183">
        <f t="shared" si="22"/>
        <v>4034.7791896445633</v>
      </c>
      <c r="S86" s="57">
        <f t="shared" si="23"/>
        <v>-3.3638654276976473E-2</v>
      </c>
      <c r="T86" s="57">
        <f t="shared" si="24"/>
        <v>-1.3046479764809757E-2</v>
      </c>
      <c r="U86" s="192">
        <f t="shared" si="25"/>
        <v>-2.0592174512166717E-2</v>
      </c>
      <c r="V86" s="183">
        <f t="shared" si="26"/>
        <v>-46574.824322906854</v>
      </c>
      <c r="W86" s="183">
        <f t="shared" si="27"/>
        <v>-76082.999999999913</v>
      </c>
      <c r="X86" s="180">
        <f t="shared" ref="X86" si="126">(K86-K85)/K85</f>
        <v>2.5641025641026235E-3</v>
      </c>
      <c r="Y86" s="168">
        <f t="shared" ref="Y86" si="127">(N86-N85)/N85</f>
        <v>7.4267930400337748E-4</v>
      </c>
      <c r="Z86" s="1">
        <f t="shared" ref="Z86" si="128">X86-Y86</f>
        <v>1.8214232600992459E-3</v>
      </c>
      <c r="AA86" s="1">
        <f t="shared" ref="AA86" si="129">Z86</f>
        <v>1.8214232600992459E-3</v>
      </c>
      <c r="AB86" s="180">
        <f t="shared" ref="AB86" si="130">R86</f>
        <v>4034.7791896445633</v>
      </c>
      <c r="AC86" s="1">
        <f t="shared" ref="AC86" si="131">AA86+AC85</f>
        <v>-1.1283523768422423E-2</v>
      </c>
    </row>
    <row r="87" spans="1:29" x14ac:dyDescent="0.15">
      <c r="B87" s="172">
        <v>42542</v>
      </c>
      <c r="C87" s="170" t="s">
        <v>29</v>
      </c>
      <c r="D87" s="170" t="s">
        <v>30</v>
      </c>
      <c r="E87" s="183">
        <v>2261773</v>
      </c>
      <c r="F87" s="183">
        <f t="shared" si="62"/>
        <v>2171715</v>
      </c>
      <c r="G87" s="170">
        <f t="shared" ref="G87" si="132">G86*(1+Q86)</f>
        <v>2219214.1271379711</v>
      </c>
      <c r="H87" s="170">
        <f t="shared" ref="H87" si="133">G87*(1+Q87)</f>
        <v>2209552.084544057</v>
      </c>
      <c r="I87" s="170">
        <v>279500</v>
      </c>
      <c r="J87" s="183">
        <v>7.82</v>
      </c>
      <c r="K87" s="183">
        <v>7.77</v>
      </c>
      <c r="L87" s="191">
        <f t="shared" si="2"/>
        <v>-6.3938618925832112E-3</v>
      </c>
      <c r="M87" s="183">
        <v>3112.67</v>
      </c>
      <c r="N87" s="183">
        <v>3106.32</v>
      </c>
      <c r="O87" s="191">
        <f t="shared" si="19"/>
        <v>-2.0400492181952821E-3</v>
      </c>
      <c r="P87" s="192">
        <f t="shared" si="20"/>
        <v>-4.3538126743879295E-3</v>
      </c>
      <c r="Q87" s="192">
        <f t="shared" si="21"/>
        <v>-4.3538126743879295E-3</v>
      </c>
      <c r="R87" s="183">
        <f t="shared" si="22"/>
        <v>-9662.0425939140441</v>
      </c>
      <c r="S87" s="57">
        <f t="shared" si="23"/>
        <v>-3.9817435259860347E-2</v>
      </c>
      <c r="T87" s="57">
        <f t="shared" si="24"/>
        <v>-1.5059913522160639E-2</v>
      </c>
      <c r="U87" s="192">
        <f t="shared" si="25"/>
        <v>-2.4757521737699708E-2</v>
      </c>
      <c r="V87" s="183">
        <f t="shared" si="26"/>
        <v>-55995.894213242282</v>
      </c>
      <c r="W87" s="183">
        <f t="shared" si="27"/>
        <v>-90058.000000000116</v>
      </c>
      <c r="X87" s="180">
        <f t="shared" ref="X87" si="134">(K87-K86)/K86</f>
        <v>-6.3938618925832112E-3</v>
      </c>
      <c r="Y87" s="168">
        <f t="shared" ref="Y87" si="135">(N87-N86)/N86</f>
        <v>-2.0400492181952821E-3</v>
      </c>
      <c r="Z87" s="1">
        <f t="shared" ref="Z87" si="136">X87-Y87</f>
        <v>-4.3538126743879295E-3</v>
      </c>
      <c r="AA87" s="1">
        <f t="shared" ref="AA87" si="137">Z87</f>
        <v>-4.3538126743879295E-3</v>
      </c>
      <c r="AB87" s="180">
        <f t="shared" ref="AB87" si="138">R87</f>
        <v>-9662.0425939140441</v>
      </c>
      <c r="AC87" s="1">
        <f t="shared" ref="AC87" si="139">AA87+AC86</f>
        <v>-1.5637336442810353E-2</v>
      </c>
    </row>
    <row r="88" spans="1:29" x14ac:dyDescent="0.15">
      <c r="B88" s="172">
        <v>42543</v>
      </c>
      <c r="C88" s="170" t="s">
        <v>29</v>
      </c>
      <c r="D88" s="170" t="s">
        <v>30</v>
      </c>
      <c r="E88" s="183">
        <v>2261773</v>
      </c>
      <c r="F88" s="183">
        <f t="shared" si="62"/>
        <v>2191280</v>
      </c>
      <c r="G88" s="170">
        <f t="shared" ref="G88" si="140">G87*(1+Q87)</f>
        <v>2209552.084544057</v>
      </c>
      <c r="H88" s="170">
        <f t="shared" ref="H88" si="141">G88*(1+Q88)</f>
        <v>2209797.3898831881</v>
      </c>
      <c r="I88" s="170">
        <v>279500</v>
      </c>
      <c r="J88" s="183">
        <v>7.77</v>
      </c>
      <c r="K88" s="183">
        <v>7.84</v>
      </c>
      <c r="L88" s="191">
        <f t="shared" si="2"/>
        <v>9.0090090090090454E-3</v>
      </c>
      <c r="M88" s="183">
        <v>3106.32</v>
      </c>
      <c r="N88" s="183">
        <v>3133.96</v>
      </c>
      <c r="O88" s="191">
        <f t="shared" si="19"/>
        <v>8.8979886167554756E-3</v>
      </c>
      <c r="P88" s="192">
        <f t="shared" si="20"/>
        <v>1.1102039225356977E-4</v>
      </c>
      <c r="Q88" s="192">
        <f t="shared" si="21"/>
        <v>1.1102039225356977E-4</v>
      </c>
      <c r="R88" s="183">
        <f t="shared" si="22"/>
        <v>245.30533913077397</v>
      </c>
      <c r="S88" s="57">
        <f t="shared" si="23"/>
        <v>-3.1167141883823014E-2</v>
      </c>
      <c r="T88" s="57">
        <f t="shared" si="24"/>
        <v>-6.2959278444946701E-3</v>
      </c>
      <c r="U88" s="192">
        <f t="shared" si="25"/>
        <v>-2.4871214039328342E-2</v>
      </c>
      <c r="V88" s="183">
        <f t="shared" si="26"/>
        <v>-56253.040391373783</v>
      </c>
      <c r="W88" s="183">
        <f t="shared" si="27"/>
        <v>-70493.000000000029</v>
      </c>
      <c r="X88" s="180">
        <f t="shared" ref="X88" si="142">(K88-K87)/K87</f>
        <v>9.0090090090090454E-3</v>
      </c>
      <c r="Y88" s="168">
        <f t="shared" ref="Y88" si="143">(N88-N87)/N87</f>
        <v>8.8979886167554756E-3</v>
      </c>
      <c r="Z88" s="1">
        <f t="shared" ref="Z88" si="144">X88-Y88</f>
        <v>1.1102039225356977E-4</v>
      </c>
      <c r="AA88" s="1">
        <f t="shared" ref="AA88" si="145">Z88</f>
        <v>1.1102039225356977E-4</v>
      </c>
      <c r="AB88" s="180">
        <f t="shared" ref="AB88" si="146">R88</f>
        <v>245.30533913077397</v>
      </c>
      <c r="AC88" s="1">
        <f t="shared" ref="AC88" si="147">AA88+AC87</f>
        <v>-1.5526316050556783E-2</v>
      </c>
    </row>
    <row r="89" spans="1:29" x14ac:dyDescent="0.15">
      <c r="B89" s="172">
        <v>42544</v>
      </c>
      <c r="C89" s="170" t="s">
        <v>29</v>
      </c>
      <c r="D89" s="170" t="s">
        <v>30</v>
      </c>
      <c r="E89" s="183">
        <v>2261773</v>
      </c>
      <c r="F89" s="183">
        <f t="shared" si="62"/>
        <v>2171715</v>
      </c>
      <c r="G89" s="170">
        <f t="shared" ref="G89" si="148">G88*(1+Q88)</f>
        <v>2209797.3898831881</v>
      </c>
      <c r="H89" s="170">
        <f t="shared" ref="H89" si="149">G89*(1+Q89)</f>
        <v>2201800.1440765909</v>
      </c>
      <c r="I89" s="170">
        <v>279500</v>
      </c>
      <c r="J89" s="183">
        <v>7.84</v>
      </c>
      <c r="K89" s="183">
        <v>7.77</v>
      </c>
      <c r="L89" s="191">
        <f t="shared" si="2"/>
        <v>-8.9285714285714645E-3</v>
      </c>
      <c r="M89" s="183">
        <v>3133.96</v>
      </c>
      <c r="N89" s="183">
        <v>3117.32</v>
      </c>
      <c r="O89" s="191">
        <f t="shared" si="19"/>
        <v>-5.3095763825957805E-3</v>
      </c>
      <c r="P89" s="192">
        <f t="shared" si="20"/>
        <v>-3.618995045975684E-3</v>
      </c>
      <c r="Q89" s="192">
        <f t="shared" si="21"/>
        <v>-3.618995045975684E-3</v>
      </c>
      <c r="R89" s="183">
        <f t="shared" si="22"/>
        <v>-7997.2458065972551</v>
      </c>
      <c r="S89" s="57">
        <f t="shared" si="23"/>
        <v>-3.9817435259860347E-2</v>
      </c>
      <c r="T89" s="57">
        <f t="shared" si="24"/>
        <v>-1.1572075517300794E-2</v>
      </c>
      <c r="U89" s="192">
        <f t="shared" si="25"/>
        <v>-2.8245359742559553E-2</v>
      </c>
      <c r="V89" s="183">
        <f t="shared" si="26"/>
        <v>-63884.592041008145</v>
      </c>
      <c r="W89" s="183">
        <f t="shared" si="27"/>
        <v>-90058.000000000116</v>
      </c>
      <c r="X89" s="180">
        <f t="shared" ref="X89" si="150">(K89-K88)/K88</f>
        <v>-8.9285714285714645E-3</v>
      </c>
      <c r="Y89" s="168">
        <f t="shared" ref="Y89" si="151">(N89-N88)/N88</f>
        <v>-5.3095763825957805E-3</v>
      </c>
      <c r="Z89" s="1">
        <f t="shared" ref="Z89" si="152">X89-Y89</f>
        <v>-3.618995045975684E-3</v>
      </c>
      <c r="AA89" s="1">
        <f t="shared" ref="AA89" si="153">Z89</f>
        <v>-3.618995045975684E-3</v>
      </c>
      <c r="AB89" s="180">
        <f t="shared" ref="AB89" si="154">R89</f>
        <v>-7997.2458065972551</v>
      </c>
      <c r="AC89" s="1">
        <f t="shared" ref="AC89" si="155">AA89+AC88</f>
        <v>-1.9145311096532468E-2</v>
      </c>
    </row>
    <row r="90" spans="1:29" x14ac:dyDescent="0.15">
      <c r="B90" s="172">
        <v>42545</v>
      </c>
      <c r="C90" s="170" t="s">
        <v>29</v>
      </c>
      <c r="D90" s="170" t="s">
        <v>30</v>
      </c>
      <c r="E90" s="183">
        <v>2261773</v>
      </c>
      <c r="F90" s="183">
        <f t="shared" si="62"/>
        <v>2118610</v>
      </c>
      <c r="G90" s="170">
        <f t="shared" ref="G90" si="156">G89*(1+Q89)</f>
        <v>2201800.1440765909</v>
      </c>
      <c r="H90" s="170">
        <f t="shared" ref="H90" si="157">G90*(1+Q90)</f>
        <v>2176324.9563403744</v>
      </c>
      <c r="I90" s="170">
        <v>279500</v>
      </c>
      <c r="J90" s="183">
        <v>7.77</v>
      </c>
      <c r="K90" s="183">
        <v>7.58</v>
      </c>
      <c r="L90" s="191">
        <f t="shared" si="2"/>
        <v>-2.4453024453024389E-2</v>
      </c>
      <c r="M90" s="183">
        <v>3117.32</v>
      </c>
      <c r="N90" s="183">
        <v>3077.16</v>
      </c>
      <c r="O90" s="191">
        <f t="shared" si="19"/>
        <v>-1.2882860918994619E-2</v>
      </c>
      <c r="P90" s="192">
        <f t="shared" si="20"/>
        <v>-1.157016353402977E-2</v>
      </c>
      <c r="Q90" s="192">
        <f t="shared" si="21"/>
        <v>-1.157016353402977E-2</v>
      </c>
      <c r="R90" s="183">
        <f t="shared" si="22"/>
        <v>-25475.187736216463</v>
      </c>
      <c r="S90" s="57">
        <f t="shared" si="23"/>
        <v>-6.3296802994818657E-2</v>
      </c>
      <c r="T90" s="57">
        <f t="shared" si="24"/>
        <v>-2.4305854996861925E-2</v>
      </c>
      <c r="U90" s="192">
        <f t="shared" si="25"/>
        <v>-3.8990947997956729E-2</v>
      </c>
      <c r="V90" s="183">
        <f t="shared" si="26"/>
        <v>-88188.673426182591</v>
      </c>
      <c r="W90" s="183">
        <f t="shared" ref="W90:W91" si="158">E90*S90</f>
        <v>-143162.99999999997</v>
      </c>
      <c r="X90" s="180">
        <f t="shared" ref="X90" si="159">(K90-K89)/K89</f>
        <v>-2.4453024453024389E-2</v>
      </c>
      <c r="Y90" s="168">
        <f t="shared" ref="Y90" si="160">(N90-N89)/N89</f>
        <v>-1.2882860918994619E-2</v>
      </c>
      <c r="Z90" s="1">
        <f t="shared" ref="Z90" si="161">X90-Y90</f>
        <v>-1.157016353402977E-2</v>
      </c>
      <c r="AA90" s="1">
        <f t="shared" ref="AA90" si="162">Z90</f>
        <v>-1.157016353402977E-2</v>
      </c>
      <c r="AB90" s="180">
        <f t="shared" ref="AB90" si="163">R90</f>
        <v>-25475.187736216463</v>
      </c>
      <c r="AC90" s="1">
        <f t="shared" ref="AC90" si="164">AA90+AC89</f>
        <v>-3.0715474630562237E-2</v>
      </c>
    </row>
    <row r="91" spans="1:29" x14ac:dyDescent="0.15">
      <c r="A91" t="s">
        <v>140</v>
      </c>
      <c r="B91" s="172">
        <v>42548</v>
      </c>
      <c r="C91" s="170" t="s">
        <v>29</v>
      </c>
      <c r="D91" s="170" t="s">
        <v>30</v>
      </c>
      <c r="E91" s="183">
        <v>2261773</v>
      </c>
      <c r="F91" s="183">
        <f t="shared" si="62"/>
        <v>2118610</v>
      </c>
      <c r="G91" s="170">
        <f t="shared" ref="G91" si="165">G90*(1+Q90)</f>
        <v>2176324.9563403744</v>
      </c>
      <c r="H91" s="170">
        <f t="shared" ref="H91" si="166">G91*(1+Q91)</f>
        <v>2176324.9563403744</v>
      </c>
      <c r="I91" s="170">
        <v>279500</v>
      </c>
      <c r="J91" s="183">
        <v>7.58</v>
      </c>
      <c r="K91" s="183">
        <v>7.58</v>
      </c>
      <c r="L91" s="191">
        <f t="shared" si="2"/>
        <v>0</v>
      </c>
      <c r="M91" s="183">
        <v>3077.16</v>
      </c>
      <c r="N91" s="183">
        <v>3077.16</v>
      </c>
      <c r="O91" s="191">
        <f t="shared" ref="O91:O93" si="167">(N91-M91)/M91</f>
        <v>0</v>
      </c>
      <c r="P91" s="192">
        <f t="shared" ref="P91" si="168">L91-O91</f>
        <v>0</v>
      </c>
      <c r="Q91" s="192">
        <f t="shared" ref="Q91" si="169">P91</f>
        <v>0</v>
      </c>
      <c r="R91" s="183">
        <f t="shared" ref="R91" si="170">G91*Q91</f>
        <v>0</v>
      </c>
      <c r="S91" s="57">
        <f t="shared" si="23"/>
        <v>-6.3296802994818657E-2</v>
      </c>
      <c r="T91" s="168">
        <f t="shared" ref="T91" si="171">(N91-$M$48)/$M$48</f>
        <v>-2.4305854996861925E-2</v>
      </c>
      <c r="U91" s="192">
        <f t="shared" ref="U91" si="172">S91-T91</f>
        <v>-3.8990947997956729E-2</v>
      </c>
      <c r="V91" s="183">
        <f t="shared" ref="V91" si="173">E91*U91</f>
        <v>-88188.673426182591</v>
      </c>
      <c r="W91" s="183">
        <f t="shared" si="158"/>
        <v>-143162.99999999997</v>
      </c>
      <c r="X91" s="180">
        <f t="shared" ref="X91" si="174">(K91-K90)/K90</f>
        <v>0</v>
      </c>
      <c r="Y91" s="168">
        <f t="shared" ref="Y91" si="175">(N91-N90)/N90</f>
        <v>0</v>
      </c>
      <c r="Z91" s="1">
        <f t="shared" ref="Z91" si="176">X91-Y91</f>
        <v>0</v>
      </c>
      <c r="AA91" s="1">
        <f t="shared" ref="AA91" si="177">Z91</f>
        <v>0</v>
      </c>
      <c r="AB91" s="180">
        <f t="shared" ref="AB91" si="178">R91</f>
        <v>0</v>
      </c>
      <c r="AC91" s="1">
        <f t="shared" ref="AC91" si="179">AA91+AC90</f>
        <v>-3.0715474630562237E-2</v>
      </c>
    </row>
    <row r="92" spans="1:29" x14ac:dyDescent="0.15">
      <c r="B92" s="172">
        <v>42549</v>
      </c>
      <c r="C92" s="170" t="s">
        <v>29</v>
      </c>
      <c r="D92" s="170" t="s">
        <v>30</v>
      </c>
      <c r="E92" s="183">
        <v>2261773</v>
      </c>
      <c r="F92" s="183">
        <f t="shared" ref="F92" si="180">K92*I92</f>
        <v>2118610</v>
      </c>
      <c r="G92" s="170">
        <f t="shared" ref="G92" si="181">G91*(1+Q91)</f>
        <v>2176324.9563403744</v>
      </c>
      <c r="H92" s="170">
        <f t="shared" ref="H92" si="182">G92*(1+Q92)</f>
        <v>2176324.9563403744</v>
      </c>
      <c r="I92" s="170">
        <v>279500</v>
      </c>
      <c r="J92" s="183">
        <v>7.58</v>
      </c>
      <c r="K92" s="183">
        <v>7.58</v>
      </c>
      <c r="L92" s="191">
        <f t="shared" si="2"/>
        <v>0</v>
      </c>
      <c r="M92" s="183">
        <v>3077.16</v>
      </c>
      <c r="N92" s="183">
        <v>3077.16</v>
      </c>
      <c r="O92" s="191">
        <f t="shared" si="167"/>
        <v>0</v>
      </c>
      <c r="P92" s="192">
        <f t="shared" ref="P92" si="183">L92-O92</f>
        <v>0</v>
      </c>
      <c r="Q92" s="192">
        <f t="shared" ref="Q92" si="184">P92</f>
        <v>0</v>
      </c>
      <c r="R92" s="183">
        <f t="shared" ref="R92" si="185">G92*Q92</f>
        <v>0</v>
      </c>
      <c r="S92" s="168">
        <f t="shared" ref="S92" si="186">(K92-$J$48)/$J$48</f>
        <v>-6.3296802994818657E-2</v>
      </c>
      <c r="T92" s="168">
        <f t="shared" ref="T92" si="187">(N92-$M$48)/$M$48</f>
        <v>-2.4305854996861925E-2</v>
      </c>
      <c r="U92" s="192">
        <f t="shared" ref="U92" si="188">S92-T92</f>
        <v>-3.8990947997956729E-2</v>
      </c>
      <c r="V92" s="183">
        <f t="shared" ref="V92" si="189">E92*U92</f>
        <v>-88188.673426182591</v>
      </c>
      <c r="W92" s="183">
        <f t="shared" ref="W92" si="190">E92*S92</f>
        <v>-143162.99999999997</v>
      </c>
      <c r="X92" s="180">
        <f t="shared" ref="X92" si="191">(K92-K91)/K91</f>
        <v>0</v>
      </c>
      <c r="Y92" s="168">
        <f t="shared" ref="Y92" si="192">(N92-N91)/N91</f>
        <v>0</v>
      </c>
      <c r="Z92" s="1">
        <f t="shared" ref="Z92" si="193">X92-Y92</f>
        <v>0</v>
      </c>
      <c r="AA92" s="1">
        <f t="shared" ref="AA92" si="194">Z92</f>
        <v>0</v>
      </c>
      <c r="AB92" s="180">
        <f t="shared" ref="AB92" si="195">R92</f>
        <v>0</v>
      </c>
      <c r="AC92" s="1">
        <f t="shared" ref="AC92" si="196">AA92+AC91</f>
        <v>-3.0715474630562237E-2</v>
      </c>
    </row>
    <row r="93" spans="1:29" x14ac:dyDescent="0.15">
      <c r="B93" s="172">
        <v>42549</v>
      </c>
      <c r="C93" s="170" t="s">
        <v>29</v>
      </c>
      <c r="D93" s="170" t="s">
        <v>30</v>
      </c>
      <c r="E93" s="183">
        <v>2261774</v>
      </c>
      <c r="F93" s="183">
        <f t="shared" ref="F93" si="197">K93*I93</f>
        <v>2118610</v>
      </c>
      <c r="G93" s="170">
        <f t="shared" ref="G93" si="198">G92*(1+Q92)</f>
        <v>2176324.9563403744</v>
      </c>
      <c r="H93" s="170">
        <f t="shared" ref="H93" si="199">G93*(1+Q93)</f>
        <v>2176324.9563403744</v>
      </c>
      <c r="I93" s="170">
        <v>279500</v>
      </c>
      <c r="J93" s="183">
        <v>7.58</v>
      </c>
      <c r="K93" s="183">
        <v>7.58</v>
      </c>
      <c r="L93" s="191">
        <f t="shared" si="2"/>
        <v>0</v>
      </c>
      <c r="M93" s="183">
        <v>3077.16</v>
      </c>
      <c r="N93" s="183">
        <v>3077.16</v>
      </c>
      <c r="O93" s="191">
        <f t="shared" si="167"/>
        <v>0</v>
      </c>
      <c r="P93" s="192">
        <f t="shared" ref="P93" si="200">L93-O93</f>
        <v>0</v>
      </c>
      <c r="Q93" s="192">
        <f t="shared" ref="Q93" si="201">P93</f>
        <v>0</v>
      </c>
      <c r="R93" s="183">
        <f t="shared" ref="R93" si="202">G93*Q93</f>
        <v>0</v>
      </c>
      <c r="S93" s="168">
        <f t="shared" ref="S93" si="203">(K93-$J$48)/$J$48</f>
        <v>-6.3296802994818657E-2</v>
      </c>
      <c r="T93" s="168">
        <f t="shared" ref="T93" si="204">(N93-$M$48)/$M$48</f>
        <v>-2.4305854996861925E-2</v>
      </c>
      <c r="U93" s="192">
        <f t="shared" ref="U93" si="205">S93-T93</f>
        <v>-3.8990947997956729E-2</v>
      </c>
      <c r="V93" s="183">
        <f t="shared" ref="V93" si="206">E93*U93</f>
        <v>-88188.712417130577</v>
      </c>
      <c r="W93" s="183">
        <f t="shared" ref="W93" si="207">E93*S93</f>
        <v>-143163.06329680298</v>
      </c>
      <c r="X93" s="180">
        <f t="shared" ref="X93" si="208">(K93-K92)/K92</f>
        <v>0</v>
      </c>
      <c r="Y93" s="168">
        <f t="shared" ref="Y93" si="209">(N93-N92)/N92</f>
        <v>0</v>
      </c>
      <c r="Z93" s="1">
        <f t="shared" ref="Z93" si="210">X93-Y93</f>
        <v>0</v>
      </c>
      <c r="AA93" s="1">
        <f t="shared" ref="AA93" si="211">Z93</f>
        <v>0</v>
      </c>
      <c r="AB93" s="180">
        <f t="shared" ref="AB93" si="212">R93</f>
        <v>0</v>
      </c>
      <c r="AC93" s="1">
        <f t="shared" ref="AC93" si="213">AA93+AC92</f>
        <v>-3.0715474630562237E-2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H1" workbookViewId="0">
      <pane ySplit="1" topLeftCell="A59" activePane="bottomLeft" state="frozen"/>
      <selection pane="bottomLeft" activeCell="AC95" sqref="AC95"/>
    </sheetView>
  </sheetViews>
  <sheetFormatPr defaultRowHeight="13.5" x14ac:dyDescent="0.15"/>
  <cols>
    <col min="1" max="1" width="23.625" customWidth="1"/>
    <col min="2" max="2" width="14.5" customWidth="1"/>
    <col min="3" max="3" width="11.875" customWidth="1"/>
    <col min="5" max="5" width="13.875" customWidth="1"/>
    <col min="6" max="6" width="13.875" style="180" customWidth="1"/>
    <col min="8" max="8" width="9" style="164"/>
    <col min="10" max="10" width="14.625" customWidth="1"/>
    <col min="11" max="11" width="13.375" customWidth="1"/>
    <col min="12" max="12" width="9" style="78"/>
    <col min="13" max="13" width="15.375" customWidth="1"/>
    <col min="15" max="16" width="11.25" style="79" customWidth="1"/>
    <col min="17" max="17" width="14" style="168" customWidth="1"/>
    <col min="19" max="19" width="11.375" style="79" customWidth="1"/>
    <col min="20" max="20" width="9.5" style="79" bestFit="1" customWidth="1"/>
    <col min="21" max="21" width="9" style="79"/>
    <col min="24" max="27" width="9" style="168"/>
  </cols>
  <sheetData>
    <row r="1" spans="2:29" s="145" customFormat="1" ht="40.5" x14ac:dyDescent="0.15">
      <c r="B1" s="145" t="s">
        <v>0</v>
      </c>
      <c r="C1" s="145" t="s">
        <v>1</v>
      </c>
      <c r="D1" s="145" t="s">
        <v>2</v>
      </c>
      <c r="E1" s="145" t="s">
        <v>3</v>
      </c>
      <c r="F1" s="176" t="s">
        <v>91</v>
      </c>
      <c r="G1" s="145" t="s">
        <v>64</v>
      </c>
      <c r="H1" s="176" t="s">
        <v>89</v>
      </c>
      <c r="I1" s="145" t="s">
        <v>4</v>
      </c>
      <c r="J1" s="182" t="s">
        <v>65</v>
      </c>
      <c r="K1" s="182" t="s">
        <v>8</v>
      </c>
      <c r="L1" s="106" t="s">
        <v>9</v>
      </c>
      <c r="M1" s="182" t="s">
        <v>66</v>
      </c>
      <c r="N1" s="182" t="s">
        <v>10</v>
      </c>
      <c r="O1" s="106" t="s">
        <v>11</v>
      </c>
      <c r="P1" s="106" t="s">
        <v>67</v>
      </c>
      <c r="Q1" s="106" t="s">
        <v>68</v>
      </c>
      <c r="R1" s="145" t="s">
        <v>69</v>
      </c>
      <c r="S1" s="106" t="s">
        <v>70</v>
      </c>
      <c r="T1" s="106" t="s">
        <v>71</v>
      </c>
      <c r="U1" s="106" t="s">
        <v>72</v>
      </c>
      <c r="V1" s="145" t="s">
        <v>59</v>
      </c>
      <c r="W1" s="145" t="s">
        <v>61</v>
      </c>
      <c r="X1" s="106" t="s">
        <v>111</v>
      </c>
      <c r="Y1" s="106" t="s">
        <v>112</v>
      </c>
      <c r="Z1" s="106" t="s">
        <v>115</v>
      </c>
      <c r="AA1" s="106" t="s">
        <v>105</v>
      </c>
      <c r="AB1" s="176" t="s">
        <v>114</v>
      </c>
      <c r="AC1" s="176" t="s">
        <v>107</v>
      </c>
    </row>
    <row r="2" spans="2:29" s="133" customFormat="1" x14ac:dyDescent="0.15">
      <c r="B2" s="140">
        <v>42417</v>
      </c>
      <c r="F2" s="180"/>
      <c r="H2" s="164"/>
      <c r="L2" s="134"/>
      <c r="O2" s="134"/>
      <c r="P2" s="134"/>
      <c r="Q2" s="168"/>
      <c r="S2" s="134"/>
      <c r="T2" s="134"/>
      <c r="U2" s="134"/>
      <c r="X2" s="168"/>
      <c r="Y2" s="168"/>
      <c r="Z2" s="168"/>
      <c r="AA2" s="168"/>
    </row>
    <row r="3" spans="2:29" s="133" customFormat="1" x14ac:dyDescent="0.15">
      <c r="B3" s="140">
        <v>42418</v>
      </c>
      <c r="F3" s="180"/>
      <c r="H3" s="164"/>
      <c r="L3" s="134"/>
      <c r="O3" s="134"/>
      <c r="P3" s="134"/>
      <c r="Q3" s="168"/>
      <c r="S3" s="134"/>
      <c r="T3" s="134"/>
      <c r="U3" s="134"/>
      <c r="X3" s="168"/>
      <c r="Y3" s="168"/>
      <c r="Z3" s="168"/>
      <c r="AA3" s="168"/>
    </row>
    <row r="4" spans="2:29" s="133" customFormat="1" x14ac:dyDescent="0.15">
      <c r="B4" s="140">
        <v>42419</v>
      </c>
      <c r="F4" s="180"/>
      <c r="H4" s="164"/>
      <c r="L4" s="134"/>
      <c r="O4" s="134"/>
      <c r="P4" s="134"/>
      <c r="Q4" s="168"/>
      <c r="S4" s="134"/>
      <c r="T4" s="134"/>
      <c r="U4" s="134"/>
      <c r="X4" s="168"/>
      <c r="Y4" s="168"/>
      <c r="Z4" s="168"/>
      <c r="AA4" s="168"/>
    </row>
    <row r="5" spans="2:29" s="133" customFormat="1" x14ac:dyDescent="0.15">
      <c r="B5" s="140">
        <v>42422</v>
      </c>
      <c r="F5" s="180"/>
      <c r="H5" s="164"/>
      <c r="L5" s="134"/>
      <c r="O5" s="134"/>
      <c r="P5" s="134"/>
      <c r="Q5" s="168"/>
      <c r="S5" s="134"/>
      <c r="T5" s="134"/>
      <c r="U5" s="134"/>
      <c r="X5" s="168"/>
      <c r="Y5" s="168"/>
      <c r="Z5" s="168"/>
      <c r="AA5" s="168"/>
    </row>
    <row r="6" spans="2:29" s="133" customFormat="1" x14ac:dyDescent="0.15">
      <c r="B6" s="140">
        <v>42423</v>
      </c>
      <c r="F6" s="180"/>
      <c r="H6" s="164"/>
      <c r="L6" s="134"/>
      <c r="O6" s="134"/>
      <c r="P6" s="134"/>
      <c r="Q6" s="168"/>
      <c r="S6" s="134"/>
      <c r="T6" s="134"/>
      <c r="U6" s="134"/>
      <c r="X6" s="168"/>
      <c r="Y6" s="168"/>
      <c r="Z6" s="168"/>
      <c r="AA6" s="168"/>
    </row>
    <row r="7" spans="2:29" s="133" customFormat="1" x14ac:dyDescent="0.15">
      <c r="B7" s="140">
        <v>42424</v>
      </c>
      <c r="F7" s="180"/>
      <c r="H7" s="164"/>
      <c r="L7" s="134"/>
      <c r="O7" s="134"/>
      <c r="P7" s="134"/>
      <c r="Q7" s="168"/>
      <c r="S7" s="134"/>
      <c r="T7" s="134"/>
      <c r="U7" s="134"/>
      <c r="X7" s="168"/>
      <c r="Y7" s="168"/>
      <c r="Z7" s="168"/>
      <c r="AA7" s="168"/>
    </row>
    <row r="8" spans="2:29" s="133" customFormat="1" x14ac:dyDescent="0.15">
      <c r="B8" s="140">
        <v>42425</v>
      </c>
      <c r="F8" s="180"/>
      <c r="H8" s="164"/>
      <c r="L8" s="134"/>
      <c r="O8" s="134"/>
      <c r="P8" s="134"/>
      <c r="Q8" s="168"/>
      <c r="S8" s="134"/>
      <c r="T8" s="134"/>
      <c r="U8" s="134"/>
      <c r="X8" s="168"/>
      <c r="Y8" s="168"/>
      <c r="Z8" s="168"/>
      <c r="AA8" s="168"/>
    </row>
    <row r="9" spans="2:29" s="133" customFormat="1" x14ac:dyDescent="0.15">
      <c r="B9" s="140">
        <v>42426</v>
      </c>
      <c r="F9" s="180"/>
      <c r="H9" s="164"/>
      <c r="L9" s="134"/>
      <c r="O9" s="134"/>
      <c r="P9" s="134"/>
      <c r="Q9" s="168"/>
      <c r="S9" s="134"/>
      <c r="T9" s="134"/>
      <c r="U9" s="134"/>
      <c r="X9" s="168"/>
      <c r="Y9" s="168"/>
      <c r="Z9" s="168"/>
      <c r="AA9" s="168"/>
    </row>
    <row r="10" spans="2:29" s="133" customFormat="1" x14ac:dyDescent="0.15">
      <c r="B10" s="140">
        <v>42429</v>
      </c>
      <c r="F10" s="180"/>
      <c r="H10" s="164"/>
      <c r="L10" s="134"/>
      <c r="O10" s="134"/>
      <c r="P10" s="134"/>
      <c r="Q10" s="168"/>
      <c r="S10" s="134"/>
      <c r="T10" s="134"/>
      <c r="U10" s="134"/>
      <c r="X10" s="168"/>
      <c r="Y10" s="168"/>
      <c r="Z10" s="168"/>
      <c r="AA10" s="168"/>
    </row>
    <row r="11" spans="2:29" s="133" customFormat="1" x14ac:dyDescent="0.15">
      <c r="B11" s="140">
        <v>42430</v>
      </c>
      <c r="F11" s="180"/>
      <c r="H11" s="164"/>
      <c r="L11" s="134"/>
      <c r="O11" s="134"/>
      <c r="P11" s="134"/>
      <c r="Q11" s="168"/>
      <c r="S11" s="134"/>
      <c r="T11" s="134"/>
      <c r="U11" s="134"/>
      <c r="X11" s="168"/>
      <c r="Y11" s="168"/>
      <c r="Z11" s="168"/>
      <c r="AA11" s="168"/>
    </row>
    <row r="12" spans="2:29" s="133" customFormat="1" x14ac:dyDescent="0.15">
      <c r="B12" s="140">
        <v>42431</v>
      </c>
      <c r="F12" s="180"/>
      <c r="H12" s="164"/>
      <c r="L12" s="134"/>
      <c r="O12" s="134"/>
      <c r="P12" s="134"/>
      <c r="Q12" s="168"/>
      <c r="S12" s="134"/>
      <c r="T12" s="134"/>
      <c r="U12" s="134"/>
      <c r="X12" s="168"/>
      <c r="Y12" s="168"/>
      <c r="Z12" s="168"/>
      <c r="AA12" s="168"/>
    </row>
    <row r="13" spans="2:29" s="133" customFormat="1" x14ac:dyDescent="0.15">
      <c r="B13" s="140">
        <v>42432</v>
      </c>
      <c r="F13" s="180"/>
      <c r="H13" s="164"/>
      <c r="L13" s="134"/>
      <c r="O13" s="134"/>
      <c r="P13" s="134"/>
      <c r="Q13" s="168"/>
      <c r="S13" s="134"/>
      <c r="T13" s="134"/>
      <c r="U13" s="134"/>
      <c r="X13" s="168"/>
      <c r="Y13" s="168"/>
      <c r="Z13" s="168"/>
      <c r="AA13" s="168"/>
    </row>
    <row r="14" spans="2:29" s="133" customFormat="1" x14ac:dyDescent="0.15">
      <c r="B14" s="140">
        <v>42433</v>
      </c>
      <c r="F14" s="180"/>
      <c r="H14" s="164"/>
      <c r="L14" s="134"/>
      <c r="O14" s="134"/>
      <c r="P14" s="134"/>
      <c r="Q14" s="168"/>
      <c r="S14" s="134"/>
      <c r="T14" s="134"/>
      <c r="U14" s="134"/>
      <c r="X14" s="168"/>
      <c r="Y14" s="168"/>
      <c r="Z14" s="168"/>
      <c r="AA14" s="168"/>
    </row>
    <row r="15" spans="2:29" s="133" customFormat="1" x14ac:dyDescent="0.15">
      <c r="B15" s="140">
        <v>42436</v>
      </c>
      <c r="F15" s="180"/>
      <c r="H15" s="164"/>
      <c r="L15" s="134"/>
      <c r="O15" s="134"/>
      <c r="P15" s="134"/>
      <c r="Q15" s="168"/>
      <c r="S15" s="134"/>
      <c r="T15" s="134"/>
      <c r="U15" s="134"/>
      <c r="X15" s="168"/>
      <c r="Y15" s="168"/>
      <c r="Z15" s="168"/>
      <c r="AA15" s="168"/>
    </row>
    <row r="16" spans="2:29" s="133" customFormat="1" x14ac:dyDescent="0.15">
      <c r="B16" s="140">
        <v>42437</v>
      </c>
      <c r="F16" s="180"/>
      <c r="H16" s="164"/>
      <c r="L16" s="134"/>
      <c r="O16" s="134"/>
      <c r="P16" s="134"/>
      <c r="Q16" s="168"/>
      <c r="S16" s="134"/>
      <c r="T16" s="134"/>
      <c r="U16" s="134"/>
      <c r="X16" s="168"/>
      <c r="Y16" s="168"/>
      <c r="Z16" s="168"/>
      <c r="AA16" s="168"/>
    </row>
    <row r="17" spans="2:27" s="133" customFormat="1" x14ac:dyDescent="0.15">
      <c r="B17" s="140">
        <v>42438</v>
      </c>
      <c r="F17" s="180"/>
      <c r="H17" s="164"/>
      <c r="L17" s="134"/>
      <c r="O17" s="134"/>
      <c r="P17" s="134"/>
      <c r="Q17" s="168"/>
      <c r="S17" s="134"/>
      <c r="T17" s="134"/>
      <c r="U17" s="134"/>
      <c r="X17" s="168"/>
      <c r="Y17" s="168"/>
      <c r="Z17" s="168"/>
      <c r="AA17" s="168"/>
    </row>
    <row r="18" spans="2:27" s="133" customFormat="1" x14ac:dyDescent="0.15">
      <c r="B18" s="140">
        <v>42439</v>
      </c>
      <c r="F18" s="180"/>
      <c r="H18" s="164"/>
      <c r="L18" s="134"/>
      <c r="O18" s="134"/>
      <c r="P18" s="134"/>
      <c r="Q18" s="168"/>
      <c r="S18" s="134"/>
      <c r="T18" s="134"/>
      <c r="U18" s="134"/>
      <c r="X18" s="168"/>
      <c r="Y18" s="168"/>
      <c r="Z18" s="168"/>
      <c r="AA18" s="168"/>
    </row>
    <row r="19" spans="2:27" s="133" customFormat="1" x14ac:dyDescent="0.15">
      <c r="B19" s="140">
        <v>42440</v>
      </c>
      <c r="F19" s="180"/>
      <c r="H19" s="164"/>
      <c r="L19" s="134"/>
      <c r="O19" s="134"/>
      <c r="P19" s="134"/>
      <c r="Q19" s="168"/>
      <c r="S19" s="134"/>
      <c r="T19" s="134"/>
      <c r="U19" s="134"/>
      <c r="X19" s="168"/>
      <c r="Y19" s="168"/>
      <c r="Z19" s="168"/>
      <c r="AA19" s="168"/>
    </row>
    <row r="20" spans="2:27" s="133" customFormat="1" x14ac:dyDescent="0.15">
      <c r="B20" s="140">
        <v>42443</v>
      </c>
      <c r="F20" s="180"/>
      <c r="H20" s="164"/>
      <c r="L20" s="134"/>
      <c r="O20" s="134"/>
      <c r="P20" s="134"/>
      <c r="Q20" s="168"/>
      <c r="S20" s="134"/>
      <c r="T20" s="134"/>
      <c r="U20" s="134"/>
      <c r="X20" s="168"/>
      <c r="Y20" s="168"/>
      <c r="Z20" s="168"/>
      <c r="AA20" s="168"/>
    </row>
    <row r="21" spans="2:27" s="133" customFormat="1" x14ac:dyDescent="0.15">
      <c r="B21" s="140">
        <v>42444</v>
      </c>
      <c r="F21" s="180"/>
      <c r="H21" s="164"/>
      <c r="L21" s="134"/>
      <c r="O21" s="134"/>
      <c r="P21" s="134"/>
      <c r="Q21" s="168"/>
      <c r="S21" s="134"/>
      <c r="T21" s="134"/>
      <c r="U21" s="134"/>
      <c r="X21" s="168"/>
      <c r="Y21" s="168"/>
      <c r="Z21" s="168"/>
      <c r="AA21" s="168"/>
    </row>
    <row r="22" spans="2:27" s="133" customFormat="1" x14ac:dyDescent="0.15">
      <c r="B22" s="140">
        <v>42445</v>
      </c>
      <c r="F22" s="180"/>
      <c r="H22" s="164"/>
      <c r="L22" s="134"/>
      <c r="O22" s="134"/>
      <c r="P22" s="134"/>
      <c r="Q22" s="168"/>
      <c r="S22" s="134"/>
      <c r="T22" s="134"/>
      <c r="U22" s="134"/>
      <c r="X22" s="168"/>
      <c r="Y22" s="168"/>
      <c r="Z22" s="168"/>
      <c r="AA22" s="168"/>
    </row>
    <row r="23" spans="2:27" s="133" customFormat="1" x14ac:dyDescent="0.15">
      <c r="B23" s="140">
        <v>42446</v>
      </c>
      <c r="F23" s="180"/>
      <c r="H23" s="164"/>
      <c r="L23" s="134"/>
      <c r="O23" s="134"/>
      <c r="P23" s="134"/>
      <c r="Q23" s="168"/>
      <c r="S23" s="134"/>
      <c r="T23" s="134"/>
      <c r="U23" s="134"/>
      <c r="X23" s="168"/>
      <c r="Y23" s="168"/>
      <c r="Z23" s="168"/>
      <c r="AA23" s="168"/>
    </row>
    <row r="24" spans="2:27" s="133" customFormat="1" x14ac:dyDescent="0.15">
      <c r="B24" s="140">
        <v>42447</v>
      </c>
      <c r="F24" s="180"/>
      <c r="H24" s="164"/>
      <c r="L24" s="134"/>
      <c r="O24" s="134"/>
      <c r="P24" s="134"/>
      <c r="Q24" s="168"/>
      <c r="S24" s="134"/>
      <c r="T24" s="134"/>
      <c r="U24" s="134"/>
      <c r="X24" s="168"/>
      <c r="Y24" s="168"/>
      <c r="Z24" s="168"/>
      <c r="AA24" s="168"/>
    </row>
    <row r="25" spans="2:27" s="133" customFormat="1" x14ac:dyDescent="0.15">
      <c r="B25" s="140">
        <v>42450</v>
      </c>
      <c r="F25" s="180"/>
      <c r="H25" s="164"/>
      <c r="L25" s="134"/>
      <c r="O25" s="134"/>
      <c r="P25" s="134"/>
      <c r="Q25" s="168"/>
      <c r="S25" s="134"/>
      <c r="T25" s="134"/>
      <c r="U25" s="134"/>
      <c r="X25" s="168"/>
      <c r="Y25" s="168"/>
      <c r="Z25" s="168"/>
      <c r="AA25" s="168"/>
    </row>
    <row r="26" spans="2:27" s="133" customFormat="1" x14ac:dyDescent="0.15">
      <c r="B26" s="140">
        <v>42451</v>
      </c>
      <c r="F26" s="180"/>
      <c r="H26" s="164"/>
      <c r="L26" s="134"/>
      <c r="O26" s="134"/>
      <c r="P26" s="134"/>
      <c r="Q26" s="168"/>
      <c r="S26" s="134"/>
      <c r="T26" s="134"/>
      <c r="U26" s="134"/>
      <c r="X26" s="168"/>
      <c r="Y26" s="168"/>
      <c r="Z26" s="168"/>
      <c r="AA26" s="168"/>
    </row>
    <row r="27" spans="2:27" s="133" customFormat="1" x14ac:dyDescent="0.15">
      <c r="B27" s="140">
        <v>42452</v>
      </c>
      <c r="F27" s="180"/>
      <c r="H27" s="164"/>
      <c r="L27" s="134"/>
      <c r="O27" s="134"/>
      <c r="P27" s="134"/>
      <c r="Q27" s="168"/>
      <c r="S27" s="134"/>
      <c r="T27" s="134"/>
      <c r="U27" s="134"/>
      <c r="X27" s="168"/>
      <c r="Y27" s="168"/>
      <c r="Z27" s="168"/>
      <c r="AA27" s="168"/>
    </row>
    <row r="28" spans="2:27" s="133" customFormat="1" x14ac:dyDescent="0.15">
      <c r="B28" s="140">
        <v>42453</v>
      </c>
      <c r="F28" s="180"/>
      <c r="H28" s="164"/>
      <c r="L28" s="134"/>
      <c r="O28" s="134"/>
      <c r="P28" s="134"/>
      <c r="Q28" s="168"/>
      <c r="S28" s="134"/>
      <c r="T28" s="134"/>
      <c r="U28" s="134"/>
      <c r="X28" s="168"/>
      <c r="Y28" s="168"/>
      <c r="Z28" s="168"/>
      <c r="AA28" s="168"/>
    </row>
    <row r="29" spans="2:27" s="133" customFormat="1" x14ac:dyDescent="0.15">
      <c r="B29" s="140">
        <v>42454</v>
      </c>
      <c r="F29" s="180"/>
      <c r="H29" s="164"/>
      <c r="L29" s="134"/>
      <c r="O29" s="134"/>
      <c r="P29" s="134"/>
      <c r="Q29" s="168"/>
      <c r="S29" s="134"/>
      <c r="T29" s="134"/>
      <c r="U29" s="134"/>
      <c r="X29" s="168"/>
      <c r="Y29" s="168"/>
      <c r="Z29" s="168"/>
      <c r="AA29" s="168"/>
    </row>
    <row r="30" spans="2:27" s="133" customFormat="1" x14ac:dyDescent="0.15">
      <c r="B30" s="140">
        <v>42457</v>
      </c>
      <c r="F30" s="180"/>
      <c r="H30" s="164"/>
      <c r="L30" s="134"/>
      <c r="O30" s="134"/>
      <c r="P30" s="134"/>
      <c r="Q30" s="168"/>
      <c r="S30" s="134"/>
      <c r="T30" s="134"/>
      <c r="U30" s="134"/>
      <c r="X30" s="168"/>
      <c r="Y30" s="168"/>
      <c r="Z30" s="168"/>
      <c r="AA30" s="168"/>
    </row>
    <row r="31" spans="2:27" s="133" customFormat="1" x14ac:dyDescent="0.15">
      <c r="B31" s="140">
        <v>42458</v>
      </c>
      <c r="F31" s="180"/>
      <c r="H31" s="164"/>
      <c r="L31" s="134"/>
      <c r="O31" s="134"/>
      <c r="P31" s="134"/>
      <c r="Q31" s="168"/>
      <c r="S31" s="134"/>
      <c r="T31" s="134"/>
      <c r="U31" s="134"/>
      <c r="X31" s="168"/>
      <c r="Y31" s="168"/>
      <c r="Z31" s="168"/>
      <c r="AA31" s="168"/>
    </row>
    <row r="32" spans="2:27" s="133" customFormat="1" x14ac:dyDescent="0.15">
      <c r="B32" s="140">
        <v>42459</v>
      </c>
      <c r="F32" s="180"/>
      <c r="H32" s="164"/>
      <c r="L32" s="134"/>
      <c r="O32" s="134"/>
      <c r="P32" s="134"/>
      <c r="Q32" s="168"/>
      <c r="S32" s="134"/>
      <c r="T32" s="134"/>
      <c r="U32" s="134"/>
      <c r="X32" s="168"/>
      <c r="Y32" s="168"/>
      <c r="Z32" s="168"/>
      <c r="AA32" s="168"/>
    </row>
    <row r="33" spans="2:27" s="133" customFormat="1" x14ac:dyDescent="0.15">
      <c r="B33" s="140">
        <v>42460</v>
      </c>
      <c r="F33" s="180"/>
      <c r="H33" s="164"/>
      <c r="L33" s="134"/>
      <c r="O33" s="134"/>
      <c r="P33" s="134"/>
      <c r="Q33" s="168"/>
      <c r="S33" s="134"/>
      <c r="T33" s="134"/>
      <c r="U33" s="134"/>
      <c r="X33" s="168"/>
      <c r="Y33" s="168"/>
      <c r="Z33" s="168"/>
      <c r="AA33" s="168"/>
    </row>
    <row r="34" spans="2:27" s="133" customFormat="1" x14ac:dyDescent="0.15">
      <c r="B34" s="140">
        <v>42461</v>
      </c>
      <c r="F34" s="180"/>
      <c r="H34" s="164"/>
      <c r="L34" s="134"/>
      <c r="O34" s="134"/>
      <c r="P34" s="134"/>
      <c r="Q34" s="168"/>
      <c r="S34" s="134"/>
      <c r="T34" s="134"/>
      <c r="U34" s="134"/>
      <c r="X34" s="168"/>
      <c r="Y34" s="168"/>
      <c r="Z34" s="168"/>
      <c r="AA34" s="168"/>
    </row>
    <row r="35" spans="2:27" s="133" customFormat="1" x14ac:dyDescent="0.15">
      <c r="B35" s="140">
        <v>42465</v>
      </c>
      <c r="F35" s="180"/>
      <c r="H35" s="164"/>
      <c r="L35" s="134"/>
      <c r="O35" s="134"/>
      <c r="P35" s="134"/>
      <c r="Q35" s="168"/>
      <c r="S35" s="134"/>
      <c r="T35" s="134"/>
      <c r="U35" s="134"/>
      <c r="X35" s="168"/>
      <c r="Y35" s="168"/>
      <c r="Z35" s="168"/>
      <c r="AA35" s="168"/>
    </row>
    <row r="36" spans="2:27" s="133" customFormat="1" x14ac:dyDescent="0.15">
      <c r="B36" s="140">
        <v>42466</v>
      </c>
      <c r="F36" s="180"/>
      <c r="H36" s="164"/>
      <c r="L36" s="134"/>
      <c r="O36" s="134"/>
      <c r="P36" s="134"/>
      <c r="Q36" s="168"/>
      <c r="S36" s="134"/>
      <c r="T36" s="134"/>
      <c r="U36" s="134"/>
      <c r="X36" s="168"/>
      <c r="Y36" s="168"/>
      <c r="Z36" s="168"/>
      <c r="AA36" s="168"/>
    </row>
    <row r="37" spans="2:27" s="133" customFormat="1" x14ac:dyDescent="0.15">
      <c r="B37" s="140">
        <v>42467</v>
      </c>
      <c r="F37" s="180"/>
      <c r="H37" s="164"/>
      <c r="L37" s="134"/>
      <c r="O37" s="134"/>
      <c r="P37" s="134"/>
      <c r="Q37" s="168"/>
      <c r="S37" s="134"/>
      <c r="T37" s="134"/>
      <c r="U37" s="134"/>
      <c r="X37" s="168"/>
      <c r="Y37" s="168"/>
      <c r="Z37" s="168"/>
      <c r="AA37" s="168"/>
    </row>
    <row r="38" spans="2:27" s="133" customFormat="1" x14ac:dyDescent="0.15">
      <c r="B38" s="140">
        <v>42468</v>
      </c>
      <c r="F38" s="180"/>
      <c r="H38" s="164"/>
      <c r="L38" s="134"/>
      <c r="O38" s="134"/>
      <c r="P38" s="134"/>
      <c r="Q38" s="168"/>
      <c r="S38" s="134"/>
      <c r="T38" s="134"/>
      <c r="U38" s="134"/>
      <c r="X38" s="168"/>
      <c r="Y38" s="168"/>
      <c r="Z38" s="168"/>
      <c r="AA38" s="168"/>
    </row>
    <row r="39" spans="2:27" s="133" customFormat="1" x14ac:dyDescent="0.15">
      <c r="B39" s="140">
        <v>42471</v>
      </c>
      <c r="F39" s="180"/>
      <c r="H39" s="164"/>
      <c r="L39" s="134"/>
      <c r="O39" s="134"/>
      <c r="P39" s="134"/>
      <c r="Q39" s="168"/>
      <c r="S39" s="134"/>
      <c r="T39" s="134"/>
      <c r="U39" s="134"/>
      <c r="X39" s="168"/>
      <c r="Y39" s="168"/>
      <c r="Z39" s="168"/>
      <c r="AA39" s="168"/>
    </row>
    <row r="40" spans="2:27" s="133" customFormat="1" x14ac:dyDescent="0.15">
      <c r="B40" s="140">
        <v>42472</v>
      </c>
      <c r="F40" s="180"/>
      <c r="H40" s="164"/>
      <c r="L40" s="134"/>
      <c r="O40" s="134"/>
      <c r="P40" s="134"/>
      <c r="Q40" s="168"/>
      <c r="S40" s="134"/>
      <c r="T40" s="134"/>
      <c r="U40" s="134"/>
      <c r="X40" s="168"/>
      <c r="Y40" s="168"/>
      <c r="Z40" s="168"/>
      <c r="AA40" s="168"/>
    </row>
    <row r="41" spans="2:27" s="133" customFormat="1" x14ac:dyDescent="0.15">
      <c r="B41" s="140">
        <v>42473</v>
      </c>
      <c r="F41" s="180"/>
      <c r="H41" s="164"/>
      <c r="L41" s="134"/>
      <c r="O41" s="134"/>
      <c r="P41" s="134"/>
      <c r="Q41" s="168"/>
      <c r="S41" s="134"/>
      <c r="T41" s="134"/>
      <c r="U41" s="134"/>
      <c r="X41" s="168"/>
      <c r="Y41" s="168"/>
      <c r="Z41" s="168"/>
      <c r="AA41" s="168"/>
    </row>
    <row r="42" spans="2:27" s="133" customFormat="1" x14ac:dyDescent="0.15">
      <c r="B42" s="140">
        <v>42474</v>
      </c>
      <c r="F42" s="180"/>
      <c r="H42" s="164"/>
      <c r="L42" s="134"/>
      <c r="O42" s="134"/>
      <c r="P42" s="134"/>
      <c r="Q42" s="168"/>
      <c r="S42" s="134"/>
      <c r="T42" s="134"/>
      <c r="U42" s="134"/>
      <c r="X42" s="168"/>
      <c r="Y42" s="168"/>
      <c r="Z42" s="168"/>
      <c r="AA42" s="168"/>
    </row>
    <row r="43" spans="2:27" s="133" customFormat="1" x14ac:dyDescent="0.15">
      <c r="B43" s="140">
        <v>42475</v>
      </c>
      <c r="F43" s="180"/>
      <c r="H43" s="164"/>
      <c r="L43" s="134"/>
      <c r="O43" s="134"/>
      <c r="P43" s="134"/>
      <c r="Q43" s="168"/>
      <c r="S43" s="134"/>
      <c r="T43" s="134"/>
      <c r="U43" s="134"/>
      <c r="X43" s="168"/>
      <c r="Y43" s="168"/>
      <c r="Z43" s="168"/>
      <c r="AA43" s="168"/>
    </row>
    <row r="44" spans="2:27" s="133" customFormat="1" x14ac:dyDescent="0.15">
      <c r="B44" s="140">
        <v>42478</v>
      </c>
      <c r="F44" s="180"/>
      <c r="H44" s="164"/>
      <c r="L44" s="134"/>
      <c r="O44" s="134"/>
      <c r="P44" s="134"/>
      <c r="Q44" s="168"/>
      <c r="S44" s="134"/>
      <c r="T44" s="134"/>
      <c r="U44" s="134"/>
      <c r="X44" s="168"/>
      <c r="Y44" s="168"/>
      <c r="Z44" s="168"/>
      <c r="AA44" s="168"/>
    </row>
    <row r="45" spans="2:27" s="133" customFormat="1" x14ac:dyDescent="0.15">
      <c r="B45" s="140">
        <v>42479</v>
      </c>
      <c r="F45" s="180"/>
      <c r="H45" s="164"/>
      <c r="L45" s="134"/>
      <c r="O45" s="134"/>
      <c r="P45" s="134"/>
      <c r="Q45" s="168"/>
      <c r="S45" s="134"/>
      <c r="T45" s="134"/>
      <c r="U45" s="134"/>
      <c r="X45" s="168"/>
      <c r="Y45" s="168"/>
      <c r="Z45" s="168"/>
      <c r="AA45" s="168"/>
    </row>
    <row r="46" spans="2:27" s="133" customFormat="1" x14ac:dyDescent="0.15">
      <c r="B46" s="140">
        <v>42480</v>
      </c>
      <c r="F46" s="180"/>
      <c r="H46" s="164"/>
      <c r="L46" s="134"/>
      <c r="O46" s="134"/>
      <c r="P46" s="134"/>
      <c r="Q46" s="168"/>
      <c r="S46" s="134"/>
      <c r="T46" s="134"/>
      <c r="U46" s="134"/>
      <c r="X46" s="168"/>
      <c r="Y46" s="168"/>
      <c r="Z46" s="168"/>
      <c r="AA46" s="168"/>
    </row>
    <row r="47" spans="2:27" s="133" customFormat="1" x14ac:dyDescent="0.15">
      <c r="B47" s="140">
        <v>42481</v>
      </c>
      <c r="F47" s="180"/>
      <c r="H47" s="164"/>
      <c r="L47" s="134"/>
      <c r="O47" s="134"/>
      <c r="P47" s="134"/>
      <c r="Q47" s="168"/>
      <c r="S47" s="134"/>
      <c r="T47" s="134"/>
      <c r="U47" s="134"/>
      <c r="X47" s="168"/>
      <c r="Y47" s="168"/>
      <c r="Z47" s="168"/>
      <c r="AA47" s="168"/>
    </row>
    <row r="48" spans="2:27" s="133" customFormat="1" x14ac:dyDescent="0.15">
      <c r="B48" s="140">
        <v>42482</v>
      </c>
      <c r="F48" s="180"/>
      <c r="H48" s="164"/>
      <c r="L48" s="134"/>
      <c r="O48" s="134"/>
      <c r="P48" s="134"/>
      <c r="Q48" s="168"/>
      <c r="S48" s="134"/>
      <c r="T48" s="134"/>
      <c r="U48" s="134"/>
      <c r="X48" s="168"/>
      <c r="Y48" s="168"/>
      <c r="Z48" s="168"/>
      <c r="AA48" s="168"/>
    </row>
    <row r="49" spans="1:29" s="133" customFormat="1" x14ac:dyDescent="0.15">
      <c r="B49" s="140">
        <v>42485</v>
      </c>
      <c r="F49" s="180"/>
      <c r="H49" s="164"/>
      <c r="L49" s="134"/>
      <c r="O49" s="134"/>
      <c r="P49" s="134"/>
      <c r="Q49" s="168"/>
      <c r="S49" s="134"/>
      <c r="T49" s="134"/>
      <c r="U49" s="134"/>
      <c r="X49" s="168"/>
      <c r="Y49" s="168"/>
      <c r="Z49" s="168"/>
      <c r="AA49" s="168"/>
    </row>
    <row r="50" spans="1:29" s="133" customFormat="1" x14ac:dyDescent="0.15">
      <c r="B50" s="140">
        <v>42486</v>
      </c>
      <c r="F50" s="180"/>
      <c r="H50" s="164"/>
      <c r="L50" s="134"/>
      <c r="O50" s="134"/>
      <c r="P50" s="134"/>
      <c r="Q50" s="168"/>
      <c r="S50" s="134"/>
      <c r="T50" s="134"/>
      <c r="U50" s="134"/>
      <c r="X50" s="168"/>
      <c r="Y50" s="168"/>
      <c r="Z50" s="168"/>
      <c r="AA50" s="168"/>
    </row>
    <row r="51" spans="1:29" s="170" customFormat="1" x14ac:dyDescent="0.15">
      <c r="A51" s="170" t="s">
        <v>25</v>
      </c>
      <c r="B51" s="172">
        <v>42487</v>
      </c>
      <c r="C51" s="170" t="s">
        <v>75</v>
      </c>
      <c r="D51" s="170" t="s">
        <v>73</v>
      </c>
      <c r="E51" s="170">
        <v>510000</v>
      </c>
      <c r="F51" s="170">
        <f>K51*I51</f>
        <v>505000</v>
      </c>
      <c r="G51" s="170">
        <f>I51*J51</f>
        <v>510000</v>
      </c>
      <c r="H51" s="170">
        <f>G51*(1+Q51)</f>
        <v>506581.12830188678</v>
      </c>
      <c r="I51" s="170">
        <v>10000</v>
      </c>
      <c r="J51" s="170">
        <v>51</v>
      </c>
      <c r="K51" s="170">
        <v>50.5</v>
      </c>
      <c r="L51" s="171">
        <f>(K51-J51)/J51</f>
        <v>-9.8039215686274508E-3</v>
      </c>
      <c r="M51" s="186">
        <v>3180</v>
      </c>
      <c r="N51" s="170">
        <v>3165.9160000000002</v>
      </c>
      <c r="O51" s="171">
        <f>(N51-M51)/M51</f>
        <v>-4.4289308176100103E-3</v>
      </c>
      <c r="P51" s="171">
        <f>L51-O51</f>
        <v>-5.3749907510174406E-3</v>
      </c>
      <c r="Q51" s="171">
        <f>L51*0.3+P51*0.7</f>
        <v>-6.7036699963004438E-3</v>
      </c>
      <c r="R51" s="170">
        <f>G51*Q51</f>
        <v>-3418.8716981132266</v>
      </c>
      <c r="S51" s="171">
        <f>(K51-$J$51)/$J$51</f>
        <v>-9.8039215686274508E-3</v>
      </c>
      <c r="T51" s="171">
        <f>(N51-$M$51)/$M$51</f>
        <v>-4.4289308176100103E-3</v>
      </c>
      <c r="U51" s="171">
        <f>(S51-T51)*0.7+S51*0.3</f>
        <v>-6.7036699963004438E-3</v>
      </c>
      <c r="V51" s="170">
        <f>E51*U51</f>
        <v>-3418.8716981132266</v>
      </c>
      <c r="W51" s="170">
        <f>E51*S51</f>
        <v>-5000</v>
      </c>
      <c r="X51" s="171">
        <f>L51</f>
        <v>-9.8039215686274508E-3</v>
      </c>
      <c r="Y51" s="171">
        <f>O51</f>
        <v>-4.4289308176100103E-3</v>
      </c>
      <c r="Z51" s="171">
        <f>X51-Y51</f>
        <v>-5.3749907510174406E-3</v>
      </c>
      <c r="AA51" s="171">
        <f>X51*0.3+Z51*0.7</f>
        <v>-6.7036699963004438E-3</v>
      </c>
      <c r="AB51" s="170">
        <f>V51</f>
        <v>-3418.8716981132266</v>
      </c>
      <c r="AC51" s="170">
        <f>AA51</f>
        <v>-6.7036699963004438E-3</v>
      </c>
    </row>
    <row r="52" spans="1:29" s="170" customFormat="1" x14ac:dyDescent="0.15">
      <c r="B52" s="172">
        <v>42488</v>
      </c>
      <c r="C52" s="170" t="s">
        <v>75</v>
      </c>
      <c r="D52" s="170" t="s">
        <v>73</v>
      </c>
      <c r="E52" s="170">
        <v>510000</v>
      </c>
      <c r="F52" s="170">
        <f t="shared" ref="F52:F75" si="0">K52*I52</f>
        <v>511400</v>
      </c>
      <c r="G52" s="170">
        <f>G51*(1+Q51)</f>
        <v>506581.12830188678</v>
      </c>
      <c r="H52" s="170">
        <f t="shared" ref="H52:H68" si="1">G52*(1+Q52)</f>
        <v>513598.72714014491</v>
      </c>
      <c r="I52" s="170">
        <v>10000</v>
      </c>
      <c r="J52" s="170">
        <v>50.5</v>
      </c>
      <c r="K52" s="170">
        <v>51.14</v>
      </c>
      <c r="L52" s="171">
        <f t="shared" ref="L52:L93" si="2">(K52-J52)/J52</f>
        <v>1.2673267326732685E-2</v>
      </c>
      <c r="M52" s="170">
        <v>3165.9160000000002</v>
      </c>
      <c r="N52" s="170">
        <v>3160.5810000000001</v>
      </c>
      <c r="O52" s="171">
        <f t="shared" ref="O52:O56" si="3">(N52-M52)/M52</f>
        <v>-1.6851363081016792E-3</v>
      </c>
      <c r="P52" s="171">
        <f t="shared" ref="P52:P56" si="4">L52-O52</f>
        <v>1.4358403634834364E-2</v>
      </c>
      <c r="Q52" s="171">
        <f t="shared" ref="Q52:Q56" si="5">L52*0.3+P52*0.7</f>
        <v>1.3852862742403859E-2</v>
      </c>
      <c r="R52" s="170">
        <f t="shared" ref="R52:R56" si="6">G52*Q52</f>
        <v>7017.5988382581163</v>
      </c>
      <c r="S52" s="171">
        <f t="shared" ref="S52:S55" si="7">(K52-$J$51)/$J$51</f>
        <v>2.7450980392156976E-3</v>
      </c>
      <c r="T52" s="171">
        <f t="shared" ref="T52:T55" si="8">(N52-$M$51)/$M$51</f>
        <v>-6.1066037735848641E-3</v>
      </c>
      <c r="U52" s="171">
        <f t="shared" ref="U52:U57" si="9">(S52-T52)*0.7+S52*0.3</f>
        <v>7.0197206807251014E-3</v>
      </c>
      <c r="V52" s="170">
        <f t="shared" ref="V52:V57" si="10">E52*U52</f>
        <v>3580.0575471698016</v>
      </c>
      <c r="W52" s="170">
        <f t="shared" ref="W52:W57" si="11">E52*S52</f>
        <v>1400.0000000000057</v>
      </c>
      <c r="X52" s="171">
        <f>(K52-K51)/K51</f>
        <v>1.2673267326732685E-2</v>
      </c>
      <c r="Y52" s="171">
        <f>(N52-N51)/N51</f>
        <v>-1.6851363081016792E-3</v>
      </c>
      <c r="Z52" s="171">
        <f t="shared" ref="Z52:Z74" si="12">X52-Y52</f>
        <v>1.4358403634834364E-2</v>
      </c>
      <c r="AA52" s="171">
        <f t="shared" ref="AA52:AA74" si="13">X52*0.3+Z52*0.7</f>
        <v>1.3852862742403859E-2</v>
      </c>
      <c r="AB52" s="170">
        <f>V52-V51</f>
        <v>6998.9292452830286</v>
      </c>
      <c r="AC52" s="170">
        <f>AC51+AA52</f>
        <v>7.1491927461034156E-3</v>
      </c>
    </row>
    <row r="53" spans="1:29" s="170" customFormat="1" x14ac:dyDescent="0.15">
      <c r="B53" s="172">
        <v>42489</v>
      </c>
      <c r="C53" s="170" t="s">
        <v>75</v>
      </c>
      <c r="D53" s="170" t="s">
        <v>73</v>
      </c>
      <c r="E53" s="170">
        <v>510000</v>
      </c>
      <c r="F53" s="170">
        <f t="shared" si="0"/>
        <v>514500</v>
      </c>
      <c r="G53" s="170">
        <f t="shared" ref="G53:G55" si="14">G52*(1+Q52)</f>
        <v>513598.72714014491</v>
      </c>
      <c r="H53" s="170">
        <f t="shared" si="1"/>
        <v>517148.4040305675</v>
      </c>
      <c r="I53" s="170">
        <v>10000</v>
      </c>
      <c r="J53" s="170">
        <v>51.14</v>
      </c>
      <c r="K53" s="170">
        <v>51.45</v>
      </c>
      <c r="L53" s="171">
        <f t="shared" si="2"/>
        <v>6.0617911615174474E-3</v>
      </c>
      <c r="M53" s="170">
        <v>3160.5810000000001</v>
      </c>
      <c r="N53" s="170">
        <v>3156.7449999999999</v>
      </c>
      <c r="O53" s="171">
        <f t="shared" si="3"/>
        <v>-1.2137008986639608E-3</v>
      </c>
      <c r="P53" s="171">
        <f t="shared" si="4"/>
        <v>7.2754920601814082E-3</v>
      </c>
      <c r="Q53" s="171">
        <f t="shared" si="5"/>
        <v>6.9113817905822189E-3</v>
      </c>
      <c r="R53" s="170">
        <f t="shared" si="6"/>
        <v>3549.6768904226033</v>
      </c>
      <c r="S53" s="171">
        <f t="shared" si="7"/>
        <v>8.8235294117647613E-3</v>
      </c>
      <c r="T53" s="171">
        <f t="shared" si="8"/>
        <v>-7.3128930817610406E-3</v>
      </c>
      <c r="U53" s="171">
        <f t="shared" si="9"/>
        <v>1.3942554568997487E-2</v>
      </c>
      <c r="V53" s="170">
        <f t="shared" si="10"/>
        <v>7110.7028301887185</v>
      </c>
      <c r="W53" s="170">
        <f t="shared" si="11"/>
        <v>4500.0000000000282</v>
      </c>
      <c r="X53" s="171">
        <f t="shared" ref="X53:X74" si="15">(K53-K52)/K52</f>
        <v>6.0617911615174474E-3</v>
      </c>
      <c r="Y53" s="171">
        <f t="shared" ref="Y53:Y74" si="16">(N53-N52)/N52</f>
        <v>-1.2137008986639608E-3</v>
      </c>
      <c r="Z53" s="171">
        <f t="shared" si="12"/>
        <v>7.2754920601814082E-3</v>
      </c>
      <c r="AA53" s="171">
        <f t="shared" si="13"/>
        <v>6.9113817905822189E-3</v>
      </c>
      <c r="AB53" s="170">
        <f t="shared" ref="AB53:AB73" si="17">V53-V52</f>
        <v>3530.6452830189169</v>
      </c>
      <c r="AC53" s="170">
        <f t="shared" ref="AC53:AC74" si="18">AC52+AA53</f>
        <v>1.4060574536685634E-2</v>
      </c>
    </row>
    <row r="54" spans="1:29" s="170" customFormat="1" x14ac:dyDescent="0.15">
      <c r="B54" s="172">
        <v>42493</v>
      </c>
      <c r="C54" s="170" t="s">
        <v>75</v>
      </c>
      <c r="D54" s="170" t="s">
        <v>73</v>
      </c>
      <c r="E54" s="170">
        <v>510000</v>
      </c>
      <c r="F54" s="170">
        <f t="shared" si="0"/>
        <v>533000</v>
      </c>
      <c r="G54" s="170">
        <f t="shared" si="14"/>
        <v>517148.4040305675</v>
      </c>
      <c r="H54" s="170">
        <f t="shared" si="1"/>
        <v>529230.59204069863</v>
      </c>
      <c r="I54" s="170">
        <v>10000</v>
      </c>
      <c r="J54" s="170">
        <v>51.45</v>
      </c>
      <c r="K54" s="170">
        <v>53.3</v>
      </c>
      <c r="L54" s="171">
        <f t="shared" si="2"/>
        <v>3.595724003887258E-2</v>
      </c>
      <c r="M54" s="170">
        <v>3156.7449999999999</v>
      </c>
      <c r="N54" s="170">
        <v>3213.54</v>
      </c>
      <c r="O54" s="171">
        <f t="shared" si="3"/>
        <v>1.7991633787334763E-2</v>
      </c>
      <c r="P54" s="171">
        <f t="shared" si="4"/>
        <v>1.7965606251537817E-2</v>
      </c>
      <c r="Q54" s="171">
        <f t="shared" si="5"/>
        <v>2.3363096387738244E-2</v>
      </c>
      <c r="R54" s="170">
        <f t="shared" si="6"/>
        <v>12082.188010131149</v>
      </c>
      <c r="S54" s="171">
        <f t="shared" si="7"/>
        <v>4.5098039215686218E-2</v>
      </c>
      <c r="T54" s="171">
        <f t="shared" si="8"/>
        <v>1.0547169811320744E-2</v>
      </c>
      <c r="U54" s="171">
        <f t="shared" si="9"/>
        <v>3.7715020347761696E-2</v>
      </c>
      <c r="V54" s="170">
        <f t="shared" si="10"/>
        <v>19234.660377358465</v>
      </c>
      <c r="W54" s="170">
        <f t="shared" si="11"/>
        <v>22999.999999999971</v>
      </c>
      <c r="X54" s="171">
        <f t="shared" si="15"/>
        <v>3.595724003887258E-2</v>
      </c>
      <c r="Y54" s="171">
        <f t="shared" si="16"/>
        <v>1.7991633787334763E-2</v>
      </c>
      <c r="Z54" s="171">
        <f t="shared" si="12"/>
        <v>1.7965606251537817E-2</v>
      </c>
      <c r="AA54" s="171">
        <f t="shared" si="13"/>
        <v>2.3363096387738244E-2</v>
      </c>
      <c r="AB54" s="170">
        <f t="shared" si="17"/>
        <v>12123.957547169746</v>
      </c>
      <c r="AC54" s="170">
        <f t="shared" si="18"/>
        <v>3.7423670924423877E-2</v>
      </c>
    </row>
    <row r="55" spans="1:29" s="170" customFormat="1" x14ac:dyDescent="0.15">
      <c r="B55" s="172">
        <v>42494</v>
      </c>
      <c r="C55" s="170" t="s">
        <v>75</v>
      </c>
      <c r="D55" s="170" t="s">
        <v>73</v>
      </c>
      <c r="E55" s="170">
        <v>510000</v>
      </c>
      <c r="F55" s="170">
        <f t="shared" si="0"/>
        <v>527500</v>
      </c>
      <c r="G55" s="170">
        <f t="shared" si="14"/>
        <v>529230.59204069863</v>
      </c>
      <c r="H55" s="170">
        <f t="shared" si="1"/>
        <v>524239.72123189451</v>
      </c>
      <c r="I55" s="170">
        <v>10000</v>
      </c>
      <c r="J55" s="170">
        <v>53.3</v>
      </c>
      <c r="K55" s="170">
        <v>52.75</v>
      </c>
      <c r="L55" s="171">
        <f t="shared" si="2"/>
        <v>-1.0318949343339535E-2</v>
      </c>
      <c r="M55" s="170">
        <v>3213.54</v>
      </c>
      <c r="N55" s="170">
        <v>3209.4609999999998</v>
      </c>
      <c r="O55" s="171">
        <f t="shared" si="3"/>
        <v>-1.2693167036975355E-3</v>
      </c>
      <c r="P55" s="171">
        <f t="shared" si="4"/>
        <v>-9.0496326396419993E-3</v>
      </c>
      <c r="Q55" s="171">
        <f t="shared" si="5"/>
        <v>-9.4304276507512601E-3</v>
      </c>
      <c r="R55" s="170">
        <f t="shared" si="6"/>
        <v>-4990.8708088040639</v>
      </c>
      <c r="S55" s="171">
        <f t="shared" si="7"/>
        <v>3.4313725490196081E-2</v>
      </c>
      <c r="T55" s="171">
        <f t="shared" si="8"/>
        <v>9.2644654088049633E-3</v>
      </c>
      <c r="U55" s="171">
        <f t="shared" si="9"/>
        <v>2.7828599704032606E-2</v>
      </c>
      <c r="V55" s="170">
        <f t="shared" si="10"/>
        <v>14192.585849056628</v>
      </c>
      <c r="W55" s="170">
        <f t="shared" si="11"/>
        <v>17500</v>
      </c>
      <c r="X55" s="171">
        <f t="shared" si="15"/>
        <v>-1.0318949343339535E-2</v>
      </c>
      <c r="Y55" s="171">
        <f t="shared" si="16"/>
        <v>-1.2693167036975355E-3</v>
      </c>
      <c r="Z55" s="171">
        <f t="shared" si="12"/>
        <v>-9.0496326396419993E-3</v>
      </c>
      <c r="AA55" s="171">
        <f t="shared" si="13"/>
        <v>-9.4304276507512601E-3</v>
      </c>
      <c r="AB55" s="170">
        <f t="shared" si="17"/>
        <v>-5042.0745283018368</v>
      </c>
      <c r="AC55" s="170">
        <f t="shared" si="18"/>
        <v>2.7993243273672617E-2</v>
      </c>
    </row>
    <row r="56" spans="1:29" s="170" customFormat="1" x14ac:dyDescent="0.15">
      <c r="A56" s="170" t="s">
        <v>76</v>
      </c>
      <c r="B56" s="172">
        <v>42495</v>
      </c>
      <c r="C56" s="170" t="s">
        <v>75</v>
      </c>
      <c r="D56" s="170" t="s">
        <v>73</v>
      </c>
      <c r="E56" s="170">
        <v>1854459.56</v>
      </c>
      <c r="F56" s="170">
        <f t="shared" si="0"/>
        <v>1877979.3299999998</v>
      </c>
      <c r="G56" s="170">
        <f>I56*J56</f>
        <v>1854459.56</v>
      </c>
      <c r="H56" s="170">
        <f t="shared" si="1"/>
        <v>1872657.82657275</v>
      </c>
      <c r="I56" s="170">
        <v>35307</v>
      </c>
      <c r="J56" s="170">
        <v>52.523849661540204</v>
      </c>
      <c r="K56" s="170">
        <v>53.19</v>
      </c>
      <c r="L56" s="171">
        <f t="shared" si="2"/>
        <v>1.2682816334911036E-2</v>
      </c>
      <c r="M56" s="170">
        <v>3200.7986868849312</v>
      </c>
      <c r="N56" s="170">
        <v>3213.92</v>
      </c>
      <c r="O56" s="171">
        <f t="shared" si="3"/>
        <v>4.0993871838402897E-3</v>
      </c>
      <c r="P56" s="171">
        <f t="shared" si="4"/>
        <v>8.5834291510707462E-3</v>
      </c>
      <c r="Q56" s="171">
        <f t="shared" si="5"/>
        <v>9.8132453062228335E-3</v>
      </c>
      <c r="R56" s="170">
        <f t="shared" si="6"/>
        <v>18198.266572750061</v>
      </c>
      <c r="S56" s="171">
        <f>(K56-J56)/J56</f>
        <v>1.2682816334911036E-2</v>
      </c>
      <c r="T56" s="171">
        <f>(N56-M56)/M56</f>
        <v>4.0993871838402897E-3</v>
      </c>
      <c r="U56" s="171">
        <f t="shared" si="9"/>
        <v>9.8132453062228335E-3</v>
      </c>
      <c r="V56" s="170">
        <f t="shared" si="10"/>
        <v>18198.266572750061</v>
      </c>
      <c r="W56" s="170">
        <f t="shared" si="11"/>
        <v>23519.769999999931</v>
      </c>
      <c r="X56" s="171">
        <f t="shared" si="15"/>
        <v>8.3412322274881087E-3</v>
      </c>
      <c r="Y56" s="171">
        <f t="shared" si="16"/>
        <v>1.3893298594375466E-3</v>
      </c>
      <c r="Z56" s="171">
        <f t="shared" si="12"/>
        <v>6.9519023680505616E-3</v>
      </c>
      <c r="AA56" s="171">
        <f t="shared" si="13"/>
        <v>7.3687013258818251E-3</v>
      </c>
      <c r="AB56" s="170">
        <f t="shared" si="17"/>
        <v>4005.6807236934328</v>
      </c>
      <c r="AC56" s="170">
        <f t="shared" si="18"/>
        <v>3.536194459955444E-2</v>
      </c>
    </row>
    <row r="57" spans="1:29" s="170" customFormat="1" x14ac:dyDescent="0.15">
      <c r="A57" s="170" t="s">
        <v>76</v>
      </c>
      <c r="B57" s="172">
        <v>42496</v>
      </c>
      <c r="C57" s="170" t="s">
        <v>75</v>
      </c>
      <c r="D57" s="170" t="s">
        <v>73</v>
      </c>
      <c r="E57" s="170">
        <v>2034659.56</v>
      </c>
      <c r="F57" s="170">
        <f t="shared" si="0"/>
        <v>1973282.8599999999</v>
      </c>
      <c r="G57" s="170">
        <f>I57*J57</f>
        <v>2034659.5600000003</v>
      </c>
      <c r="H57" s="170">
        <f t="shared" si="1"/>
        <v>2005104.1743339784</v>
      </c>
      <c r="I57" s="170">
        <v>38707</v>
      </c>
      <c r="J57" s="170">
        <v>52.565674425814457</v>
      </c>
      <c r="K57" s="170">
        <v>50.98</v>
      </c>
      <c r="L57" s="171">
        <f t="shared" si="2"/>
        <v>-3.0165587013485588E-2</v>
      </c>
      <c r="M57" s="170">
        <v>3201.8916975620268</v>
      </c>
      <c r="N57" s="170">
        <v>3130.3539999999998</v>
      </c>
      <c r="O57" s="171">
        <f t="shared" ref="O57:O65" si="19">(N57-M57)/M57</f>
        <v>-2.2342322701450829E-2</v>
      </c>
      <c r="P57" s="171">
        <f t="shared" ref="P57:P65" si="20">L57-O57</f>
        <v>-7.8232643120347591E-3</v>
      </c>
      <c r="Q57" s="171">
        <f t="shared" ref="Q57:Q65" si="21">L57*0.3+P57*0.7</f>
        <v>-1.4525961122470007E-2</v>
      </c>
      <c r="R57" s="170">
        <f t="shared" ref="R57:R65" si="22">G57*Q57</f>
        <v>-29555.385666021935</v>
      </c>
      <c r="S57" s="171">
        <f>(K57-$J$57)/$J$57</f>
        <v>-3.0165587013485588E-2</v>
      </c>
      <c r="T57" s="171">
        <f>(N57-$M$57)/$M$57</f>
        <v>-2.2342322701450829E-2</v>
      </c>
      <c r="U57" s="171">
        <f t="shared" si="9"/>
        <v>-1.4525961122470007E-2</v>
      </c>
      <c r="V57" s="170">
        <f t="shared" si="10"/>
        <v>-29555.385666021932</v>
      </c>
      <c r="W57" s="170">
        <f t="shared" si="11"/>
        <v>-61376.700000000303</v>
      </c>
      <c r="X57" s="171">
        <f t="shared" si="15"/>
        <v>-4.1549163376574563E-2</v>
      </c>
      <c r="Y57" s="171">
        <f t="shared" si="16"/>
        <v>-2.6001269477771774E-2</v>
      </c>
      <c r="Z57" s="171">
        <f t="shared" si="12"/>
        <v>-1.5547893898802789E-2</v>
      </c>
      <c r="AA57" s="171">
        <f t="shared" si="13"/>
        <v>-2.3348274742134321E-2</v>
      </c>
      <c r="AB57" s="170">
        <f t="shared" si="17"/>
        <v>-47753.652238771989</v>
      </c>
      <c r="AC57" s="170">
        <f t="shared" si="18"/>
        <v>1.2013669857420119E-2</v>
      </c>
    </row>
    <row r="58" spans="1:29" s="170" customFormat="1" x14ac:dyDescent="0.15">
      <c r="B58" s="172">
        <v>42499</v>
      </c>
      <c r="C58" s="170" t="s">
        <v>75</v>
      </c>
      <c r="D58" s="170" t="s">
        <v>73</v>
      </c>
      <c r="E58" s="170">
        <v>2034659.56</v>
      </c>
      <c r="F58" s="170">
        <f t="shared" si="0"/>
        <v>1945026.75</v>
      </c>
      <c r="G58" s="170">
        <f>G57*(1+Q57)</f>
        <v>2005104.1743339784</v>
      </c>
      <c r="H58" s="170">
        <f t="shared" si="1"/>
        <v>2005419.7624608686</v>
      </c>
      <c r="I58" s="170">
        <v>38707</v>
      </c>
      <c r="J58" s="170">
        <v>50.98</v>
      </c>
      <c r="K58" s="170">
        <v>50.25</v>
      </c>
      <c r="L58" s="171">
        <f t="shared" si="2"/>
        <v>-1.4319340918007002E-2</v>
      </c>
      <c r="M58" s="170">
        <v>3130.3539999999998</v>
      </c>
      <c r="N58" s="170">
        <v>3065.6149999999998</v>
      </c>
      <c r="O58" s="171">
        <f t="shared" si="19"/>
        <v>-2.068104757481104E-2</v>
      </c>
      <c r="P58" s="171">
        <f t="shared" si="20"/>
        <v>6.3617066568040382E-3</v>
      </c>
      <c r="Q58" s="171">
        <f t="shared" si="21"/>
        <v>1.5739238436072653E-4</v>
      </c>
      <c r="R58" s="170">
        <f t="shared" si="22"/>
        <v>315.58812689007073</v>
      </c>
      <c r="S58" s="171">
        <f t="shared" ref="S58:S60" si="23">(K58-$J$57)/$J$57</f>
        <v>-4.4052976607054685E-2</v>
      </c>
      <c r="T58" s="171">
        <f t="shared" ref="T58:T60" si="24">(N58-$M$57)/$M$57</f>
        <v>-4.256130763754138E-2</v>
      </c>
      <c r="U58" s="171">
        <f t="shared" ref="U58:U61" si="25">(S58-T58)*0.7+S58*0.3</f>
        <v>-1.4260061260775718E-2</v>
      </c>
      <c r="V58" s="170">
        <f t="shared" ref="V58:V61" si="26">E58*U58</f>
        <v>-29014.369970422969</v>
      </c>
      <c r="W58" s="170">
        <f t="shared" ref="W58:W61" si="27">E58*S58</f>
        <v>-89632.810000000187</v>
      </c>
      <c r="X58" s="171">
        <f t="shared" si="15"/>
        <v>-1.4319340918007002E-2</v>
      </c>
      <c r="Y58" s="171">
        <f t="shared" si="16"/>
        <v>-2.068104757481104E-2</v>
      </c>
      <c r="Z58" s="171">
        <f t="shared" si="12"/>
        <v>6.3617066568040382E-3</v>
      </c>
      <c r="AA58" s="171">
        <f t="shared" si="13"/>
        <v>1.5739238436072653E-4</v>
      </c>
      <c r="AB58" s="170">
        <f t="shared" si="17"/>
        <v>541.01569559896234</v>
      </c>
      <c r="AC58" s="170">
        <f t="shared" si="18"/>
        <v>1.2171062241780845E-2</v>
      </c>
    </row>
    <row r="59" spans="1:29" s="170" customFormat="1" x14ac:dyDescent="0.15">
      <c r="B59" s="172">
        <v>42500</v>
      </c>
      <c r="C59" s="170" t="s">
        <v>75</v>
      </c>
      <c r="D59" s="170" t="s">
        <v>73</v>
      </c>
      <c r="E59" s="170">
        <v>2034659.56</v>
      </c>
      <c r="F59" s="170">
        <f t="shared" si="0"/>
        <v>1994571.71</v>
      </c>
      <c r="G59" s="170">
        <f t="shared" ref="G59:G60" si="28">G58*(1+Q58)</f>
        <v>2005419.7624608686</v>
      </c>
      <c r="H59" s="170">
        <f t="shared" si="1"/>
        <v>2054901.7598518003</v>
      </c>
      <c r="I59" s="170">
        <v>38707</v>
      </c>
      <c r="J59" s="170">
        <v>50.25</v>
      </c>
      <c r="K59" s="170">
        <v>51.53</v>
      </c>
      <c r="L59" s="171">
        <f t="shared" si="2"/>
        <v>2.5472636815920421E-2</v>
      </c>
      <c r="M59" s="170">
        <v>3065.6149999999998</v>
      </c>
      <c r="N59" s="170">
        <v>3069.1120000000001</v>
      </c>
      <c r="O59" s="171">
        <f t="shared" si="19"/>
        <v>1.1407172785885698E-3</v>
      </c>
      <c r="P59" s="171">
        <f t="shared" si="20"/>
        <v>2.4331919537331853E-2</v>
      </c>
      <c r="Q59" s="171">
        <f t="shared" si="21"/>
        <v>2.467413472090842E-2</v>
      </c>
      <c r="R59" s="170">
        <f t="shared" si="22"/>
        <v>49481.997390931632</v>
      </c>
      <c r="S59" s="171">
        <f t="shared" si="23"/>
        <v>-1.9702485264906009E-2</v>
      </c>
      <c r="T59" s="171">
        <f t="shared" si="24"/>
        <v>-4.1469140777974284E-2</v>
      </c>
      <c r="U59" s="171">
        <f t="shared" si="25"/>
        <v>9.3259132796759889E-3</v>
      </c>
      <c r="V59" s="170">
        <f t="shared" si="26"/>
        <v>18975.058610223707</v>
      </c>
      <c r="W59" s="170">
        <f t="shared" si="27"/>
        <v>-40087.850000000144</v>
      </c>
      <c r="X59" s="171">
        <f t="shared" si="15"/>
        <v>2.5472636815920421E-2</v>
      </c>
      <c r="Y59" s="171">
        <f t="shared" si="16"/>
        <v>1.1407172785885698E-3</v>
      </c>
      <c r="Z59" s="171">
        <f t="shared" si="12"/>
        <v>2.4331919537331853E-2</v>
      </c>
      <c r="AA59" s="171">
        <f t="shared" si="13"/>
        <v>2.467413472090842E-2</v>
      </c>
      <c r="AB59" s="170">
        <f t="shared" si="17"/>
        <v>47989.42858064668</v>
      </c>
      <c r="AC59" s="170">
        <f t="shared" si="18"/>
        <v>3.6845196962689265E-2</v>
      </c>
    </row>
    <row r="60" spans="1:29" s="170" customFormat="1" x14ac:dyDescent="0.15">
      <c r="B60" s="172">
        <v>42501</v>
      </c>
      <c r="C60" s="170" t="s">
        <v>75</v>
      </c>
      <c r="D60" s="170" t="s">
        <v>73</v>
      </c>
      <c r="E60" s="170">
        <v>2034659.56</v>
      </c>
      <c r="F60" s="170">
        <f t="shared" si="0"/>
        <v>1984507.8900000001</v>
      </c>
      <c r="G60" s="170">
        <f t="shared" si="28"/>
        <v>2054901.7598518003</v>
      </c>
      <c r="H60" s="170">
        <f t="shared" si="1"/>
        <v>2038114.4978050804</v>
      </c>
      <c r="I60" s="170">
        <v>38707</v>
      </c>
      <c r="J60" s="170">
        <v>51.53</v>
      </c>
      <c r="K60" s="170">
        <v>51.27</v>
      </c>
      <c r="L60" s="171">
        <f t="shared" si="2"/>
        <v>-5.0456045022316707E-3</v>
      </c>
      <c r="M60" s="170">
        <v>3069.1120000000001</v>
      </c>
      <c r="N60" s="170">
        <v>3082.808</v>
      </c>
      <c r="O60" s="171">
        <f t="shared" si="19"/>
        <v>4.4625285750405693E-3</v>
      </c>
      <c r="P60" s="171">
        <f t="shared" si="20"/>
        <v>-9.5081330772722392E-3</v>
      </c>
      <c r="Q60" s="171">
        <f t="shared" si="21"/>
        <v>-8.1693745047600689E-3</v>
      </c>
      <c r="R60" s="170">
        <f t="shared" si="22"/>
        <v>-16787.262046719894</v>
      </c>
      <c r="S60" s="171">
        <f t="shared" si="23"/>
        <v>-2.4648678818779916E-2</v>
      </c>
      <c r="T60" s="171">
        <f t="shared" si="24"/>
        <v>-3.7191669428637802E-2</v>
      </c>
      <c r="U60" s="171">
        <f t="shared" si="25"/>
        <v>1.3854897812665447E-3</v>
      </c>
      <c r="V60" s="170">
        <f t="shared" si="26"/>
        <v>2819.0000287362841</v>
      </c>
      <c r="W60" s="170">
        <f t="shared" si="27"/>
        <v>-50151.670000000064</v>
      </c>
      <c r="X60" s="171">
        <f t="shared" si="15"/>
        <v>-5.0456045022316707E-3</v>
      </c>
      <c r="Y60" s="171">
        <f t="shared" si="16"/>
        <v>4.4625285750405693E-3</v>
      </c>
      <c r="Z60" s="171">
        <f t="shared" si="12"/>
        <v>-9.5081330772722392E-3</v>
      </c>
      <c r="AA60" s="171">
        <f t="shared" si="13"/>
        <v>-8.1693745047600689E-3</v>
      </c>
      <c r="AB60" s="170">
        <f t="shared" si="17"/>
        <v>-16156.058581487423</v>
      </c>
      <c r="AC60" s="170">
        <f t="shared" si="18"/>
        <v>2.8675822457929198E-2</v>
      </c>
    </row>
    <row r="61" spans="1:29" s="170" customFormat="1" x14ac:dyDescent="0.15">
      <c r="A61" s="170" t="s">
        <v>77</v>
      </c>
      <c r="B61" s="172">
        <v>42502</v>
      </c>
      <c r="C61" s="170" t="s">
        <v>75</v>
      </c>
      <c r="D61" s="170" t="s">
        <v>73</v>
      </c>
      <c r="E61" s="170">
        <v>2537659.56</v>
      </c>
      <c r="F61" s="170">
        <f t="shared" si="0"/>
        <v>2491363.0499999998</v>
      </c>
      <c r="G61" s="170">
        <f>J61*I61</f>
        <v>2537659.56</v>
      </c>
      <c r="H61" s="170">
        <f t="shared" si="1"/>
        <v>2536612.8091229973</v>
      </c>
      <c r="I61" s="170">
        <v>48707</v>
      </c>
      <c r="J61" s="170">
        <v>52.100510398915965</v>
      </c>
      <c r="K61" s="170">
        <v>51.15</v>
      </c>
      <c r="L61" s="171">
        <f t="shared" si="2"/>
        <v>-1.8243782865815138E-2</v>
      </c>
      <c r="M61" s="170">
        <v>3170.9104914487452</v>
      </c>
      <c r="N61" s="170">
        <v>3090.1370000000002</v>
      </c>
      <c r="O61" s="171">
        <f t="shared" si="19"/>
        <v>-2.547328020345373E-2</v>
      </c>
      <c r="P61" s="171">
        <f t="shared" si="20"/>
        <v>7.2294973376385921E-3</v>
      </c>
      <c r="Q61" s="171">
        <f t="shared" si="21"/>
        <v>-4.1248672339752688E-4</v>
      </c>
      <c r="R61" s="170">
        <f t="shared" si="22"/>
        <v>-1046.7508770028098</v>
      </c>
      <c r="S61" s="171">
        <f>(K61-$J$61)/$J$61</f>
        <v>-1.8243782865815138E-2</v>
      </c>
      <c r="T61" s="171">
        <f>(N61-$M$61)/$M$61</f>
        <v>-2.547328020345373E-2</v>
      </c>
      <c r="U61" s="171">
        <f t="shared" si="25"/>
        <v>-4.1248672339752688E-4</v>
      </c>
      <c r="V61" s="170">
        <f t="shared" si="26"/>
        <v>-1046.7508770028098</v>
      </c>
      <c r="W61" s="170">
        <f t="shared" si="27"/>
        <v>-46296.509999999987</v>
      </c>
      <c r="X61" s="171">
        <f t="shared" si="15"/>
        <v>-2.3405500292569639E-3</v>
      </c>
      <c r="Y61" s="171">
        <f t="shared" si="16"/>
        <v>2.3773780267860268E-3</v>
      </c>
      <c r="Z61" s="171">
        <f t="shared" si="12"/>
        <v>-4.7179280560429911E-3</v>
      </c>
      <c r="AA61" s="171">
        <f t="shared" si="13"/>
        <v>-4.0047146480071821E-3</v>
      </c>
      <c r="AB61" s="170">
        <f t="shared" si="17"/>
        <v>-3865.7509057390939</v>
      </c>
      <c r="AC61" s="170">
        <f t="shared" si="18"/>
        <v>2.4671107809922016E-2</v>
      </c>
    </row>
    <row r="62" spans="1:29" s="170" customFormat="1" x14ac:dyDescent="0.15">
      <c r="B62" s="172">
        <v>42503</v>
      </c>
      <c r="C62" s="170" t="s">
        <v>75</v>
      </c>
      <c r="D62" s="170" t="s">
        <v>73</v>
      </c>
      <c r="E62" s="170">
        <v>2537659.56</v>
      </c>
      <c r="F62" s="170">
        <f t="shared" si="0"/>
        <v>2533738.14</v>
      </c>
      <c r="G62" s="170">
        <f>G61*(1+Q61)</f>
        <v>2536612.8091229973</v>
      </c>
      <c r="H62" s="170">
        <f t="shared" si="1"/>
        <v>2588492.7906337567</v>
      </c>
      <c r="I62" s="170">
        <v>48707</v>
      </c>
      <c r="J62" s="170">
        <v>51.15</v>
      </c>
      <c r="K62" s="170">
        <v>52.02</v>
      </c>
      <c r="L62" s="171">
        <f t="shared" si="2"/>
        <v>1.7008797653959035E-2</v>
      </c>
      <c r="M62" s="170">
        <v>3090.1370000000002</v>
      </c>
      <c r="N62" s="170">
        <v>3074.9349999999999</v>
      </c>
      <c r="O62" s="171">
        <f t="shared" si="19"/>
        <v>-4.9195229855505517E-3</v>
      </c>
      <c r="P62" s="171">
        <f t="shared" si="20"/>
        <v>2.1928320639509585E-2</v>
      </c>
      <c r="Q62" s="171">
        <f t="shared" si="21"/>
        <v>2.0452463743844421E-2</v>
      </c>
      <c r="R62" s="170">
        <f t="shared" si="22"/>
        <v>51879.981510759448</v>
      </c>
      <c r="S62" s="171">
        <f t="shared" ref="S62:S64" si="29">(K62-$J$61)/$J$61</f>
        <v>-1.5452900230635178E-3</v>
      </c>
      <c r="T62" s="171">
        <f t="shared" ref="T62:T64" si="30">(N62-$M$61)/$M$61</f>
        <v>-3.0267486801526022E-2</v>
      </c>
      <c r="U62" s="171">
        <f t="shared" ref="U62:U65" si="31">(S62-T62)*0.7+S62*0.3</f>
        <v>1.9641950738004694E-2</v>
      </c>
      <c r="V62" s="170">
        <f t="shared" ref="V62:V65" si="32">E62*U62</f>
        <v>49844.584067346666</v>
      </c>
      <c r="W62" s="170">
        <f t="shared" ref="W62:W65" si="33">E62*S62</f>
        <v>-3921.4199999997568</v>
      </c>
      <c r="X62" s="171">
        <f t="shared" si="15"/>
        <v>1.7008797653959035E-2</v>
      </c>
      <c r="Y62" s="171">
        <f t="shared" si="16"/>
        <v>-4.9195229855505517E-3</v>
      </c>
      <c r="Z62" s="171">
        <f t="shared" si="12"/>
        <v>2.1928320639509585E-2</v>
      </c>
      <c r="AA62" s="171">
        <f t="shared" si="13"/>
        <v>2.0452463743844421E-2</v>
      </c>
      <c r="AB62" s="170">
        <f t="shared" si="17"/>
        <v>50891.334944349474</v>
      </c>
      <c r="AC62" s="170">
        <f t="shared" si="18"/>
        <v>4.5123571553766437E-2</v>
      </c>
    </row>
    <row r="63" spans="1:29" s="170" customFormat="1" x14ac:dyDescent="0.15">
      <c r="B63" s="172">
        <v>42506</v>
      </c>
      <c r="C63" s="170" t="s">
        <v>75</v>
      </c>
      <c r="D63" s="170" t="s">
        <v>73</v>
      </c>
      <c r="E63" s="170">
        <v>2537659.56</v>
      </c>
      <c r="F63" s="170">
        <f t="shared" si="0"/>
        <v>2546889.0299999998</v>
      </c>
      <c r="G63" s="170">
        <f t="shared" ref="G63:G64" si="34">G62*(1+Q62)</f>
        <v>2588492.7906337567</v>
      </c>
      <c r="H63" s="170">
        <f t="shared" si="1"/>
        <v>2589922.8223335859</v>
      </c>
      <c r="I63" s="170">
        <v>48707</v>
      </c>
      <c r="J63" s="170">
        <v>52.02</v>
      </c>
      <c r="K63" s="170">
        <v>52.29</v>
      </c>
      <c r="L63" s="171">
        <f t="shared" si="2"/>
        <v>5.1903114186850445E-3</v>
      </c>
      <c r="M63" s="170">
        <v>3074.9349999999999</v>
      </c>
      <c r="N63" s="170">
        <v>3095.308</v>
      </c>
      <c r="O63" s="171">
        <f t="shared" si="19"/>
        <v>6.6255059050028854E-3</v>
      </c>
      <c r="P63" s="171">
        <f t="shared" si="20"/>
        <v>-1.4351944863178409E-3</v>
      </c>
      <c r="Q63" s="171">
        <f t="shared" si="21"/>
        <v>5.5245728518302467E-4</v>
      </c>
      <c r="R63" s="170">
        <f t="shared" si="22"/>
        <v>1430.0316998293567</v>
      </c>
      <c r="S63" s="171">
        <f t="shared" si="29"/>
        <v>3.63700085916964E-3</v>
      </c>
      <c r="T63" s="171">
        <f t="shared" si="30"/>
        <v>-2.3842518309056242E-2</v>
      </c>
      <c r="U63" s="171">
        <f t="shared" si="31"/>
        <v>2.0326763675509008E-2</v>
      </c>
      <c r="V63" s="170">
        <f t="shared" si="32"/>
        <v>51582.406165016175</v>
      </c>
      <c r="W63" s="170">
        <f t="shared" si="33"/>
        <v>9229.4700000000503</v>
      </c>
      <c r="X63" s="171">
        <f t="shared" si="15"/>
        <v>5.1903114186850445E-3</v>
      </c>
      <c r="Y63" s="171">
        <f t="shared" si="16"/>
        <v>6.6255059050028854E-3</v>
      </c>
      <c r="Z63" s="171">
        <f t="shared" si="12"/>
        <v>-1.4351944863178409E-3</v>
      </c>
      <c r="AA63" s="171">
        <f t="shared" si="13"/>
        <v>5.5245728518302467E-4</v>
      </c>
      <c r="AB63" s="170">
        <f t="shared" si="17"/>
        <v>1737.8220976695084</v>
      </c>
      <c r="AC63" s="170">
        <f t="shared" si="18"/>
        <v>4.5676028838949459E-2</v>
      </c>
    </row>
    <row r="64" spans="1:29" s="170" customFormat="1" x14ac:dyDescent="0.15">
      <c r="B64" s="172">
        <v>42507</v>
      </c>
      <c r="C64" s="170" t="s">
        <v>75</v>
      </c>
      <c r="D64" s="170" t="s">
        <v>73</v>
      </c>
      <c r="E64" s="170">
        <v>2537659.56</v>
      </c>
      <c r="F64" s="170">
        <f t="shared" si="0"/>
        <v>2519126.04</v>
      </c>
      <c r="G64" s="170">
        <f t="shared" si="34"/>
        <v>2589922.8223335859</v>
      </c>
      <c r="H64" s="170">
        <f t="shared" si="1"/>
        <v>2567128.442925937</v>
      </c>
      <c r="I64" s="170">
        <v>48707</v>
      </c>
      <c r="J64" s="170">
        <v>52.29</v>
      </c>
      <c r="K64" s="170">
        <v>51.72</v>
      </c>
      <c r="L64" s="171">
        <f t="shared" si="2"/>
        <v>-1.0900745840504883E-2</v>
      </c>
      <c r="M64" s="170">
        <v>3095.308</v>
      </c>
      <c r="N64" s="170">
        <v>3086.0239999999999</v>
      </c>
      <c r="O64" s="171">
        <f t="shared" si="19"/>
        <v>-2.9993784140383141E-3</v>
      </c>
      <c r="P64" s="171">
        <f t="shared" si="20"/>
        <v>-7.9013674264665681E-3</v>
      </c>
      <c r="Q64" s="171">
        <f t="shared" si="21"/>
        <v>-8.8011809506780628E-3</v>
      </c>
      <c r="R64" s="170">
        <f t="shared" si="22"/>
        <v>-22794.379407648721</v>
      </c>
      <c r="S64" s="171">
        <f t="shared" si="29"/>
        <v>-7.3033910033227485E-3</v>
      </c>
      <c r="T64" s="171">
        <f t="shared" si="30"/>
        <v>-2.6770383988342063E-2</v>
      </c>
      <c r="U64" s="171">
        <f t="shared" si="31"/>
        <v>1.1435877788516695E-2</v>
      </c>
      <c r="V64" s="170">
        <f t="shared" si="32"/>
        <v>29020.364597021049</v>
      </c>
      <c r="W64" s="170">
        <f t="shared" si="33"/>
        <v>-18533.519999999964</v>
      </c>
      <c r="X64" s="171">
        <f t="shared" si="15"/>
        <v>-1.0900745840504883E-2</v>
      </c>
      <c r="Y64" s="171">
        <f t="shared" si="16"/>
        <v>-2.9993784140383141E-3</v>
      </c>
      <c r="Z64" s="171">
        <f t="shared" si="12"/>
        <v>-7.9013674264665681E-3</v>
      </c>
      <c r="AA64" s="171">
        <f t="shared" si="13"/>
        <v>-8.8011809506780628E-3</v>
      </c>
      <c r="AB64" s="170">
        <f t="shared" si="17"/>
        <v>-22562.041567995126</v>
      </c>
      <c r="AC64" s="170">
        <f t="shared" si="18"/>
        <v>3.6874847888271396E-2</v>
      </c>
    </row>
    <row r="65" spans="1:29" s="170" customFormat="1" x14ac:dyDescent="0.15">
      <c r="A65" s="170" t="s">
        <v>76</v>
      </c>
      <c r="B65" s="172">
        <v>42508</v>
      </c>
      <c r="C65" s="170" t="s">
        <v>75</v>
      </c>
      <c r="D65" s="170" t="s">
        <v>73</v>
      </c>
      <c r="E65" s="170">
        <v>3042159.56</v>
      </c>
      <c r="F65" s="170">
        <f t="shared" si="0"/>
        <v>2969987.1300000004</v>
      </c>
      <c r="G65" s="170">
        <f>I65*J65</f>
        <v>3042159.56</v>
      </c>
      <c r="H65" s="170">
        <f t="shared" si="1"/>
        <v>3027284.600872756</v>
      </c>
      <c r="I65" s="170">
        <v>58707</v>
      </c>
      <c r="J65" s="170">
        <v>51.819366685403786</v>
      </c>
      <c r="K65" s="170">
        <v>50.59</v>
      </c>
      <c r="L65" s="171">
        <f t="shared" si="2"/>
        <v>-2.372407777322497E-2</v>
      </c>
      <c r="M65" s="170">
        <v>3152.8724129543048</v>
      </c>
      <c r="N65" s="170">
        <v>3068.04</v>
      </c>
      <c r="O65" s="171">
        <f t="shared" si="19"/>
        <v>-2.6906389426274033E-2</v>
      </c>
      <c r="P65" s="171">
        <f t="shared" si="20"/>
        <v>3.1823116530490629E-3</v>
      </c>
      <c r="Q65" s="171">
        <f t="shared" si="21"/>
        <v>-4.8896051748331462E-3</v>
      </c>
      <c r="R65" s="170">
        <f t="shared" si="22"/>
        <v>-14874.959127244127</v>
      </c>
      <c r="S65" s="171">
        <f>(K65-$J$65)/$J$65</f>
        <v>-2.372407777322497E-2</v>
      </c>
      <c r="T65" s="171">
        <f>(N65-$M$65)/$M$65</f>
        <v>-2.6906389426274033E-2</v>
      </c>
      <c r="U65" s="171">
        <f t="shared" si="31"/>
        <v>-4.8896051748331462E-3</v>
      </c>
      <c r="V65" s="170">
        <f t="shared" si="32"/>
        <v>-14874.959127244127</v>
      </c>
      <c r="W65" s="170">
        <f t="shared" si="33"/>
        <v>-72172.429999999862</v>
      </c>
      <c r="X65" s="171">
        <f t="shared" si="15"/>
        <v>-2.1848414539829764E-2</v>
      </c>
      <c r="Y65" s="171">
        <f t="shared" si="16"/>
        <v>-5.8275632334680236E-3</v>
      </c>
      <c r="Z65" s="171">
        <f t="shared" si="12"/>
        <v>-1.6020851306361741E-2</v>
      </c>
      <c r="AA65" s="171">
        <f t="shared" si="13"/>
        <v>-1.7769120276402147E-2</v>
      </c>
      <c r="AB65" s="170">
        <f t="shared" si="17"/>
        <v>-43895.323724265174</v>
      </c>
      <c r="AC65" s="170">
        <f t="shared" si="18"/>
        <v>1.9105727611869249E-2</v>
      </c>
    </row>
    <row r="66" spans="1:29" s="170" customFormat="1" x14ac:dyDescent="0.15">
      <c r="B66" s="172">
        <v>42509</v>
      </c>
      <c r="C66" s="170" t="s">
        <v>75</v>
      </c>
      <c r="D66" s="170" t="s">
        <v>73</v>
      </c>
      <c r="E66" s="170">
        <v>3042159.56</v>
      </c>
      <c r="F66" s="170">
        <f t="shared" si="0"/>
        <v>2915976.69</v>
      </c>
      <c r="G66" s="170">
        <f>G65*(1+Q65)</f>
        <v>3027284.600872756</v>
      </c>
      <c r="H66" s="170">
        <f t="shared" si="1"/>
        <v>2976058.6679600491</v>
      </c>
      <c r="I66" s="170">
        <v>58707</v>
      </c>
      <c r="J66" s="170">
        <v>50.59</v>
      </c>
      <c r="K66" s="170">
        <v>49.67</v>
      </c>
      <c r="L66" s="171">
        <f t="shared" si="2"/>
        <v>-1.8185412136785959E-2</v>
      </c>
      <c r="M66" s="170">
        <v>3068.04</v>
      </c>
      <c r="N66" s="170">
        <v>3062.5</v>
      </c>
      <c r="O66" s="171">
        <f t="shared" ref="O66" si="35">(N66-M66)/M66</f>
        <v>-1.8057130937015045E-3</v>
      </c>
      <c r="P66" s="171">
        <f t="shared" ref="P66" si="36">L66-O66</f>
        <v>-1.6379699043084454E-2</v>
      </c>
      <c r="Q66" s="171">
        <f t="shared" ref="Q66" si="37">L66*0.3+P66*0.7</f>
        <v>-1.6921412971194906E-2</v>
      </c>
      <c r="R66" s="170">
        <f t="shared" ref="R66" si="38">G66*Q66</f>
        <v>-51225.932912706849</v>
      </c>
      <c r="S66" s="171">
        <f>(K66-$J$65)/$J$65</f>
        <v>-4.1478057778139669E-2</v>
      </c>
      <c r="T66" s="171">
        <f>(N66-$M$65)/$M$65</f>
        <v>-2.8663517300284283E-2</v>
      </c>
      <c r="U66" s="171">
        <f t="shared" ref="U66" si="39">(S66-T66)*0.7+S66*0.3</f>
        <v>-2.1413595667940669E-2</v>
      </c>
      <c r="V66" s="170">
        <f t="shared" ref="V66" si="40">E66*U66</f>
        <v>-65143.574775200294</v>
      </c>
      <c r="W66" s="170">
        <f t="shared" ref="W66" si="41">E66*S66</f>
        <v>-126182.86999999995</v>
      </c>
      <c r="X66" s="171">
        <f t="shared" si="15"/>
        <v>-1.8185412136785959E-2</v>
      </c>
      <c r="Y66" s="171">
        <f t="shared" si="16"/>
        <v>-1.8057130937015045E-3</v>
      </c>
      <c r="Z66" s="171">
        <f t="shared" si="12"/>
        <v>-1.6379699043084454E-2</v>
      </c>
      <c r="AA66" s="171">
        <f t="shared" si="13"/>
        <v>-1.6921412971194906E-2</v>
      </c>
      <c r="AB66" s="170">
        <f t="shared" si="17"/>
        <v>-50268.615647956169</v>
      </c>
      <c r="AC66" s="170">
        <f t="shared" si="18"/>
        <v>2.1843146406743431E-3</v>
      </c>
    </row>
    <row r="67" spans="1:29" s="170" customFormat="1" x14ac:dyDescent="0.15">
      <c r="B67" s="172">
        <v>42510</v>
      </c>
      <c r="C67" s="170" t="s">
        <v>75</v>
      </c>
      <c r="D67" s="170" t="s">
        <v>73</v>
      </c>
      <c r="E67" s="170">
        <v>3042159.56</v>
      </c>
      <c r="F67" s="170">
        <f t="shared" si="0"/>
        <v>2894255.0999999996</v>
      </c>
      <c r="G67" s="170">
        <f>G66*(1+Q66)</f>
        <v>2976058.6679600491</v>
      </c>
      <c r="H67" s="170">
        <f t="shared" si="1"/>
        <v>2943196.1134783854</v>
      </c>
      <c r="I67" s="170">
        <v>58707</v>
      </c>
      <c r="J67" s="170">
        <v>49.67</v>
      </c>
      <c r="K67" s="170">
        <v>49.3</v>
      </c>
      <c r="L67" s="171">
        <f t="shared" si="2"/>
        <v>-7.4491644856050842E-3</v>
      </c>
      <c r="M67" s="170">
        <v>3062.5</v>
      </c>
      <c r="N67" s="170">
        <v>3078.22</v>
      </c>
      <c r="O67" s="171">
        <f t="shared" ref="O67" si="42">(N67-M67)/M67</f>
        <v>5.1330612244897302E-3</v>
      </c>
      <c r="P67" s="171">
        <f t="shared" ref="P67" si="43">L67-O67</f>
        <v>-1.2582225710094815E-2</v>
      </c>
      <c r="Q67" s="171">
        <f t="shared" ref="Q67" si="44">L67*0.3+P67*0.7</f>
        <v>-1.1042307342747894E-2</v>
      </c>
      <c r="R67" s="170">
        <f t="shared" ref="R67:R77" si="45">G67*Q67</f>
        <v>-32862.554481663763</v>
      </c>
      <c r="S67" s="171">
        <f>(K67-$J$65)/$J$65</f>
        <v>-4.8618245388811959E-2</v>
      </c>
      <c r="T67" s="171">
        <f>(N67-$M$65)/$M$65</f>
        <v>-2.367758766500613E-2</v>
      </c>
      <c r="U67" s="171">
        <f t="shared" ref="U67" si="46">(S67-T67)*0.7+S67*0.3</f>
        <v>-3.2043934023307664E-2</v>
      </c>
      <c r="V67" s="170">
        <f t="shared" ref="V67" si="47">E67*U67</f>
        <v>-97482.760229014675</v>
      </c>
      <c r="W67" s="170">
        <f t="shared" ref="W67" si="48">E67*S67</f>
        <v>-147904.46000000022</v>
      </c>
      <c r="X67" s="171">
        <f t="shared" si="15"/>
        <v>-7.4491644856050842E-3</v>
      </c>
      <c r="Y67" s="171">
        <f t="shared" si="16"/>
        <v>5.1330612244897302E-3</v>
      </c>
      <c r="Z67" s="171">
        <f t="shared" si="12"/>
        <v>-1.2582225710094815E-2</v>
      </c>
      <c r="AA67" s="171">
        <f t="shared" si="13"/>
        <v>-1.1042307342747894E-2</v>
      </c>
      <c r="AB67" s="170">
        <f t="shared" si="17"/>
        <v>-32339.185453814382</v>
      </c>
      <c r="AC67" s="170">
        <f t="shared" si="18"/>
        <v>-8.8579927020735506E-3</v>
      </c>
    </row>
    <row r="68" spans="1:29" s="170" customFormat="1" x14ac:dyDescent="0.15">
      <c r="B68" s="172">
        <v>42513</v>
      </c>
      <c r="C68" s="170" t="s">
        <v>75</v>
      </c>
      <c r="D68" s="170" t="s">
        <v>73</v>
      </c>
      <c r="E68" s="170">
        <v>3042159.56</v>
      </c>
      <c r="F68" s="170">
        <f t="shared" si="0"/>
        <v>2897190.45</v>
      </c>
      <c r="G68" s="170">
        <f>G67*(1+Q67)</f>
        <v>2943196.1134783854</v>
      </c>
      <c r="H68" s="170">
        <f t="shared" si="1"/>
        <v>2940157.4443229581</v>
      </c>
      <c r="I68" s="170">
        <v>58707</v>
      </c>
      <c r="J68" s="170">
        <v>49.3</v>
      </c>
      <c r="K68" s="170">
        <v>49.35</v>
      </c>
      <c r="L68" s="171">
        <f t="shared" si="2"/>
        <v>1.014198782961547E-3</v>
      </c>
      <c r="M68" s="170">
        <v>3078.22</v>
      </c>
      <c r="N68" s="170">
        <v>3087.22</v>
      </c>
      <c r="O68" s="171">
        <f t="shared" ref="O68:O81" si="49">(N68-M68)/M68</f>
        <v>2.9237676319431361E-3</v>
      </c>
      <c r="P68" s="171">
        <f t="shared" ref="P68:P81" si="50">L68-O68</f>
        <v>-1.9095688489815892E-3</v>
      </c>
      <c r="Q68" s="171">
        <f t="shared" ref="Q68:Q81" si="51">L68*0.3+P68*0.7</f>
        <v>-1.0324385593986482E-3</v>
      </c>
      <c r="R68" s="170">
        <f t="shared" si="45"/>
        <v>-3038.6691554273243</v>
      </c>
      <c r="S68" s="171">
        <f t="shared" ref="S68" si="52">(K68-$J$65)/$J$65</f>
        <v>-4.7653355171153468E-2</v>
      </c>
      <c r="T68" s="171">
        <f>(N68-$M$65)/$M$65</f>
        <v>-2.0823047797480437E-2</v>
      </c>
      <c r="U68" s="171">
        <f t="shared" ref="U68:U70" si="53">(S68-T68)*0.7+S68*0.3</f>
        <v>-3.307722171291716E-2</v>
      </c>
      <c r="V68" s="170">
        <f t="shared" ref="V68" si="54">E68*U68</f>
        <v>-100626.18625219051</v>
      </c>
      <c r="W68" s="170">
        <f t="shared" ref="W68" si="55">E68*S68</f>
        <v>-144969.10999999996</v>
      </c>
      <c r="X68" s="171">
        <f t="shared" si="15"/>
        <v>1.014198782961547E-3</v>
      </c>
      <c r="Y68" s="171">
        <f t="shared" si="16"/>
        <v>2.9237676319431361E-3</v>
      </c>
      <c r="Z68" s="171">
        <f t="shared" si="12"/>
        <v>-1.9095688489815892E-3</v>
      </c>
      <c r="AA68" s="171">
        <f t="shared" si="13"/>
        <v>-1.0324385593986482E-3</v>
      </c>
      <c r="AB68" s="170">
        <f t="shared" si="17"/>
        <v>-3143.4260231758381</v>
      </c>
      <c r="AC68" s="170">
        <f t="shared" si="18"/>
        <v>-9.8904312614721997E-3</v>
      </c>
    </row>
    <row r="69" spans="1:29" s="170" customFormat="1" x14ac:dyDescent="0.15">
      <c r="A69" s="170" t="s">
        <v>90</v>
      </c>
      <c r="B69" s="172">
        <v>42514</v>
      </c>
      <c r="C69" s="170" t="s">
        <v>75</v>
      </c>
      <c r="D69" s="170" t="s">
        <v>73</v>
      </c>
      <c r="E69" s="170">
        <v>4049581.56</v>
      </c>
      <c r="F69" s="170">
        <f t="shared" si="0"/>
        <v>3892782.3</v>
      </c>
      <c r="G69" s="170">
        <f t="shared" ref="G69:G75" si="56">J69*I69</f>
        <v>4049581.5599999996</v>
      </c>
      <c r="H69" s="170">
        <f t="shared" ref="H69:H75" si="57">K69*I69</f>
        <v>3892782.3</v>
      </c>
      <c r="I69" s="170">
        <v>79607</v>
      </c>
      <c r="J69" s="170">
        <v>50.869666737849684</v>
      </c>
      <c r="K69" s="170">
        <v>48.9</v>
      </c>
      <c r="L69" s="171">
        <f t="shared" si="2"/>
        <v>-3.8719867145977402E-2</v>
      </c>
      <c r="M69" s="170">
        <v>3129.3927230617887</v>
      </c>
      <c r="N69" s="170">
        <v>3063.56</v>
      </c>
      <c r="O69" s="171">
        <f t="shared" si="49"/>
        <v>-2.1036900410945622E-2</v>
      </c>
      <c r="P69" s="171">
        <f t="shared" si="50"/>
        <v>-1.768296673503178E-2</v>
      </c>
      <c r="Q69" s="171">
        <f t="shared" si="51"/>
        <v>-2.3994036858315464E-2</v>
      </c>
      <c r="R69" s="170">
        <f t="shared" si="45"/>
        <v>-97165.809211394619</v>
      </c>
      <c r="S69" s="171">
        <f t="shared" ref="S69:S75" si="58">(K69-$J$69)/$J$69</f>
        <v>-3.8719867145977402E-2</v>
      </c>
      <c r="T69" s="171">
        <f t="shared" ref="T69:T81" si="59">(N69-$M$69)/$M$69</f>
        <v>-2.1036900410945622E-2</v>
      </c>
      <c r="U69" s="171">
        <f t="shared" si="53"/>
        <v>-2.3994036858315464E-2</v>
      </c>
      <c r="V69" s="170">
        <f t="shared" ref="V69:V70" si="60">E69*U69</f>
        <v>-97165.809211394633</v>
      </c>
      <c r="W69" s="170">
        <f t="shared" ref="W69:W70" si="61">E69*S69</f>
        <v>-156799.25999999992</v>
      </c>
      <c r="X69" s="171">
        <f t="shared" si="15"/>
        <v>-9.1185410334347072E-3</v>
      </c>
      <c r="Y69" s="171">
        <f t="shared" si="16"/>
        <v>-7.6638529162158372E-3</v>
      </c>
      <c r="Z69" s="171">
        <f t="shared" si="12"/>
        <v>-1.45468811721887E-3</v>
      </c>
      <c r="AA69" s="171">
        <f t="shared" si="13"/>
        <v>-3.7538439920836207E-3</v>
      </c>
      <c r="AB69" s="170">
        <f t="shared" si="17"/>
        <v>3460.37704079588</v>
      </c>
      <c r="AC69" s="170">
        <f t="shared" si="18"/>
        <v>-1.364427525355582E-2</v>
      </c>
    </row>
    <row r="70" spans="1:29" x14ac:dyDescent="0.15">
      <c r="B70" s="172">
        <v>42515</v>
      </c>
      <c r="C70" s="170" t="s">
        <v>75</v>
      </c>
      <c r="D70" s="170" t="s">
        <v>73</v>
      </c>
      <c r="E70" s="170">
        <v>4049581.56</v>
      </c>
      <c r="F70" s="183">
        <f t="shared" si="0"/>
        <v>3862531.64</v>
      </c>
      <c r="G70" s="170">
        <f t="shared" si="56"/>
        <v>3892782.3</v>
      </c>
      <c r="H70" s="183">
        <f t="shared" si="57"/>
        <v>3862531.64</v>
      </c>
      <c r="I70" s="170">
        <v>79607</v>
      </c>
      <c r="J70" s="183">
        <v>48.9</v>
      </c>
      <c r="K70" s="183">
        <v>48.52</v>
      </c>
      <c r="L70" s="78">
        <f t="shared" si="2"/>
        <v>-7.7709611451941812E-3</v>
      </c>
      <c r="M70" s="170">
        <v>3063.56</v>
      </c>
      <c r="N70" s="183">
        <v>3059.23</v>
      </c>
      <c r="O70" s="79">
        <f t="shared" si="49"/>
        <v>-1.4133883455848513E-3</v>
      </c>
      <c r="P70" s="79">
        <f t="shared" si="50"/>
        <v>-6.3575727996093298E-3</v>
      </c>
      <c r="Q70" s="168">
        <f t="shared" si="51"/>
        <v>-6.7815893032847855E-3</v>
      </c>
      <c r="R70" s="170">
        <f t="shared" si="45"/>
        <v>-26399.250805696345</v>
      </c>
      <c r="S70" s="79">
        <f t="shared" si="58"/>
        <v>-4.6189937708033112E-2</v>
      </c>
      <c r="T70" s="79">
        <f t="shared" si="59"/>
        <v>-2.2420555446662414E-2</v>
      </c>
      <c r="U70" s="79">
        <f t="shared" si="53"/>
        <v>-3.0495548895369422E-2</v>
      </c>
      <c r="V70" s="183">
        <f t="shared" si="60"/>
        <v>-123494.21246876637</v>
      </c>
      <c r="W70" s="183">
        <f t="shared" si="61"/>
        <v>-187049.91999999955</v>
      </c>
      <c r="X70" s="171">
        <f t="shared" si="15"/>
        <v>-7.7709611451941812E-3</v>
      </c>
      <c r="Y70" s="171">
        <f t="shared" si="16"/>
        <v>-1.4133883455848513E-3</v>
      </c>
      <c r="Z70" s="171">
        <f t="shared" si="12"/>
        <v>-6.3575727996093298E-3</v>
      </c>
      <c r="AA70" s="171">
        <f t="shared" si="13"/>
        <v>-6.7815893032847855E-3</v>
      </c>
      <c r="AB70" s="170">
        <f t="shared" si="17"/>
        <v>-26328.403257371741</v>
      </c>
      <c r="AC70" s="170">
        <f t="shared" si="18"/>
        <v>-2.0425864556840603E-2</v>
      </c>
    </row>
    <row r="71" spans="1:29" x14ac:dyDescent="0.15">
      <c r="B71" s="172">
        <v>42516</v>
      </c>
      <c r="C71" s="170" t="s">
        <v>75</v>
      </c>
      <c r="D71" s="170" t="s">
        <v>73</v>
      </c>
      <c r="E71" s="170">
        <v>4049581.56</v>
      </c>
      <c r="F71" s="183">
        <f t="shared" si="0"/>
        <v>3954079.69</v>
      </c>
      <c r="G71" s="170">
        <f t="shared" si="56"/>
        <v>3862531.64</v>
      </c>
      <c r="H71" s="183">
        <f t="shared" si="57"/>
        <v>3954079.69</v>
      </c>
      <c r="I71" s="170">
        <v>79607</v>
      </c>
      <c r="J71" s="183">
        <v>48.52</v>
      </c>
      <c r="K71" s="183">
        <v>49.67</v>
      </c>
      <c r="L71" s="78">
        <f t="shared" si="2"/>
        <v>2.3701566364385789E-2</v>
      </c>
      <c r="M71" s="183">
        <v>3059.23</v>
      </c>
      <c r="N71" s="183">
        <v>3064.21</v>
      </c>
      <c r="O71" s="79">
        <f t="shared" si="49"/>
        <v>1.6278606054464745E-3</v>
      </c>
      <c r="P71" s="79">
        <f t="shared" si="50"/>
        <v>2.2073705758939313E-2</v>
      </c>
      <c r="Q71" s="168">
        <f t="shared" si="51"/>
        <v>2.2562063940573255E-2</v>
      </c>
      <c r="R71" s="170">
        <f t="shared" si="45"/>
        <v>87146.685834167278</v>
      </c>
      <c r="S71" s="168">
        <f t="shared" si="58"/>
        <v>-2.3583145217601117E-2</v>
      </c>
      <c r="T71" s="168">
        <f t="shared" si="59"/>
        <v>-2.082919238017979E-2</v>
      </c>
      <c r="U71" s="168">
        <f t="shared" ref="U71" si="62">(S71-T71)*0.7+S71*0.3</f>
        <v>-9.0027105514752636E-3</v>
      </c>
      <c r="V71" s="183">
        <f t="shared" ref="V71" si="63">E71*U71</f>
        <v>-36457.21063927166</v>
      </c>
      <c r="W71" s="183">
        <f t="shared" ref="W71" si="64">E71*S71</f>
        <v>-95501.869999999675</v>
      </c>
      <c r="X71" s="171">
        <f t="shared" si="15"/>
        <v>2.3701566364385789E-2</v>
      </c>
      <c r="Y71" s="171">
        <f t="shared" si="16"/>
        <v>1.6278606054464745E-3</v>
      </c>
      <c r="Z71" s="171">
        <f t="shared" si="12"/>
        <v>2.2073705758939313E-2</v>
      </c>
      <c r="AA71" s="171">
        <f t="shared" si="13"/>
        <v>2.2562063940573255E-2</v>
      </c>
      <c r="AB71" s="170">
        <f t="shared" si="17"/>
        <v>87037.001829494722</v>
      </c>
      <c r="AC71" s="170">
        <f t="shared" si="18"/>
        <v>2.1361993837326516E-3</v>
      </c>
    </row>
    <row r="72" spans="1:29" x14ac:dyDescent="0.15">
      <c r="A72" t="s">
        <v>119</v>
      </c>
      <c r="B72" s="172">
        <v>42517</v>
      </c>
      <c r="C72" s="170" t="s">
        <v>75</v>
      </c>
      <c r="D72" s="170" t="s">
        <v>73</v>
      </c>
      <c r="E72" s="170">
        <v>4049581.56</v>
      </c>
      <c r="F72" s="183">
        <f t="shared" si="0"/>
        <v>3942934.71</v>
      </c>
      <c r="G72" s="170">
        <f t="shared" si="56"/>
        <v>3954079.69</v>
      </c>
      <c r="H72" s="183">
        <f t="shared" si="57"/>
        <v>3942934.71</v>
      </c>
      <c r="I72" s="170">
        <v>79607</v>
      </c>
      <c r="J72" s="183">
        <v>49.67</v>
      </c>
      <c r="K72" s="183">
        <v>49.53</v>
      </c>
      <c r="L72" s="78">
        <f t="shared" si="2"/>
        <v>-2.8186027783370358E-3</v>
      </c>
      <c r="M72" s="183">
        <v>3064.21</v>
      </c>
      <c r="N72" s="183">
        <v>3062.5</v>
      </c>
      <c r="O72" s="79">
        <f t="shared" si="49"/>
        <v>-5.5805574683198483E-4</v>
      </c>
      <c r="P72" s="79">
        <f t="shared" si="50"/>
        <v>-2.2605470315050511E-3</v>
      </c>
      <c r="Q72" s="168">
        <f t="shared" si="51"/>
        <v>-2.4279637555546466E-3</v>
      </c>
      <c r="R72" s="170">
        <f t="shared" si="45"/>
        <v>-9600.3621738947531</v>
      </c>
      <c r="S72" s="168">
        <f t="shared" si="58"/>
        <v>-2.6335276477305897E-2</v>
      </c>
      <c r="T72" s="168">
        <f t="shared" si="59"/>
        <v>-2.1375624276502147E-2</v>
      </c>
      <c r="U72" s="168">
        <f t="shared" ref="U72:U77" si="65">(S72-T72)*0.7+S72*0.3</f>
        <v>-1.1372339483754395E-2</v>
      </c>
      <c r="V72" s="183">
        <f t="shared" ref="V72:V75" si="66">E72*U72</f>
        <v>-46053.216267471718</v>
      </c>
      <c r="W72" s="183">
        <f t="shared" ref="W72:W75" si="67">E72*S72</f>
        <v>-106646.84999999973</v>
      </c>
      <c r="X72" s="171">
        <f t="shared" si="15"/>
        <v>-2.8186027783370358E-3</v>
      </c>
      <c r="Y72" s="171">
        <f t="shared" si="16"/>
        <v>-5.5805574683198483E-4</v>
      </c>
      <c r="Z72" s="171">
        <f t="shared" si="12"/>
        <v>-2.2605470315050511E-3</v>
      </c>
      <c r="AA72" s="171">
        <f t="shared" si="13"/>
        <v>-2.4279637555546466E-3</v>
      </c>
      <c r="AB72" s="170">
        <f t="shared" si="17"/>
        <v>-9596.0056282000587</v>
      </c>
      <c r="AC72" s="170">
        <f t="shared" si="18"/>
        <v>-2.9176437182199498E-4</v>
      </c>
    </row>
    <row r="73" spans="1:29" x14ac:dyDescent="0.15">
      <c r="A73">
        <v>33.913111158566458</v>
      </c>
      <c r="B73" s="172">
        <v>42520</v>
      </c>
      <c r="C73" s="170" t="s">
        <v>75</v>
      </c>
      <c r="D73" s="170" t="s">
        <v>73</v>
      </c>
      <c r="E73" s="170">
        <v>4049581.56</v>
      </c>
      <c r="F73" s="183">
        <f t="shared" si="0"/>
        <v>3980350</v>
      </c>
      <c r="G73" s="183">
        <f t="shared" si="56"/>
        <v>3942934.71</v>
      </c>
      <c r="H73" s="183">
        <f t="shared" si="57"/>
        <v>3980350</v>
      </c>
      <c r="I73" s="170">
        <v>79607</v>
      </c>
      <c r="J73" s="183">
        <v>49.53</v>
      </c>
      <c r="K73" s="183">
        <v>50</v>
      </c>
      <c r="L73" s="78">
        <f t="shared" si="2"/>
        <v>9.4891984655763959E-3</v>
      </c>
      <c r="M73" s="183">
        <v>3062.5</v>
      </c>
      <c r="N73" s="183">
        <v>3066.71</v>
      </c>
      <c r="O73" s="79">
        <f t="shared" si="49"/>
        <v>1.3746938775510322E-3</v>
      </c>
      <c r="P73" s="79">
        <f t="shared" si="50"/>
        <v>8.1145045880253643E-3</v>
      </c>
      <c r="Q73" s="168">
        <f t="shared" si="51"/>
        <v>8.5269127512906731E-3</v>
      </c>
      <c r="R73" s="183">
        <f t="shared" si="45"/>
        <v>33621.060256205594</v>
      </c>
      <c r="S73" s="79">
        <f t="shared" si="58"/>
        <v>-1.7095978676868483E-2</v>
      </c>
      <c r="T73" s="79">
        <f t="shared" si="59"/>
        <v>-2.0030315338772853E-2</v>
      </c>
      <c r="U73" s="79">
        <f t="shared" si="65"/>
        <v>-3.0747579397274851E-3</v>
      </c>
      <c r="V73" s="183">
        <f t="shared" si="66"/>
        <v>-12451.483054184015</v>
      </c>
      <c r="W73" s="183">
        <f t="shared" si="67"/>
        <v>-69231.559999999808</v>
      </c>
      <c r="X73" s="171">
        <f t="shared" si="15"/>
        <v>9.4891984655763959E-3</v>
      </c>
      <c r="Y73" s="171">
        <f t="shared" si="16"/>
        <v>1.3746938775510322E-3</v>
      </c>
      <c r="Z73" s="171">
        <f t="shared" si="12"/>
        <v>8.1145045880253643E-3</v>
      </c>
      <c r="AA73" s="171">
        <f t="shared" si="13"/>
        <v>8.5269127512906731E-3</v>
      </c>
      <c r="AB73" s="170">
        <f t="shared" si="17"/>
        <v>33601.733213287705</v>
      </c>
      <c r="AC73" s="170">
        <f t="shared" si="18"/>
        <v>8.2351483794686781E-3</v>
      </c>
    </row>
    <row r="74" spans="1:29" x14ac:dyDescent="0.15">
      <c r="B74" s="172">
        <v>42521</v>
      </c>
      <c r="C74" s="170" t="s">
        <v>75</v>
      </c>
      <c r="D74" s="170" t="s">
        <v>73</v>
      </c>
      <c r="E74" s="170">
        <v>4049581.56</v>
      </c>
      <c r="F74" s="183">
        <f t="shared" si="0"/>
        <v>4074286.26</v>
      </c>
      <c r="G74" s="183">
        <f t="shared" si="56"/>
        <v>3980350</v>
      </c>
      <c r="H74" s="183">
        <f t="shared" si="57"/>
        <v>4074286.26</v>
      </c>
      <c r="I74" s="170">
        <v>79607</v>
      </c>
      <c r="J74" s="183">
        <v>50</v>
      </c>
      <c r="K74" s="183">
        <v>51.18</v>
      </c>
      <c r="L74" s="78">
        <f t="shared" si="2"/>
        <v>2.3599999999999996E-2</v>
      </c>
      <c r="M74" s="183">
        <v>3066.71</v>
      </c>
      <c r="N74" s="183">
        <v>3169.56</v>
      </c>
      <c r="O74" s="79">
        <f t="shared" si="49"/>
        <v>3.3537569577821155E-2</v>
      </c>
      <c r="P74" s="79">
        <f t="shared" si="50"/>
        <v>-9.9375695778211592E-3</v>
      </c>
      <c r="Q74" s="168">
        <f t="shared" si="51"/>
        <v>1.2370129552518802E-4</v>
      </c>
      <c r="R74" s="183">
        <f t="shared" si="45"/>
        <v>492.37445164368216</v>
      </c>
      <c r="S74" s="79">
        <f t="shared" si="58"/>
        <v>6.1005562263574164E-3</v>
      </c>
      <c r="T74" s="79">
        <f t="shared" si="59"/>
        <v>1.2835486144708507E-2</v>
      </c>
      <c r="U74" s="79">
        <f t="shared" si="65"/>
        <v>-2.8842840749385389E-3</v>
      </c>
      <c r="V74" s="183">
        <f t="shared" si="66"/>
        <v>-11680.143603672765</v>
      </c>
      <c r="W74" s="183">
        <f t="shared" si="67"/>
        <v>24704.700000000179</v>
      </c>
      <c r="X74" s="171">
        <f t="shared" si="15"/>
        <v>2.3599999999999996E-2</v>
      </c>
      <c r="Y74" s="171">
        <f t="shared" si="16"/>
        <v>3.3537569577821155E-2</v>
      </c>
      <c r="Z74" s="171">
        <f t="shared" si="12"/>
        <v>-9.9375695778211592E-3</v>
      </c>
      <c r="AA74" s="171">
        <f t="shared" si="13"/>
        <v>1.2370129552518802E-4</v>
      </c>
      <c r="AB74" s="170">
        <f>R74</f>
        <v>492.37445164368216</v>
      </c>
      <c r="AC74" s="170">
        <f t="shared" si="18"/>
        <v>8.3588496749938661E-3</v>
      </c>
    </row>
    <row r="75" spans="1:29" x14ac:dyDescent="0.15">
      <c r="A75" t="s">
        <v>118</v>
      </c>
      <c r="B75" s="172">
        <v>42522</v>
      </c>
      <c r="C75" s="170" t="s">
        <v>75</v>
      </c>
      <c r="D75" s="170" t="s">
        <v>73</v>
      </c>
      <c r="E75" s="170">
        <v>4049581.56</v>
      </c>
      <c r="F75" s="183">
        <f t="shared" si="0"/>
        <v>4083839.0999999996</v>
      </c>
      <c r="G75" s="183">
        <f t="shared" si="56"/>
        <v>4074286.26</v>
      </c>
      <c r="H75" s="183">
        <f t="shared" si="57"/>
        <v>4083839.0999999996</v>
      </c>
      <c r="I75" s="170">
        <v>79607</v>
      </c>
      <c r="J75" s="183">
        <v>51.18</v>
      </c>
      <c r="K75" s="183">
        <v>51.3</v>
      </c>
      <c r="L75" s="78">
        <f t="shared" si="2"/>
        <v>2.3446658851113216E-3</v>
      </c>
      <c r="M75" s="183">
        <v>3169.56</v>
      </c>
      <c r="N75" s="183">
        <v>3160.55</v>
      </c>
      <c r="O75" s="79">
        <f t="shared" si="49"/>
        <v>-2.8426658589835066E-3</v>
      </c>
      <c r="P75" s="79">
        <f t="shared" si="50"/>
        <v>5.1873317440948282E-3</v>
      </c>
      <c r="Q75" s="168">
        <f t="shared" si="51"/>
        <v>4.3345319863997761E-3</v>
      </c>
      <c r="R75" s="183">
        <f t="shared" si="45"/>
        <v>17660.124115719114</v>
      </c>
      <c r="S75" s="79">
        <f t="shared" si="58"/>
        <v>8.4595258775328822E-3</v>
      </c>
      <c r="T75" s="79">
        <f t="shared" si="59"/>
        <v>9.9563332874779819E-3</v>
      </c>
      <c r="U75" s="79">
        <f t="shared" si="65"/>
        <v>1.490092576298295E-3</v>
      </c>
      <c r="V75" s="183">
        <f t="shared" si="66"/>
        <v>6034.2514196704687</v>
      </c>
      <c r="W75" s="183">
        <f t="shared" si="67"/>
        <v>34257.539999999979</v>
      </c>
      <c r="X75" s="171">
        <f t="shared" ref="X75" si="68">(K75-K74)/K74</f>
        <v>2.3446658851113216E-3</v>
      </c>
      <c r="Y75" s="171">
        <f t="shared" ref="Y75" si="69">(N75-N74)/N74</f>
        <v>-2.8426658589835066E-3</v>
      </c>
      <c r="Z75" s="171">
        <f t="shared" ref="Z75" si="70">X75-Y75</f>
        <v>5.1873317440948282E-3</v>
      </c>
      <c r="AA75" s="171">
        <f t="shared" ref="AA75" si="71">X75*0.3+Z75*0.7</f>
        <v>4.3345319863997761E-3</v>
      </c>
      <c r="AB75" s="170">
        <f t="shared" ref="AB75:AB76" si="72">R75</f>
        <v>17660.124115719114</v>
      </c>
      <c r="AC75" s="170">
        <f t="shared" ref="AC75" si="73">AC74+AA75</f>
        <v>1.2693381661393641E-2</v>
      </c>
    </row>
    <row r="76" spans="1:29" x14ac:dyDescent="0.15">
      <c r="A76">
        <v>38211</v>
      </c>
      <c r="B76" s="172">
        <v>42523</v>
      </c>
      <c r="C76" s="170" t="s">
        <v>75</v>
      </c>
      <c r="D76" s="170" t="s">
        <v>73</v>
      </c>
      <c r="E76" s="170">
        <v>4049581.56</v>
      </c>
      <c r="F76" s="183">
        <f t="shared" ref="F76:F77" si="74">K76*I76</f>
        <v>3976369.6499999994</v>
      </c>
      <c r="G76" s="183">
        <f t="shared" ref="G76:G77" si="75">J76*I76</f>
        <v>4036074.8999999994</v>
      </c>
      <c r="H76" s="183">
        <f t="shared" ref="H76:H77" si="76">K76*I76</f>
        <v>3976369.6499999994</v>
      </c>
      <c r="I76">
        <f t="shared" ref="I76:I81" si="77">79607*1.5</f>
        <v>119410.5</v>
      </c>
      <c r="J76" s="183">
        <v>33.799999999999997</v>
      </c>
      <c r="K76" s="183">
        <v>33.299999999999997</v>
      </c>
      <c r="L76" s="78">
        <f t="shared" si="2"/>
        <v>-1.4792899408284025E-2</v>
      </c>
      <c r="M76" s="183">
        <v>3160.55</v>
      </c>
      <c r="N76" s="183">
        <v>3167.1</v>
      </c>
      <c r="O76" s="79">
        <f t="shared" si="49"/>
        <v>2.0724241033996385E-3</v>
      </c>
      <c r="P76" s="79">
        <f t="shared" si="50"/>
        <v>-1.6865323511683662E-2</v>
      </c>
      <c r="Q76" s="168">
        <f t="shared" si="51"/>
        <v>-1.6243596280663769E-2</v>
      </c>
      <c r="R76" s="183">
        <f t="shared" si="45"/>
        <v>-65560.371234120379</v>
      </c>
      <c r="S76" s="168">
        <f t="shared" ref="S76:S81" si="78">(K76-$A$73)/$A$73</f>
        <v>-1.8078882698191766E-2</v>
      </c>
      <c r="T76" s="79">
        <f t="shared" si="59"/>
        <v>1.2049391135964069E-2</v>
      </c>
      <c r="U76" s="79">
        <f t="shared" si="65"/>
        <v>-2.6513456493366613E-2</v>
      </c>
      <c r="V76" s="183">
        <f t="shared" ref="V76:V81" si="79">E76*U76+$A$76</f>
        <v>-69157.404507399697</v>
      </c>
      <c r="W76" s="183">
        <f t="shared" ref="W76:W81" si="80">E76*S76+$A$76</f>
        <v>-35000.910000000425</v>
      </c>
      <c r="X76" s="171">
        <f t="shared" ref="X76:X81" si="81">(K76-33.8)/33.8</f>
        <v>-1.4792899408284025E-2</v>
      </c>
      <c r="Y76" s="171">
        <f t="shared" ref="Y76" si="82">(N76-N75)/N75</f>
        <v>2.0724241033996385E-3</v>
      </c>
      <c r="Z76" s="171">
        <f t="shared" ref="Z76" si="83">X76-Y76</f>
        <v>-1.6865323511683662E-2</v>
      </c>
      <c r="AA76" s="171">
        <f t="shared" ref="AA76" si="84">X76*0.3+Z76*0.7</f>
        <v>-1.6243596280663769E-2</v>
      </c>
      <c r="AB76" s="170">
        <f t="shared" si="72"/>
        <v>-65560.371234120379</v>
      </c>
      <c r="AC76" s="170">
        <f t="shared" ref="AC76" si="85">AC75+AA76</f>
        <v>-3.5502146192701277E-3</v>
      </c>
    </row>
    <row r="77" spans="1:29" x14ac:dyDescent="0.15">
      <c r="A77" s="168">
        <f>A76/E76</f>
        <v>9.4357897066283565E-3</v>
      </c>
      <c r="B77" s="172">
        <v>42524</v>
      </c>
      <c r="C77" s="170" t="s">
        <v>75</v>
      </c>
      <c r="D77" s="170" t="s">
        <v>73</v>
      </c>
      <c r="E77" s="170">
        <v>4049581.56</v>
      </c>
      <c r="F77" s="183">
        <f t="shared" si="74"/>
        <v>4030104.375</v>
      </c>
      <c r="G77" s="183">
        <f t="shared" si="75"/>
        <v>3976369.6499999994</v>
      </c>
      <c r="H77" s="183">
        <f t="shared" si="76"/>
        <v>4030104.375</v>
      </c>
      <c r="I77" s="180">
        <f t="shared" si="77"/>
        <v>119410.5</v>
      </c>
      <c r="J77" s="183">
        <v>33.299999999999997</v>
      </c>
      <c r="K77" s="183">
        <v>33.75</v>
      </c>
      <c r="L77" s="78">
        <f t="shared" si="2"/>
        <v>1.3513513513513599E-2</v>
      </c>
      <c r="M77" s="183">
        <v>3167.1</v>
      </c>
      <c r="N77" s="183">
        <v>3189.33</v>
      </c>
      <c r="O77" s="79">
        <f t="shared" si="49"/>
        <v>7.0190394998579202E-3</v>
      </c>
      <c r="P77" s="79">
        <f t="shared" si="50"/>
        <v>6.4944740136556791E-3</v>
      </c>
      <c r="Q77" s="168">
        <f t="shared" si="51"/>
        <v>8.6001858636130541E-3</v>
      </c>
      <c r="R77" s="183">
        <f t="shared" si="45"/>
        <v>34197.518052429979</v>
      </c>
      <c r="S77" s="79">
        <f t="shared" si="78"/>
        <v>-4.8096784103294071E-3</v>
      </c>
      <c r="T77" s="79">
        <f t="shared" si="59"/>
        <v>1.915300578815456E-2</v>
      </c>
      <c r="U77" s="79">
        <f t="shared" si="65"/>
        <v>-1.82167824620376E-2</v>
      </c>
      <c r="V77" s="183">
        <f t="shared" si="79"/>
        <v>-35559.34634079886</v>
      </c>
      <c r="W77" s="183">
        <f t="shared" si="80"/>
        <v>18733.814999999919</v>
      </c>
      <c r="X77" s="168">
        <f t="shared" si="81"/>
        <v>-1.4792899408283184E-3</v>
      </c>
      <c r="Y77" s="171">
        <f t="shared" ref="Y77" si="86">(N77-N76)/N76</f>
        <v>7.0190394998579202E-3</v>
      </c>
      <c r="Z77" s="171">
        <f t="shared" ref="Z77" si="87">X77-Y77</f>
        <v>-8.4983294406862381E-3</v>
      </c>
      <c r="AA77" s="171">
        <f t="shared" ref="AA77:AA87" si="88">Q77</f>
        <v>8.6001858636130541E-3</v>
      </c>
      <c r="AB77" s="170">
        <f t="shared" ref="AB77" si="89">R77</f>
        <v>34197.518052429979</v>
      </c>
      <c r="AC77" s="170">
        <f t="shared" ref="AC77" si="90">AC76+AA77</f>
        <v>5.0499712443429264E-3</v>
      </c>
    </row>
    <row r="78" spans="1:29" x14ac:dyDescent="0.15">
      <c r="B78" s="172">
        <v>42527</v>
      </c>
      <c r="C78" s="170" t="s">
        <v>75</v>
      </c>
      <c r="D78" s="170" t="s">
        <v>73</v>
      </c>
      <c r="E78" s="170">
        <v>4049581.56</v>
      </c>
      <c r="F78" s="183">
        <f t="shared" ref="F78:F82" si="91">K78*I78</f>
        <v>4118468.145</v>
      </c>
      <c r="G78" s="183">
        <f t="shared" ref="G78:G82" si="92">J78*I78</f>
        <v>4030104.375</v>
      </c>
      <c r="H78" s="183">
        <f t="shared" ref="H78:H82" si="93">K78*I78</f>
        <v>4118468.145</v>
      </c>
      <c r="I78" s="180">
        <f t="shared" si="77"/>
        <v>119410.5</v>
      </c>
      <c r="J78" s="183">
        <v>33.75</v>
      </c>
      <c r="K78" s="183">
        <v>34.49</v>
      </c>
      <c r="L78" s="78">
        <f t="shared" si="2"/>
        <v>2.1925925925925984E-2</v>
      </c>
      <c r="M78" s="183">
        <v>3189.33</v>
      </c>
      <c r="N78" s="183">
        <v>3179.79</v>
      </c>
      <c r="O78" s="79">
        <f t="shared" si="49"/>
        <v>-2.991223862065062E-3</v>
      </c>
      <c r="P78" s="79">
        <f t="shared" si="50"/>
        <v>2.4917149787991047E-2</v>
      </c>
      <c r="Q78" s="168">
        <f t="shared" si="51"/>
        <v>2.4019782629371524E-2</v>
      </c>
      <c r="R78" s="183">
        <f t="shared" ref="R78" si="94">G78*Q78</f>
        <v>96802.231061179176</v>
      </c>
      <c r="S78" s="168">
        <f t="shared" si="78"/>
        <v>1.7010790863044169E-2</v>
      </c>
      <c r="T78" s="79">
        <f t="shared" si="59"/>
        <v>1.6104490998145701E-2</v>
      </c>
      <c r="U78" s="168">
        <f t="shared" ref="U78" si="95">(S78-T78)*0.7+S78*0.3</f>
        <v>5.7376471643421781E-3</v>
      </c>
      <c r="V78" s="183">
        <f t="shared" si="79"/>
        <v>61446.070154506378</v>
      </c>
      <c r="W78" s="183">
        <f t="shared" si="80"/>
        <v>107097.58500000015</v>
      </c>
      <c r="X78" s="168">
        <f t="shared" si="81"/>
        <v>2.0414201183432096E-2</v>
      </c>
      <c r="Y78" s="171">
        <f t="shared" ref="Y78" si="96">(N78-N77)/N77</f>
        <v>-2.991223862065062E-3</v>
      </c>
      <c r="Z78" s="171">
        <f t="shared" ref="Z78" si="97">X78-Y78</f>
        <v>2.3405425045497159E-2</v>
      </c>
      <c r="AA78" s="168">
        <f t="shared" si="88"/>
        <v>2.4019782629371524E-2</v>
      </c>
      <c r="AB78" s="170">
        <f t="shared" ref="AB78" si="98">R78</f>
        <v>96802.231061179176</v>
      </c>
      <c r="AC78" s="170">
        <f t="shared" ref="AC78" si="99">AC77+AA78</f>
        <v>2.9069753873714452E-2</v>
      </c>
    </row>
    <row r="79" spans="1:29" x14ac:dyDescent="0.15">
      <c r="A79">
        <f>E76-A76</f>
        <v>4011370.56</v>
      </c>
      <c r="B79" s="172">
        <v>42528</v>
      </c>
      <c r="C79" s="170" t="s">
        <v>75</v>
      </c>
      <c r="D79" s="170" t="s">
        <v>73</v>
      </c>
      <c r="E79" s="170">
        <v>4049581.56</v>
      </c>
      <c r="F79" s="183">
        <f t="shared" si="91"/>
        <v>4085033.2050000001</v>
      </c>
      <c r="G79" s="183">
        <f t="shared" si="92"/>
        <v>4118468.145</v>
      </c>
      <c r="H79" s="183">
        <f t="shared" si="93"/>
        <v>4085033.2050000001</v>
      </c>
      <c r="I79" s="180">
        <f t="shared" si="77"/>
        <v>119410.5</v>
      </c>
      <c r="J79" s="183">
        <v>34.49</v>
      </c>
      <c r="K79" s="183">
        <v>34.21</v>
      </c>
      <c r="L79" s="78">
        <f t="shared" si="2"/>
        <v>-8.1182951580168489E-3</v>
      </c>
      <c r="M79" s="183">
        <v>3179.79</v>
      </c>
      <c r="N79" s="183">
        <v>3177.05</v>
      </c>
      <c r="O79" s="79">
        <f t="shared" si="49"/>
        <v>-8.6169212432260674E-4</v>
      </c>
      <c r="P79" s="79">
        <f t="shared" si="50"/>
        <v>-7.2566030336942422E-3</v>
      </c>
      <c r="Q79" s="168">
        <f t="shared" si="51"/>
        <v>-7.5151106709910234E-3</v>
      </c>
      <c r="R79" s="183">
        <f t="shared" ref="R79:R81" si="100">G79*Q79</f>
        <v>-30950.743904626106</v>
      </c>
      <c r="S79" s="168">
        <f t="shared" si="78"/>
        <v>8.7543970839298324E-3</v>
      </c>
      <c r="T79" s="79">
        <f t="shared" si="59"/>
        <v>1.5228921760763766E-2</v>
      </c>
      <c r="U79" s="168">
        <f t="shared" ref="U79:U81" si="101">(S79-T79)*0.7+S79*0.3</f>
        <v>-1.9058481486048033E-3</v>
      </c>
      <c r="V79" s="183">
        <f t="shared" si="79"/>
        <v>30493.112481249849</v>
      </c>
      <c r="W79" s="183">
        <f t="shared" si="80"/>
        <v>73662.645000000019</v>
      </c>
      <c r="X79" s="168">
        <f t="shared" si="81"/>
        <v>1.2130177514793009E-2</v>
      </c>
      <c r="Y79" s="171">
        <f t="shared" ref="Y79" si="102">(N79-N78)/N78</f>
        <v>-8.6169212432260674E-4</v>
      </c>
      <c r="Z79" s="171">
        <f t="shared" ref="Z79" si="103">X79-Y79</f>
        <v>1.2991869639115616E-2</v>
      </c>
      <c r="AA79" s="168">
        <f t="shared" si="88"/>
        <v>-7.5151106709910234E-3</v>
      </c>
      <c r="AB79" s="170">
        <f t="shared" ref="AB79" si="104">R79</f>
        <v>-30950.743904626106</v>
      </c>
      <c r="AC79" s="170">
        <f t="shared" ref="AC79" si="105">AC78+AA79</f>
        <v>2.1554643202723427E-2</v>
      </c>
    </row>
    <row r="80" spans="1:29" x14ac:dyDescent="0.15">
      <c r="A80">
        <f>A79/I76</f>
        <v>33.593114173376712</v>
      </c>
      <c r="B80" s="172">
        <v>42529</v>
      </c>
      <c r="C80" s="170" t="s">
        <v>75</v>
      </c>
      <c r="D80" s="170" t="s">
        <v>73</v>
      </c>
      <c r="E80" s="170">
        <v>4049581.56</v>
      </c>
      <c r="F80" s="183">
        <f t="shared" si="91"/>
        <v>4185338.0249999994</v>
      </c>
      <c r="G80" s="183">
        <f t="shared" si="92"/>
        <v>4085033.2050000001</v>
      </c>
      <c r="H80" s="183">
        <f t="shared" si="93"/>
        <v>4185338.0249999994</v>
      </c>
      <c r="I80" s="180">
        <f t="shared" si="77"/>
        <v>119410.5</v>
      </c>
      <c r="J80" s="183">
        <v>34.21</v>
      </c>
      <c r="K80" s="183">
        <v>35.049999999999997</v>
      </c>
      <c r="L80" s="78">
        <f t="shared" si="2"/>
        <v>2.4554223911136985E-2</v>
      </c>
      <c r="M80" s="183">
        <v>3177.05</v>
      </c>
      <c r="N80" s="183">
        <v>3163.99</v>
      </c>
      <c r="O80" s="79">
        <f t="shared" si="49"/>
        <v>-4.1107316535781303E-3</v>
      </c>
      <c r="P80" s="79">
        <f t="shared" si="50"/>
        <v>2.8664955564715114E-2</v>
      </c>
      <c r="Q80" s="168">
        <f t="shared" si="51"/>
        <v>2.7431736068641674E-2</v>
      </c>
      <c r="R80" s="183">
        <f t="shared" si="100"/>
        <v>112059.55271119739</v>
      </c>
      <c r="S80" s="79">
        <f t="shared" si="78"/>
        <v>3.3523578421272633E-2</v>
      </c>
      <c r="T80" s="79">
        <f t="shared" si="59"/>
        <v>1.10555880964538E-2</v>
      </c>
      <c r="U80" s="79">
        <f t="shared" si="101"/>
        <v>2.5784666753754973E-2</v>
      </c>
      <c r="V80" s="183">
        <f t="shared" si="79"/>
        <v>142628.11101675121</v>
      </c>
      <c r="W80" s="183">
        <f t="shared" si="80"/>
        <v>173967.46499999956</v>
      </c>
      <c r="X80" s="168">
        <f t="shared" si="81"/>
        <v>3.6982248520710061E-2</v>
      </c>
      <c r="Y80" s="171">
        <f t="shared" ref="Y80" si="106">(N80-N79)/N79</f>
        <v>-4.1107316535781303E-3</v>
      </c>
      <c r="Z80" s="171">
        <f t="shared" ref="Z80" si="107">X80-Y80</f>
        <v>4.1092980174288189E-2</v>
      </c>
      <c r="AA80" s="168">
        <f t="shared" si="88"/>
        <v>2.7431736068641674E-2</v>
      </c>
      <c r="AB80" s="170">
        <f t="shared" ref="AB80" si="108">R80</f>
        <v>112059.55271119739</v>
      </c>
      <c r="AC80" s="170">
        <f t="shared" ref="AC80" si="109">AC79+AA80</f>
        <v>4.8986379271365101E-2</v>
      </c>
    </row>
    <row r="81" spans="1:29" x14ac:dyDescent="0.15">
      <c r="B81" s="172">
        <v>42534</v>
      </c>
      <c r="C81" s="170" t="s">
        <v>75</v>
      </c>
      <c r="D81" s="170" t="s">
        <v>73</v>
      </c>
      <c r="E81" s="170">
        <v>4049581.56</v>
      </c>
      <c r="F81" s="183">
        <f t="shared" si="91"/>
        <v>4221161.1749999998</v>
      </c>
      <c r="G81" s="183">
        <f t="shared" si="92"/>
        <v>4185338.0249999994</v>
      </c>
      <c r="H81" s="183">
        <f t="shared" si="93"/>
        <v>4221161.1749999998</v>
      </c>
      <c r="I81" s="180">
        <f t="shared" si="77"/>
        <v>119410.5</v>
      </c>
      <c r="J81" s="183">
        <v>35.049999999999997</v>
      </c>
      <c r="K81" s="183">
        <v>35.35</v>
      </c>
      <c r="L81" s="78">
        <f t="shared" si="2"/>
        <v>8.5592011412269405E-3</v>
      </c>
      <c r="M81" s="183">
        <v>3163.99</v>
      </c>
      <c r="N81" s="183">
        <v>3066.34</v>
      </c>
      <c r="O81" s="79">
        <f t="shared" si="49"/>
        <v>-3.0862929402431627E-2</v>
      </c>
      <c r="P81" s="79">
        <f t="shared" si="50"/>
        <v>3.9422130543658569E-2</v>
      </c>
      <c r="Q81" s="168">
        <f t="shared" si="51"/>
        <v>3.0163251722929076E-2</v>
      </c>
      <c r="R81" s="183">
        <f t="shared" si="100"/>
        <v>126243.40439362181</v>
      </c>
      <c r="S81" s="79">
        <f t="shared" si="78"/>
        <v>4.2369714613180946E-2</v>
      </c>
      <c r="T81" s="79">
        <f t="shared" si="59"/>
        <v>-2.0148549140901046E-2</v>
      </c>
      <c r="U81" s="79">
        <f t="shared" si="101"/>
        <v>5.6473699011811679E-2</v>
      </c>
      <c r="V81" s="183">
        <f t="shared" si="79"/>
        <v>266905.85014322284</v>
      </c>
      <c r="W81" s="183">
        <f t="shared" si="80"/>
        <v>209790.61500000011</v>
      </c>
      <c r="X81" s="168">
        <f t="shared" si="81"/>
        <v>4.5857988165680603E-2</v>
      </c>
      <c r="Y81" s="171">
        <f t="shared" ref="Y81" si="110">(N81-N80)/N80</f>
        <v>-3.0862929402431627E-2</v>
      </c>
      <c r="Z81" s="171">
        <f t="shared" ref="Z81" si="111">X81-Y81</f>
        <v>7.6720917568112224E-2</v>
      </c>
      <c r="AA81" s="168">
        <f t="shared" si="88"/>
        <v>3.0163251722929076E-2</v>
      </c>
      <c r="AB81" s="170">
        <f t="shared" ref="AB81" si="112">R81</f>
        <v>126243.40439362181</v>
      </c>
      <c r="AC81" s="170">
        <f t="shared" ref="AC81" si="113">AC80+AA81</f>
        <v>7.9149630994294173E-2</v>
      </c>
    </row>
    <row r="82" spans="1:29" s="38" customFormat="1" x14ac:dyDescent="0.15">
      <c r="A82" s="38" t="s">
        <v>121</v>
      </c>
      <c r="B82" s="35">
        <v>42535</v>
      </c>
      <c r="C82" s="37" t="s">
        <v>75</v>
      </c>
      <c r="D82" s="37" t="s">
        <v>73</v>
      </c>
      <c r="E82" s="38">
        <f>E81-504160</f>
        <v>3545421.56</v>
      </c>
      <c r="F82" s="37">
        <f t="shared" si="91"/>
        <v>3901774.5549999997</v>
      </c>
      <c r="G82" s="37">
        <f t="shared" si="92"/>
        <v>3736866.1750000003</v>
      </c>
      <c r="H82" s="37">
        <f t="shared" si="93"/>
        <v>3901774.5549999997</v>
      </c>
      <c r="I82" s="38">
        <f>I81-13700</f>
        <v>105710.5</v>
      </c>
      <c r="J82" s="37">
        <v>35.35</v>
      </c>
      <c r="K82" s="37">
        <v>36.909999999999997</v>
      </c>
      <c r="L82" s="200">
        <f t="shared" si="2"/>
        <v>4.413012729844399E-2</v>
      </c>
      <c r="M82" s="37">
        <v>3066.34</v>
      </c>
      <c r="N82" s="37">
        <v>3075.98</v>
      </c>
      <c r="O82" s="200">
        <f t="shared" ref="O82:O87" si="114">(N82-M82)/M82</f>
        <v>3.1438131453132632E-3</v>
      </c>
      <c r="P82" s="200">
        <f t="shared" ref="P82:P87" si="115">L82-O82</f>
        <v>4.0986314153130726E-2</v>
      </c>
      <c r="Q82" s="200">
        <f t="shared" ref="Q82:Q87" si="116">L82*0.3+P82*0.7</f>
        <v>4.19294580967247E-2</v>
      </c>
      <c r="R82" s="37">
        <f t="shared" ref="R82:R87" si="117">G82*Q82</f>
        <v>156684.77369773042</v>
      </c>
      <c r="S82" s="200">
        <f t="shared" ref="S82:S93" si="118">(K82-$A$73)/$A$73</f>
        <v>8.836962281110336E-2</v>
      </c>
      <c r="T82" s="200">
        <f t="shared" ref="T82:T87" si="119">(N82-$M$69)/$M$69</f>
        <v>-1.7068079269235936E-2</v>
      </c>
      <c r="U82" s="200">
        <f t="shared" ref="U82:U87" si="120">(S82-T82)*0.7+S82*0.3</f>
        <v>0.10031727829956852</v>
      </c>
      <c r="V82" s="37">
        <f t="shared" ref="V82:V87" si="121">E82*U82+$A$76+$A$86</f>
        <v>443123.04132381035</v>
      </c>
      <c r="W82" s="37">
        <f t="shared" ref="W82:W93" si="122">E82*S82+$A$76+$A$84</f>
        <v>391111.56596355367</v>
      </c>
      <c r="X82" s="200">
        <f t="shared" ref="X82:X93" si="123">(K82-33.8)/33.8</f>
        <v>9.2011834319526614E-2</v>
      </c>
      <c r="Y82" s="203">
        <f t="shared" ref="Y82" si="124">(N82-N81)/N81</f>
        <v>3.1438131453132632E-3</v>
      </c>
      <c r="Z82" s="203">
        <f t="shared" ref="Z82" si="125">X82-Y82</f>
        <v>8.8868021174213357E-2</v>
      </c>
      <c r="AA82" s="200">
        <f t="shared" si="88"/>
        <v>4.19294580967247E-2</v>
      </c>
      <c r="AB82" s="37">
        <f t="shared" ref="AB82" si="126">R82</f>
        <v>156684.77369773042</v>
      </c>
      <c r="AC82" s="37">
        <f t="shared" ref="AC82" si="127">AC81+AA82</f>
        <v>0.12107908909101887</v>
      </c>
    </row>
    <row r="83" spans="1:29" x14ac:dyDescent="0.15">
      <c r="A83" t="s">
        <v>125</v>
      </c>
      <c r="B83" s="213">
        <v>42536</v>
      </c>
      <c r="C83" s="183" t="s">
        <v>75</v>
      </c>
      <c r="D83" s="183" t="s">
        <v>73</v>
      </c>
      <c r="E83" s="102">
        <v>3545421.56</v>
      </c>
      <c r="F83" s="183">
        <f t="shared" ref="F83:F85" si="128">K83*I83</f>
        <v>3922916.6549999998</v>
      </c>
      <c r="G83" s="183">
        <f t="shared" ref="G83:G85" si="129">J83*I83</f>
        <v>3901774.5549999997</v>
      </c>
      <c r="H83" s="183">
        <f t="shared" ref="H83:H85" si="130">K83*I83</f>
        <v>3922916.6549999998</v>
      </c>
      <c r="I83" s="102">
        <v>105710.5</v>
      </c>
      <c r="J83" s="183">
        <v>36.909999999999997</v>
      </c>
      <c r="K83" s="183">
        <v>37.11</v>
      </c>
      <c r="L83" s="42">
        <f t="shared" si="2"/>
        <v>5.4185857491195573E-3</v>
      </c>
      <c r="M83" s="183">
        <v>3075.98</v>
      </c>
      <c r="N83" s="183">
        <v>3116.37</v>
      </c>
      <c r="O83" s="42">
        <f t="shared" si="114"/>
        <v>1.3130774582409467E-2</v>
      </c>
      <c r="P83" s="42">
        <f t="shared" si="115"/>
        <v>-7.7121888332899102E-3</v>
      </c>
      <c r="Q83" s="42">
        <f t="shared" si="116"/>
        <v>-3.7729564585670698E-3</v>
      </c>
      <c r="R83" s="183">
        <f t="shared" si="117"/>
        <v>-14721.225507159903</v>
      </c>
      <c r="S83" s="79">
        <f t="shared" si="118"/>
        <v>9.4267046939042226E-2</v>
      </c>
      <c r="T83" s="79">
        <f t="shared" si="119"/>
        <v>-4.1614217882655017E-3</v>
      </c>
      <c r="U83" s="79">
        <f t="shared" si="120"/>
        <v>9.718004219082807E-2</v>
      </c>
      <c r="V83" s="183">
        <f t="shared" si="121"/>
        <v>432000.21678507148</v>
      </c>
      <c r="W83" s="183">
        <f t="shared" si="122"/>
        <v>412020.42061521229</v>
      </c>
      <c r="X83" s="168">
        <f t="shared" si="123"/>
        <v>9.7928994082840309E-2</v>
      </c>
      <c r="Y83" s="191">
        <f t="shared" ref="Y83" si="131">(N83-N82)/N82</f>
        <v>1.3130774582409467E-2</v>
      </c>
      <c r="Z83" s="191">
        <f t="shared" ref="Z83" si="132">X83-Y83</f>
        <v>8.4798219500430844E-2</v>
      </c>
      <c r="AA83" s="42">
        <f t="shared" si="88"/>
        <v>-3.7729564585670698E-3</v>
      </c>
      <c r="AB83" s="183">
        <f t="shared" ref="AB83" si="133">R83</f>
        <v>-14721.225507159903</v>
      </c>
      <c r="AC83" s="183">
        <f t="shared" ref="AC83" si="134">AC82+AA83</f>
        <v>0.11730613263245181</v>
      </c>
    </row>
    <row r="84" spans="1:29" ht="15.75" customHeight="1" x14ac:dyDescent="0.15">
      <c r="A84">
        <v>39593</v>
      </c>
      <c r="B84" s="213">
        <v>42537</v>
      </c>
      <c r="C84" s="183" t="s">
        <v>75</v>
      </c>
      <c r="D84" s="183" t="s">
        <v>73</v>
      </c>
      <c r="E84" s="102">
        <v>3545421.56</v>
      </c>
      <c r="F84" s="183">
        <f t="shared" si="128"/>
        <v>3773864.85</v>
      </c>
      <c r="G84" s="183">
        <f t="shared" si="129"/>
        <v>3922916.6549999998</v>
      </c>
      <c r="H84" s="183">
        <f t="shared" si="130"/>
        <v>3773864.85</v>
      </c>
      <c r="I84" s="102">
        <v>105710.5</v>
      </c>
      <c r="J84" s="183">
        <v>37.11</v>
      </c>
      <c r="K84" s="183">
        <v>35.700000000000003</v>
      </c>
      <c r="L84" s="42">
        <f t="shared" si="2"/>
        <v>-3.7995149555375821E-2</v>
      </c>
      <c r="M84" s="183">
        <v>3116.37</v>
      </c>
      <c r="N84" s="183">
        <v>3094.68</v>
      </c>
      <c r="O84" s="42">
        <f t="shared" si="114"/>
        <v>-6.9600207934231353E-3</v>
      </c>
      <c r="P84" s="42">
        <f t="shared" si="115"/>
        <v>-3.1035128761952684E-2</v>
      </c>
      <c r="Q84" s="42">
        <f t="shared" si="116"/>
        <v>-3.3123134999979625E-2</v>
      </c>
      <c r="R84" s="183">
        <f t="shared" si="117"/>
        <v>-129939.29795723349</v>
      </c>
      <c r="S84" s="79">
        <f t="shared" si="118"/>
        <v>5.2690206837073865E-2</v>
      </c>
      <c r="T84" s="79">
        <f t="shared" si="119"/>
        <v>-1.1092478999512104E-2</v>
      </c>
      <c r="U84" s="79">
        <f t="shared" si="120"/>
        <v>6.0454942136732338E-2</v>
      </c>
      <c r="V84" s="183">
        <f t="shared" si="121"/>
        <v>301794.25526012329</v>
      </c>
      <c r="W84" s="183">
        <f t="shared" si="122"/>
        <v>264612.99532102107</v>
      </c>
      <c r="X84" s="168">
        <f t="shared" si="123"/>
        <v>5.6213017751479466E-2</v>
      </c>
      <c r="Y84" s="191">
        <f t="shared" ref="Y84" si="135">(N84-N83)/N83</f>
        <v>-6.9600207934231353E-3</v>
      </c>
      <c r="Z84" s="191">
        <f t="shared" ref="Z84" si="136">X84-Y84</f>
        <v>6.3173038544902596E-2</v>
      </c>
      <c r="AA84" s="42">
        <f t="shared" si="88"/>
        <v>-3.3123134999979625E-2</v>
      </c>
      <c r="AB84" s="183">
        <f t="shared" ref="AB84" si="137">R84</f>
        <v>-129939.29795723349</v>
      </c>
      <c r="AC84" s="183">
        <f t="shared" ref="AC84" si="138">AC83+AA84</f>
        <v>8.4182997632472181E-2</v>
      </c>
    </row>
    <row r="85" spans="1:29" x14ac:dyDescent="0.15">
      <c r="A85" t="s">
        <v>126</v>
      </c>
      <c r="B85" s="213">
        <v>42538</v>
      </c>
      <c r="C85" s="183" t="s">
        <v>75</v>
      </c>
      <c r="D85" s="183" t="s">
        <v>73</v>
      </c>
      <c r="E85" s="102">
        <v>3545421.56</v>
      </c>
      <c r="F85" s="183">
        <f t="shared" si="128"/>
        <v>3784435.9</v>
      </c>
      <c r="G85" s="183">
        <f t="shared" si="129"/>
        <v>3773864.85</v>
      </c>
      <c r="H85" s="183">
        <f t="shared" si="130"/>
        <v>3784435.9</v>
      </c>
      <c r="I85" s="102">
        <v>105710.5</v>
      </c>
      <c r="J85" s="183">
        <v>35.700000000000003</v>
      </c>
      <c r="K85" s="183">
        <v>35.799999999999997</v>
      </c>
      <c r="L85" s="42">
        <f t="shared" si="2"/>
        <v>2.8011204481791121E-3</v>
      </c>
      <c r="M85" s="183">
        <v>3094.68</v>
      </c>
      <c r="N85" s="183">
        <v>3110.36</v>
      </c>
      <c r="O85" s="42">
        <f t="shared" si="114"/>
        <v>5.0667597296005697E-3</v>
      </c>
      <c r="P85" s="42">
        <f t="shared" si="115"/>
        <v>-2.2656392814214576E-3</v>
      </c>
      <c r="Q85" s="42">
        <f t="shared" si="116"/>
        <v>-7.4561136254128668E-4</v>
      </c>
      <c r="R85" s="183">
        <f t="shared" si="117"/>
        <v>-2813.8365128551686</v>
      </c>
      <c r="S85" s="79">
        <f t="shared" si="118"/>
        <v>5.563891890104309E-2</v>
      </c>
      <c r="T85" s="79">
        <f t="shared" si="119"/>
        <v>-6.0819221958077034E-3</v>
      </c>
      <c r="U85" s="79">
        <f t="shared" si="120"/>
        <v>5.9896264438108478E-2</v>
      </c>
      <c r="V85" s="183">
        <f t="shared" si="121"/>
        <v>299813.5073023311</v>
      </c>
      <c r="W85" s="183">
        <f t="shared" si="122"/>
        <v>275067.42264684965</v>
      </c>
      <c r="X85" s="168">
        <f t="shared" si="123"/>
        <v>5.9171597633136098E-2</v>
      </c>
      <c r="Y85" s="191">
        <f t="shared" ref="Y85" si="139">(N85-N84)/N84</f>
        <v>5.0667597296005697E-3</v>
      </c>
      <c r="Z85" s="191">
        <f t="shared" ref="Z85" si="140">X85-Y85</f>
        <v>5.4104837903535527E-2</v>
      </c>
      <c r="AA85" s="42">
        <f t="shared" si="88"/>
        <v>-7.4561136254128668E-4</v>
      </c>
      <c r="AB85" s="183">
        <f t="shared" ref="AB85" si="141">R85</f>
        <v>-2813.8365128551686</v>
      </c>
      <c r="AC85" s="183">
        <f t="shared" ref="AC85" si="142">AC84+AA85</f>
        <v>8.3437386269930899E-2</v>
      </c>
    </row>
    <row r="86" spans="1:29" x14ac:dyDescent="0.15">
      <c r="A86">
        <v>49245</v>
      </c>
      <c r="B86" s="213">
        <v>42541</v>
      </c>
      <c r="C86" s="183" t="s">
        <v>75</v>
      </c>
      <c r="D86" s="183" t="s">
        <v>73</v>
      </c>
      <c r="E86" s="102">
        <v>3545421.56</v>
      </c>
      <c r="F86" s="183">
        <f t="shared" ref="F86:F93" si="143">K86*I86</f>
        <v>3836234.0449999999</v>
      </c>
      <c r="G86" s="183">
        <f t="shared" ref="G86:G93" si="144">J86*I86</f>
        <v>3784435.9</v>
      </c>
      <c r="H86" s="183">
        <f t="shared" ref="H86:H93" si="145">K86*I86</f>
        <v>3836234.0449999999</v>
      </c>
      <c r="I86" s="102">
        <v>105710.5</v>
      </c>
      <c r="J86" s="183">
        <v>35.799999999999997</v>
      </c>
      <c r="K86" s="183">
        <v>36.29</v>
      </c>
      <c r="L86" s="42">
        <f t="shared" si="2"/>
        <v>1.3687150837988884E-2</v>
      </c>
      <c r="M86" s="183">
        <v>3110.36</v>
      </c>
      <c r="N86" s="183">
        <v>3112.67</v>
      </c>
      <c r="O86" s="42">
        <f t="shared" si="114"/>
        <v>7.4267930400337748E-4</v>
      </c>
      <c r="P86" s="42">
        <f t="shared" si="115"/>
        <v>1.2944471533985506E-2</v>
      </c>
      <c r="Q86" s="42">
        <f t="shared" si="116"/>
        <v>1.3167275325186519E-2</v>
      </c>
      <c r="R86" s="183">
        <f t="shared" si="117"/>
        <v>49830.709445820037</v>
      </c>
      <c r="S86" s="79">
        <f t="shared" si="118"/>
        <v>7.008760801449318E-2</v>
      </c>
      <c r="T86" s="79">
        <f t="shared" si="119"/>
        <v>-5.343759809547711E-3</v>
      </c>
      <c r="U86" s="79">
        <f t="shared" si="120"/>
        <v>7.382823988117658E-2</v>
      </c>
      <c r="V86" s="183">
        <f t="shared" si="121"/>
        <v>349208.23341157532</v>
      </c>
      <c r="W86" s="183">
        <f t="shared" si="122"/>
        <v>326294.11654341291</v>
      </c>
      <c r="X86" s="168">
        <f t="shared" si="123"/>
        <v>7.3668639053254506E-2</v>
      </c>
      <c r="Y86" s="191">
        <f t="shared" ref="Y86" si="146">(N86-N85)/N85</f>
        <v>7.4267930400337748E-4</v>
      </c>
      <c r="Z86" s="191">
        <f t="shared" ref="Z86" si="147">X86-Y86</f>
        <v>7.2925959749251132E-2</v>
      </c>
      <c r="AA86" s="42">
        <f t="shared" si="88"/>
        <v>1.3167275325186519E-2</v>
      </c>
      <c r="AB86" s="183">
        <f t="shared" ref="AB86" si="148">R86</f>
        <v>49830.709445820037</v>
      </c>
      <c r="AC86" s="183">
        <f t="shared" ref="AC86" si="149">AC85+AA86</f>
        <v>9.6604661595117422E-2</v>
      </c>
    </row>
    <row r="87" spans="1:29" x14ac:dyDescent="0.15">
      <c r="B87" s="213">
        <v>42542</v>
      </c>
      <c r="C87" s="183" t="s">
        <v>75</v>
      </c>
      <c r="D87" s="183" t="s">
        <v>73</v>
      </c>
      <c r="E87" s="102">
        <v>3545421.56</v>
      </c>
      <c r="F87" s="183">
        <f t="shared" si="143"/>
        <v>3842576.6750000003</v>
      </c>
      <c r="G87" s="183">
        <f t="shared" si="144"/>
        <v>3836234.0449999999</v>
      </c>
      <c r="H87" s="183">
        <f t="shared" si="145"/>
        <v>3842576.6750000003</v>
      </c>
      <c r="I87" s="102">
        <v>105710.5</v>
      </c>
      <c r="J87" s="183">
        <v>36.29</v>
      </c>
      <c r="K87" s="183">
        <v>36.35</v>
      </c>
      <c r="L87" s="42">
        <f t="shared" si="2"/>
        <v>1.6533480297603272E-3</v>
      </c>
      <c r="M87" s="183">
        <v>3112.67</v>
      </c>
      <c r="N87" s="183">
        <v>3106.32</v>
      </c>
      <c r="O87" s="42">
        <f t="shared" si="114"/>
        <v>-2.0400492181952821E-3</v>
      </c>
      <c r="P87" s="42">
        <f t="shared" si="115"/>
        <v>3.6933972479556093E-3</v>
      </c>
      <c r="Q87" s="42">
        <f t="shared" si="116"/>
        <v>3.0813824824970247E-3</v>
      </c>
      <c r="R87" s="183">
        <f t="shared" si="117"/>
        <v>11820.904385021702</v>
      </c>
      <c r="S87" s="79">
        <f t="shared" si="118"/>
        <v>7.1856835252874882E-2</v>
      </c>
      <c r="T87" s="79">
        <f t="shared" si="119"/>
        <v>-7.3729074947213018E-3</v>
      </c>
      <c r="U87" s="79">
        <f t="shared" si="120"/>
        <v>7.7017870499179797E-2</v>
      </c>
      <c r="V87" s="183">
        <f t="shared" si="121"/>
        <v>360516.81857308</v>
      </c>
      <c r="W87" s="183">
        <f t="shared" si="122"/>
        <v>332566.77293891064</v>
      </c>
      <c r="X87" s="168">
        <f t="shared" si="123"/>
        <v>7.5443786982248656E-2</v>
      </c>
      <c r="Y87" s="191">
        <f t="shared" ref="Y87" si="150">(N87-N86)/N86</f>
        <v>-2.0400492181952821E-3</v>
      </c>
      <c r="Z87" s="191">
        <f t="shared" ref="Z87" si="151">X87-Y87</f>
        <v>7.748383620044394E-2</v>
      </c>
      <c r="AA87" s="42">
        <f t="shared" si="88"/>
        <v>3.0813824824970247E-3</v>
      </c>
      <c r="AB87" s="183">
        <f t="shared" ref="AB87" si="152">R87</f>
        <v>11820.904385021702</v>
      </c>
      <c r="AC87" s="183">
        <f t="shared" ref="AC87" si="153">AC86+AA87</f>
        <v>9.9686044077614444E-2</v>
      </c>
    </row>
    <row r="88" spans="1:29" x14ac:dyDescent="0.15">
      <c r="A88" t="s">
        <v>139</v>
      </c>
      <c r="B88" s="213">
        <v>42543</v>
      </c>
      <c r="C88" s="183" t="s">
        <v>75</v>
      </c>
      <c r="D88" s="183" t="s">
        <v>73</v>
      </c>
      <c r="E88" s="102">
        <v>4044693.56</v>
      </c>
      <c r="F88" s="183">
        <f t="shared" si="143"/>
        <v>4276008.43</v>
      </c>
      <c r="G88" s="183">
        <f t="shared" si="144"/>
        <v>4044693.56</v>
      </c>
      <c r="H88" s="183">
        <f t="shared" si="145"/>
        <v>4276008.43</v>
      </c>
      <c r="I88" s="102">
        <v>119910.5</v>
      </c>
      <c r="J88" s="102">
        <v>33.730937324087549</v>
      </c>
      <c r="K88" s="183">
        <v>35.659999999999997</v>
      </c>
      <c r="L88" s="42">
        <f t="shared" si="2"/>
        <v>5.7189714515727012E-2</v>
      </c>
      <c r="M88" s="183">
        <v>3134.3015136576146</v>
      </c>
      <c r="N88" s="183">
        <v>3133.96</v>
      </c>
      <c r="O88" s="42">
        <f t="shared" ref="O88:O93" si="154">(N88-M88)/M88</f>
        <v>-1.089600525432563E-4</v>
      </c>
      <c r="P88" s="42">
        <f t="shared" ref="P88:P93" si="155">L88-O88</f>
        <v>5.7298674568270272E-2</v>
      </c>
      <c r="Q88" s="42">
        <f t="shared" ref="Q88:Q93" si="156">L88*0.3+P88*0.7</f>
        <v>5.7265986552507295E-2</v>
      </c>
      <c r="R88" s="183">
        <f t="shared" ref="R88:R93" si="157">G88*Q88</f>
        <v>231623.36701597285</v>
      </c>
      <c r="S88" s="79">
        <f t="shared" si="118"/>
        <v>5.1510722011485925E-2</v>
      </c>
      <c r="T88" s="168">
        <f t="shared" ref="T88:T93" si="158">(N88-$M$69)/$M$69</f>
        <v>1.4594770750737532E-3</v>
      </c>
      <c r="U88" s="168">
        <f t="shared" ref="U88:U93" si="159">(S88-T88)*0.7+S88*0.3</f>
        <v>5.0489088058934296E-2</v>
      </c>
      <c r="V88" s="183">
        <f t="shared" ref="V88:V93" si="160">E88*U88+$A$76+$A$86</f>
        <v>291668.88932224445</v>
      </c>
      <c r="W88" s="183">
        <f t="shared" si="122"/>
        <v>286149.08559080737</v>
      </c>
      <c r="X88" s="168">
        <f t="shared" si="123"/>
        <v>5.5029585798816553E-2</v>
      </c>
      <c r="Y88" s="191">
        <f t="shared" ref="Y88" si="161">(N88-N87)/N87</f>
        <v>8.8979886167554756E-3</v>
      </c>
      <c r="Z88" s="191">
        <f t="shared" ref="Z88" si="162">X88-Y88</f>
        <v>4.6131597182061078E-2</v>
      </c>
      <c r="AA88" s="42">
        <f t="shared" ref="AA88:AA91" si="163">Q88</f>
        <v>5.7265986552507295E-2</v>
      </c>
      <c r="AB88" s="183">
        <f t="shared" ref="AB88" si="164">R88</f>
        <v>231623.36701597285</v>
      </c>
      <c r="AC88" s="183">
        <f t="shared" ref="AC88" si="165">AC87+AA88</f>
        <v>0.15695203063012175</v>
      </c>
    </row>
    <row r="89" spans="1:29" x14ac:dyDescent="0.15">
      <c r="B89" s="213">
        <v>42544</v>
      </c>
      <c r="C89" s="183" t="s">
        <v>75</v>
      </c>
      <c r="D89" s="183" t="s">
        <v>73</v>
      </c>
      <c r="E89" s="102">
        <v>4044693.56</v>
      </c>
      <c r="F89" s="183">
        <f t="shared" si="143"/>
        <v>4272411.1150000002</v>
      </c>
      <c r="G89" s="183">
        <f t="shared" si="144"/>
        <v>4276008.43</v>
      </c>
      <c r="H89" s="183">
        <f t="shared" si="145"/>
        <v>4272411.1150000002</v>
      </c>
      <c r="I89" s="102">
        <v>119910.5</v>
      </c>
      <c r="J89" s="183">
        <v>35.659999999999997</v>
      </c>
      <c r="K89" s="183">
        <v>35.630000000000003</v>
      </c>
      <c r="L89" s="42">
        <f t="shared" si="2"/>
        <v>-8.4127874369024208E-4</v>
      </c>
      <c r="M89" s="183">
        <v>3133.96</v>
      </c>
      <c r="N89" s="183">
        <v>3117.32</v>
      </c>
      <c r="O89" s="42">
        <f t="shared" si="154"/>
        <v>-5.3095763825957805E-3</v>
      </c>
      <c r="P89" s="42">
        <f t="shared" si="155"/>
        <v>4.4682976389055383E-3</v>
      </c>
      <c r="Q89" s="42">
        <f t="shared" si="156"/>
        <v>2.8754247241268042E-3</v>
      </c>
      <c r="R89" s="183">
        <f t="shared" si="157"/>
        <v>12295.340360196638</v>
      </c>
      <c r="S89" s="79">
        <f t="shared" si="118"/>
        <v>5.0626108392295283E-2</v>
      </c>
      <c r="T89" s="79">
        <f t="shared" si="158"/>
        <v>-3.8578485125307788E-3</v>
      </c>
      <c r="U89" s="79">
        <f t="shared" si="159"/>
        <v>5.3326602351066822E-2</v>
      </c>
      <c r="V89" s="183">
        <f t="shared" si="160"/>
        <v>303145.76510604087</v>
      </c>
      <c r="W89" s="183">
        <f t="shared" si="122"/>
        <v>282571.09458217869</v>
      </c>
      <c r="X89" s="168">
        <f t="shared" si="123"/>
        <v>5.4142011834319693E-2</v>
      </c>
      <c r="Y89" s="191">
        <f t="shared" ref="Y89" si="166">(N89-N88)/N88</f>
        <v>-5.3095763825957805E-3</v>
      </c>
      <c r="Z89" s="191">
        <f t="shared" ref="Z89" si="167">X89-Y89</f>
        <v>5.9451588216915471E-2</v>
      </c>
      <c r="AA89" s="42">
        <f t="shared" si="163"/>
        <v>2.8754247241268042E-3</v>
      </c>
      <c r="AB89" s="183">
        <f t="shared" ref="AB89" si="168">R89</f>
        <v>12295.340360196638</v>
      </c>
      <c r="AC89" s="183">
        <f t="shared" ref="AC89" si="169">AC88+AA89</f>
        <v>0.15982745535424855</v>
      </c>
    </row>
    <row r="90" spans="1:29" x14ac:dyDescent="0.15">
      <c r="B90" s="213">
        <v>42545</v>
      </c>
      <c r="C90" s="183" t="s">
        <v>75</v>
      </c>
      <c r="D90" s="183" t="s">
        <v>73</v>
      </c>
      <c r="E90" s="102">
        <v>4044693.56</v>
      </c>
      <c r="F90" s="183">
        <f t="shared" si="143"/>
        <v>4292795.8999999994</v>
      </c>
      <c r="G90" s="183">
        <f t="shared" si="144"/>
        <v>4272411.1150000002</v>
      </c>
      <c r="H90" s="183">
        <f t="shared" si="145"/>
        <v>4292795.8999999994</v>
      </c>
      <c r="I90" s="102">
        <v>119910.5</v>
      </c>
      <c r="J90" s="183">
        <v>35.630000000000003</v>
      </c>
      <c r="K90" s="183">
        <v>35.799999999999997</v>
      </c>
      <c r="L90" s="42">
        <f t="shared" si="2"/>
        <v>4.7712601740105129E-3</v>
      </c>
      <c r="M90" s="183">
        <v>3117.32</v>
      </c>
      <c r="N90" s="183">
        <v>3077.16</v>
      </c>
      <c r="O90" s="42">
        <f t="shared" si="154"/>
        <v>-1.2882860918994619E-2</v>
      </c>
      <c r="P90" s="42">
        <f t="shared" si="155"/>
        <v>1.7654121093005133E-2</v>
      </c>
      <c r="Q90" s="42">
        <f t="shared" si="156"/>
        <v>1.3789262817306747E-2</v>
      </c>
      <c r="R90" s="183">
        <f t="shared" si="157"/>
        <v>58913.399728317563</v>
      </c>
      <c r="S90" s="79">
        <f t="shared" si="118"/>
        <v>5.563891890104309E-2</v>
      </c>
      <c r="T90" s="79">
        <f t="shared" si="158"/>
        <v>-1.6691009305691912E-2</v>
      </c>
      <c r="U90" s="79">
        <f t="shared" si="159"/>
        <v>6.7322625415027426E-2</v>
      </c>
      <c r="V90" s="183">
        <f t="shared" si="160"/>
        <v>359755.38945845375</v>
      </c>
      <c r="W90" s="183">
        <f t="shared" si="122"/>
        <v>302846.37696441123</v>
      </c>
      <c r="X90" s="168">
        <f t="shared" si="123"/>
        <v>5.9171597633136098E-2</v>
      </c>
      <c r="Y90" s="191">
        <f t="shared" ref="Y90" si="170">(N90-N89)/N89</f>
        <v>-1.2882860918994619E-2</v>
      </c>
      <c r="Z90" s="191">
        <f t="shared" ref="Z90" si="171">X90-Y90</f>
        <v>7.2054458552130718E-2</v>
      </c>
      <c r="AA90" s="42">
        <f t="shared" si="163"/>
        <v>1.3789262817306747E-2</v>
      </c>
      <c r="AB90" s="183">
        <f t="shared" ref="AB90:AB91" si="172">R90</f>
        <v>58913.399728317563</v>
      </c>
      <c r="AC90" s="183">
        <f t="shared" ref="AC90:AC91" si="173">AC89+AA90</f>
        <v>0.1736167181715553</v>
      </c>
    </row>
    <row r="91" spans="1:29" x14ac:dyDescent="0.15">
      <c r="B91" s="213">
        <v>42548</v>
      </c>
      <c r="C91" s="183" t="s">
        <v>75</v>
      </c>
      <c r="D91" s="183" t="s">
        <v>73</v>
      </c>
      <c r="E91" s="102">
        <v>4044693.56</v>
      </c>
      <c r="F91" s="183">
        <f t="shared" si="143"/>
        <v>4413905.5049999999</v>
      </c>
      <c r="G91" s="183">
        <f t="shared" si="144"/>
        <v>4292795.8999999994</v>
      </c>
      <c r="H91" s="183">
        <f t="shared" si="145"/>
        <v>4413905.5049999999</v>
      </c>
      <c r="I91" s="102">
        <v>119910.5</v>
      </c>
      <c r="J91" s="183">
        <v>35.799999999999997</v>
      </c>
      <c r="K91" s="183">
        <v>36.81</v>
      </c>
      <c r="L91" s="42">
        <f t="shared" si="2"/>
        <v>2.821229050279344E-2</v>
      </c>
      <c r="M91" s="183">
        <v>3077.16</v>
      </c>
      <c r="N91" s="183">
        <v>3120.54</v>
      </c>
      <c r="O91" s="42">
        <f t="shared" si="154"/>
        <v>1.4097414499083607E-2</v>
      </c>
      <c r="P91" s="42">
        <f t="shared" si="155"/>
        <v>1.4114876003709833E-2</v>
      </c>
      <c r="Q91" s="42">
        <f t="shared" si="156"/>
        <v>1.8344100353434915E-2</v>
      </c>
      <c r="R91" s="183">
        <f t="shared" si="157"/>
        <v>78747.478786413951</v>
      </c>
      <c r="S91" s="79">
        <f t="shared" si="118"/>
        <v>8.5420910747134121E-2</v>
      </c>
      <c r="T91" s="79">
        <f t="shared" si="158"/>
        <v>-2.8288948831987079E-3</v>
      </c>
      <c r="U91" s="79">
        <f t="shared" si="159"/>
        <v>8.7401137165373205E-2</v>
      </c>
      <c r="V91" s="183">
        <f t="shared" si="160"/>
        <v>440966.81662946165</v>
      </c>
      <c r="W91" s="183">
        <f t="shared" si="122"/>
        <v>423305.40758826816</v>
      </c>
      <c r="X91" s="168">
        <f t="shared" si="123"/>
        <v>8.9053254437869975E-2</v>
      </c>
      <c r="Y91" s="191">
        <f t="shared" ref="Y91" si="174">(N91-N90)/N90</f>
        <v>1.4097414499083607E-2</v>
      </c>
      <c r="Z91" s="191">
        <f t="shared" ref="Z91" si="175">X91-Y91</f>
        <v>7.4955839938786364E-2</v>
      </c>
      <c r="AA91" s="42">
        <f t="shared" si="163"/>
        <v>1.8344100353434915E-2</v>
      </c>
      <c r="AB91" s="183">
        <f t="shared" si="172"/>
        <v>78747.478786413951</v>
      </c>
      <c r="AC91" s="183">
        <f t="shared" si="173"/>
        <v>0.19196081852499022</v>
      </c>
    </row>
    <row r="92" spans="1:29" x14ac:dyDescent="0.15">
      <c r="B92" s="213">
        <v>42549</v>
      </c>
      <c r="C92" s="183" t="s">
        <v>75</v>
      </c>
      <c r="D92" s="183" t="s">
        <v>73</v>
      </c>
      <c r="E92" s="102">
        <v>4044693.56</v>
      </c>
      <c r="F92" s="183">
        <f t="shared" si="143"/>
        <v>4373135.9349999996</v>
      </c>
      <c r="G92" s="183">
        <f t="shared" si="144"/>
        <v>4413905.5049999999</v>
      </c>
      <c r="H92" s="183">
        <f t="shared" si="145"/>
        <v>4373135.9349999996</v>
      </c>
      <c r="I92" s="102">
        <v>119910.5</v>
      </c>
      <c r="J92" s="183">
        <v>36.81</v>
      </c>
      <c r="K92" s="183">
        <v>36.47</v>
      </c>
      <c r="L92" s="42">
        <f t="shared" si="2"/>
        <v>-9.2366204835643406E-3</v>
      </c>
      <c r="M92" s="183">
        <v>3120.54</v>
      </c>
      <c r="N92" s="183">
        <v>3136.4</v>
      </c>
      <c r="O92" s="42">
        <f t="shared" si="154"/>
        <v>5.082453677889124E-3</v>
      </c>
      <c r="P92" s="42">
        <f t="shared" si="155"/>
        <v>-1.4319074161453465E-2</v>
      </c>
      <c r="Q92" s="42">
        <f t="shared" si="156"/>
        <v>-1.2794338058086727E-2</v>
      </c>
      <c r="R92" s="183">
        <f t="shared" si="157"/>
        <v>-56472.999187420013</v>
      </c>
      <c r="S92" s="79">
        <f t="shared" si="118"/>
        <v>7.539528972963809E-2</v>
      </c>
      <c r="T92" s="79">
        <f t="shared" si="158"/>
        <v>2.2391810674869412E-3</v>
      </c>
      <c r="U92" s="79">
        <f t="shared" si="159"/>
        <v>7.3827862982397227E-2</v>
      </c>
      <c r="V92" s="183">
        <f t="shared" si="160"/>
        <v>386067.08195346448</v>
      </c>
      <c r="W92" s="183">
        <f t="shared" si="122"/>
        <v>382754.84282380133</v>
      </c>
      <c r="X92" s="168">
        <f t="shared" si="123"/>
        <v>7.8994082840236748E-2</v>
      </c>
      <c r="Y92" s="191">
        <f t="shared" ref="Y92" si="176">(N92-N91)/N91</f>
        <v>5.082453677889124E-3</v>
      </c>
      <c r="Z92" s="191">
        <f t="shared" ref="Z92" si="177">X92-Y92</f>
        <v>7.3911629162347628E-2</v>
      </c>
      <c r="AA92" s="42">
        <f t="shared" ref="AA92:AA93" si="178">Q92</f>
        <v>-1.2794338058086727E-2</v>
      </c>
      <c r="AB92" s="183">
        <f t="shared" ref="AB92" si="179">R92</f>
        <v>-56472.999187420013</v>
      </c>
      <c r="AC92" s="183">
        <f t="shared" ref="AC92" si="180">AC91+AA92</f>
        <v>0.1791664804669035</v>
      </c>
    </row>
    <row r="93" spans="1:29" x14ac:dyDescent="0.15">
      <c r="B93" s="213">
        <v>42550</v>
      </c>
      <c r="C93" s="183" t="s">
        <v>75</v>
      </c>
      <c r="D93" s="183" t="s">
        <v>73</v>
      </c>
      <c r="E93" s="102">
        <v>4044693.56</v>
      </c>
      <c r="F93" s="183">
        <f t="shared" si="143"/>
        <v>4347954.7299999995</v>
      </c>
      <c r="G93" s="183">
        <f t="shared" si="144"/>
        <v>4373135.9349999996</v>
      </c>
      <c r="H93" s="183">
        <f t="shared" si="145"/>
        <v>4347954.7299999995</v>
      </c>
      <c r="I93" s="102">
        <v>119910.5</v>
      </c>
      <c r="J93" s="183">
        <v>36.47</v>
      </c>
      <c r="K93" s="183">
        <v>36.26</v>
      </c>
      <c r="L93" s="78">
        <f t="shared" si="2"/>
        <v>-5.7581573896353403E-3</v>
      </c>
      <c r="M93" s="183">
        <v>3136.4</v>
      </c>
      <c r="N93" s="183">
        <v>3151.39</v>
      </c>
      <c r="O93" s="79">
        <f t="shared" si="154"/>
        <v>4.7793648769288936E-3</v>
      </c>
      <c r="P93" s="79">
        <f t="shared" si="155"/>
        <v>-1.0537522266564233E-2</v>
      </c>
      <c r="Q93" s="168">
        <f t="shared" si="156"/>
        <v>-9.1037128034855645E-3</v>
      </c>
      <c r="R93" s="183">
        <f t="shared" si="157"/>
        <v>-39811.77360284231</v>
      </c>
      <c r="S93" s="79">
        <f t="shared" si="118"/>
        <v>6.9202994395302336E-2</v>
      </c>
      <c r="T93" s="79">
        <f t="shared" si="158"/>
        <v>7.0292478077628659E-3</v>
      </c>
      <c r="U93" s="79">
        <f t="shared" si="159"/>
        <v>6.4282520929868331E-2</v>
      </c>
      <c r="V93" s="183">
        <f t="shared" si="160"/>
        <v>347459.09842560365</v>
      </c>
      <c r="W93" s="183">
        <f t="shared" si="122"/>
        <v>357708.90576339548</v>
      </c>
      <c r="X93" s="168">
        <f t="shared" si="123"/>
        <v>7.2781065088757424E-2</v>
      </c>
      <c r="Y93" s="191">
        <f t="shared" ref="Y93" si="181">(N93-N92)/N92</f>
        <v>4.7793648769288936E-3</v>
      </c>
      <c r="Z93" s="191">
        <f t="shared" ref="Z93" si="182">X93-Y93</f>
        <v>6.8001700211828525E-2</v>
      </c>
      <c r="AA93" s="168">
        <f t="shared" si="178"/>
        <v>-9.1037128034855645E-3</v>
      </c>
      <c r="AB93" s="183">
        <f t="shared" ref="AB93" si="183">R93</f>
        <v>-39811.77360284231</v>
      </c>
      <c r="AC93" s="183">
        <f t="shared" ref="AC93" si="184">AC92+AA93</f>
        <v>0.17006276766341794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pane ySplit="1" topLeftCell="A68" activePane="bottomLeft" state="frozen"/>
      <selection pane="bottomLeft" activeCell="AB95" sqref="AB95"/>
    </sheetView>
  </sheetViews>
  <sheetFormatPr defaultRowHeight="13.5" x14ac:dyDescent="0.15"/>
  <cols>
    <col min="2" max="2" width="12.125" customWidth="1"/>
    <col min="12" max="12" width="9" style="168"/>
    <col min="15" max="15" width="9" style="168"/>
    <col min="16" max="16" width="13.625" customWidth="1"/>
    <col min="17" max="17" width="14.75" style="168" customWidth="1"/>
    <col min="19" max="19" width="13.375" customWidth="1"/>
    <col min="20" max="20" width="14.375" style="168" customWidth="1"/>
    <col min="21" max="21" width="14.25" customWidth="1"/>
    <col min="22" max="22" width="15.125" customWidth="1"/>
    <col min="23" max="23" width="15" customWidth="1"/>
    <col min="24" max="24" width="13.25" customWidth="1"/>
    <col min="26" max="26" width="16.375" customWidth="1"/>
    <col min="27" max="27" width="13.75" style="168" customWidth="1"/>
    <col min="28" max="28" width="11.25" customWidth="1"/>
    <col min="29" max="29" width="11.375" customWidth="1"/>
  </cols>
  <sheetData>
    <row r="1" spans="1:29" s="180" customFormat="1" ht="27" x14ac:dyDescent="0.15">
      <c r="A1" s="170"/>
      <c r="B1" s="174" t="s">
        <v>0</v>
      </c>
      <c r="C1" s="161" t="s">
        <v>1</v>
      </c>
      <c r="D1" s="161" t="s">
        <v>2</v>
      </c>
      <c r="E1" s="162" t="s">
        <v>3</v>
      </c>
      <c r="F1" s="162" t="s">
        <v>91</v>
      </c>
      <c r="G1" s="174" t="s">
        <v>24</v>
      </c>
      <c r="H1" s="174" t="s">
        <v>87</v>
      </c>
      <c r="I1" s="174" t="s">
        <v>4</v>
      </c>
      <c r="J1" s="187" t="s">
        <v>13</v>
      </c>
      <c r="K1" s="188" t="s">
        <v>8</v>
      </c>
      <c r="L1" s="163" t="s">
        <v>9</v>
      </c>
      <c r="M1" s="189" t="s">
        <v>14</v>
      </c>
      <c r="N1" s="187" t="s">
        <v>10</v>
      </c>
      <c r="O1" s="163" t="s">
        <v>11</v>
      </c>
      <c r="P1" s="180" t="s">
        <v>12</v>
      </c>
      <c r="Q1" s="168" t="s">
        <v>22</v>
      </c>
      <c r="R1" s="158" t="s">
        <v>23</v>
      </c>
      <c r="S1" s="180" t="s">
        <v>19</v>
      </c>
      <c r="T1" s="168" t="s">
        <v>20</v>
      </c>
      <c r="U1" s="180" t="s">
        <v>21</v>
      </c>
      <c r="V1" s="180" t="s">
        <v>60</v>
      </c>
      <c r="W1" s="180" t="s">
        <v>63</v>
      </c>
      <c r="X1" s="168" t="s">
        <v>102</v>
      </c>
      <c r="Y1" s="168" t="s">
        <v>103</v>
      </c>
      <c r="Z1" s="168" t="s">
        <v>131</v>
      </c>
      <c r="AA1" s="168" t="s">
        <v>105</v>
      </c>
      <c r="AB1" s="168" t="s">
        <v>114</v>
      </c>
      <c r="AC1" s="168" t="s">
        <v>107</v>
      </c>
    </row>
    <row r="2" spans="1:29" s="180" customFormat="1" x14ac:dyDescent="0.15">
      <c r="A2" s="170"/>
      <c r="B2" s="172">
        <v>42417</v>
      </c>
      <c r="C2" s="204"/>
      <c r="D2" s="204"/>
      <c r="E2" s="205"/>
      <c r="F2" s="205"/>
      <c r="G2" s="204"/>
      <c r="H2" s="204"/>
      <c r="I2" s="183"/>
      <c r="J2" s="183"/>
      <c r="K2" s="204"/>
      <c r="L2" s="190"/>
      <c r="M2" s="102"/>
      <c r="N2" s="183"/>
      <c r="O2" s="191"/>
      <c r="P2" s="41"/>
      <c r="Q2" s="42"/>
      <c r="R2" s="206"/>
      <c r="S2" s="102"/>
      <c r="T2" s="42"/>
      <c r="U2" s="102"/>
      <c r="V2" s="102"/>
      <c r="W2" s="102"/>
      <c r="X2" s="42"/>
      <c r="Y2" s="42"/>
      <c r="Z2" s="42"/>
      <c r="AA2" s="42"/>
      <c r="AB2" s="102"/>
      <c r="AC2" s="102"/>
    </row>
    <row r="3" spans="1:29" s="180" customFormat="1" x14ac:dyDescent="0.15">
      <c r="A3" s="170"/>
      <c r="B3" s="172">
        <v>42418</v>
      </c>
      <c r="C3" s="204"/>
      <c r="D3" s="204"/>
      <c r="E3" s="205"/>
      <c r="F3" s="205"/>
      <c r="G3" s="204"/>
      <c r="H3" s="204"/>
      <c r="I3" s="183"/>
      <c r="J3" s="183"/>
      <c r="K3" s="204"/>
      <c r="L3" s="190"/>
      <c r="M3" s="207"/>
      <c r="N3" s="183"/>
      <c r="O3" s="191"/>
      <c r="P3" s="41"/>
      <c r="Q3" s="42"/>
      <c r="R3" s="206"/>
      <c r="S3" s="102"/>
      <c r="T3" s="42"/>
      <c r="U3" s="102"/>
      <c r="V3" s="102"/>
      <c r="W3" s="102"/>
      <c r="X3" s="42"/>
      <c r="Y3" s="42"/>
      <c r="Z3" s="42"/>
      <c r="AA3" s="42"/>
      <c r="AB3" s="102"/>
      <c r="AC3" s="102"/>
    </row>
    <row r="4" spans="1:29" s="180" customFormat="1" x14ac:dyDescent="0.15">
      <c r="A4" s="170"/>
      <c r="B4" s="172">
        <v>42419</v>
      </c>
      <c r="C4" s="204"/>
      <c r="D4" s="204"/>
      <c r="E4" s="205"/>
      <c r="F4" s="205"/>
      <c r="G4" s="204"/>
      <c r="H4" s="204"/>
      <c r="I4" s="183"/>
      <c r="J4" s="183"/>
      <c r="K4" s="204"/>
      <c r="L4" s="190"/>
      <c r="M4" s="207"/>
      <c r="N4" s="183"/>
      <c r="O4" s="191"/>
      <c r="P4" s="41"/>
      <c r="Q4" s="42"/>
      <c r="R4" s="206"/>
      <c r="S4" s="102"/>
      <c r="T4" s="42"/>
      <c r="U4" s="102"/>
      <c r="V4" s="102"/>
      <c r="W4" s="102"/>
      <c r="X4" s="42"/>
      <c r="Y4" s="42"/>
      <c r="Z4" s="42"/>
      <c r="AA4" s="42"/>
      <c r="AB4" s="102"/>
      <c r="AC4" s="102"/>
    </row>
    <row r="5" spans="1:29" s="180" customFormat="1" x14ac:dyDescent="0.15">
      <c r="A5" s="170"/>
      <c r="B5" s="172">
        <v>42422</v>
      </c>
      <c r="C5" s="204"/>
      <c r="D5" s="204"/>
      <c r="E5" s="205"/>
      <c r="F5" s="205"/>
      <c r="G5" s="204"/>
      <c r="H5" s="204"/>
      <c r="I5" s="183"/>
      <c r="J5" s="183"/>
      <c r="K5" s="204"/>
      <c r="L5" s="190"/>
      <c r="M5" s="207"/>
      <c r="N5" s="183"/>
      <c r="O5" s="191"/>
      <c r="P5" s="41"/>
      <c r="Q5" s="42"/>
      <c r="R5" s="206"/>
      <c r="S5" s="102"/>
      <c r="T5" s="42"/>
      <c r="U5" s="102"/>
      <c r="V5" s="102"/>
      <c r="W5" s="102"/>
      <c r="X5" s="42"/>
      <c r="Y5" s="42"/>
      <c r="Z5" s="42"/>
      <c r="AA5" s="42"/>
      <c r="AB5" s="102"/>
      <c r="AC5" s="102"/>
    </row>
    <row r="6" spans="1:29" s="180" customFormat="1" x14ac:dyDescent="0.15">
      <c r="A6" s="170"/>
      <c r="B6" s="172">
        <v>42423</v>
      </c>
      <c r="C6" s="204"/>
      <c r="D6" s="204"/>
      <c r="E6" s="205"/>
      <c r="F6" s="205"/>
      <c r="G6" s="204"/>
      <c r="H6" s="204"/>
      <c r="I6" s="183"/>
      <c r="J6" s="183"/>
      <c r="K6" s="204"/>
      <c r="L6" s="190"/>
      <c r="M6" s="207"/>
      <c r="N6" s="183"/>
      <c r="O6" s="191"/>
      <c r="P6" s="41"/>
      <c r="Q6" s="42"/>
      <c r="R6" s="206"/>
      <c r="S6" s="102"/>
      <c r="T6" s="42"/>
      <c r="U6" s="102"/>
      <c r="V6" s="102"/>
      <c r="W6" s="102"/>
      <c r="X6" s="42"/>
      <c r="Y6" s="42"/>
      <c r="Z6" s="42"/>
      <c r="AA6" s="42"/>
      <c r="AB6" s="102"/>
      <c r="AC6" s="102"/>
    </row>
    <row r="7" spans="1:29" s="102" customFormat="1" x14ac:dyDescent="0.15">
      <c r="A7" s="183"/>
      <c r="B7" s="213">
        <v>42424</v>
      </c>
      <c r="C7" s="204"/>
      <c r="D7" s="204"/>
      <c r="E7" s="208"/>
      <c r="F7" s="208"/>
      <c r="G7" s="204"/>
      <c r="H7" s="204"/>
      <c r="I7" s="183"/>
      <c r="K7" s="204"/>
      <c r="L7" s="190"/>
      <c r="M7" s="207"/>
      <c r="N7" s="183"/>
      <c r="O7" s="191"/>
      <c r="P7" s="41"/>
      <c r="Q7" s="42"/>
      <c r="R7" s="206"/>
      <c r="S7" s="41"/>
      <c r="T7" s="42"/>
      <c r="U7" s="41"/>
      <c r="X7" s="42"/>
      <c r="Y7" s="42"/>
      <c r="Z7" s="42"/>
      <c r="AA7" s="42"/>
      <c r="AC7" s="41"/>
    </row>
    <row r="8" spans="1:29" s="180" customFormat="1" x14ac:dyDescent="0.15">
      <c r="A8" s="170"/>
      <c r="B8" s="172">
        <v>42425</v>
      </c>
      <c r="C8" s="204"/>
      <c r="D8" s="204"/>
      <c r="E8" s="208"/>
      <c r="F8" s="208"/>
      <c r="G8" s="209"/>
      <c r="H8" s="204"/>
      <c r="I8" s="183"/>
      <c r="J8" s="183"/>
      <c r="K8" s="204"/>
      <c r="L8" s="190"/>
      <c r="M8" s="207"/>
      <c r="N8" s="183"/>
      <c r="O8" s="191"/>
      <c r="P8" s="41"/>
      <c r="Q8" s="42"/>
      <c r="R8" s="206"/>
      <c r="S8" s="41"/>
      <c r="T8" s="42"/>
      <c r="U8" s="41"/>
      <c r="V8" s="102"/>
      <c r="W8" s="102"/>
      <c r="X8" s="42"/>
      <c r="Y8" s="42"/>
      <c r="Z8" s="42"/>
      <c r="AA8" s="42"/>
      <c r="AB8" s="102"/>
      <c r="AC8" s="41"/>
    </row>
    <row r="9" spans="1:29" s="180" customFormat="1" x14ac:dyDescent="0.15">
      <c r="A9" s="170"/>
      <c r="B9" s="172">
        <v>42426</v>
      </c>
      <c r="C9" s="204"/>
      <c r="D9" s="204"/>
      <c r="E9" s="208"/>
      <c r="F9" s="208"/>
      <c r="G9" s="209"/>
      <c r="H9" s="204"/>
      <c r="I9" s="183"/>
      <c r="J9" s="183"/>
      <c r="K9" s="204"/>
      <c r="L9" s="190"/>
      <c r="M9" s="207"/>
      <c r="N9" s="183"/>
      <c r="O9" s="191"/>
      <c r="P9" s="41"/>
      <c r="Q9" s="42"/>
      <c r="R9" s="206"/>
      <c r="S9" s="41"/>
      <c r="T9" s="42"/>
      <c r="U9" s="41"/>
      <c r="V9" s="102"/>
      <c r="W9" s="102"/>
      <c r="X9" s="42"/>
      <c r="Y9" s="42"/>
      <c r="Z9" s="42"/>
      <c r="AA9" s="42"/>
      <c r="AB9" s="102"/>
      <c r="AC9" s="41"/>
    </row>
    <row r="10" spans="1:29" s="180" customFormat="1" x14ac:dyDescent="0.15">
      <c r="A10" s="170"/>
      <c r="B10" s="172">
        <v>42429</v>
      </c>
      <c r="C10" s="204"/>
      <c r="D10" s="204"/>
      <c r="E10" s="208"/>
      <c r="F10" s="208"/>
      <c r="G10" s="209"/>
      <c r="H10" s="204"/>
      <c r="I10" s="183"/>
      <c r="J10" s="183"/>
      <c r="K10" s="204"/>
      <c r="L10" s="190"/>
      <c r="M10" s="207"/>
      <c r="N10" s="183"/>
      <c r="O10" s="191"/>
      <c r="P10" s="41"/>
      <c r="Q10" s="42"/>
      <c r="R10" s="206"/>
      <c r="S10" s="41"/>
      <c r="T10" s="42"/>
      <c r="U10" s="41"/>
      <c r="V10" s="102"/>
      <c r="W10" s="102"/>
      <c r="X10" s="42"/>
      <c r="Y10" s="42"/>
      <c r="Z10" s="42"/>
      <c r="AA10" s="42"/>
      <c r="AB10" s="102"/>
      <c r="AC10" s="41"/>
    </row>
    <row r="11" spans="1:29" s="180" customFormat="1" x14ac:dyDescent="0.15">
      <c r="A11" s="170"/>
      <c r="B11" s="172">
        <v>42430</v>
      </c>
      <c r="C11" s="204"/>
      <c r="D11" s="204"/>
      <c r="E11" s="208"/>
      <c r="F11" s="208"/>
      <c r="G11" s="209"/>
      <c r="H11" s="204"/>
      <c r="I11" s="183"/>
      <c r="J11" s="183"/>
      <c r="K11" s="204"/>
      <c r="L11" s="190"/>
      <c r="M11" s="207"/>
      <c r="N11" s="183"/>
      <c r="O11" s="191"/>
      <c r="P11" s="41"/>
      <c r="Q11" s="42"/>
      <c r="R11" s="206"/>
      <c r="S11" s="41"/>
      <c r="T11" s="42"/>
      <c r="U11" s="41"/>
      <c r="V11" s="102"/>
      <c r="W11" s="102"/>
      <c r="X11" s="42"/>
      <c r="Y11" s="42"/>
      <c r="Z11" s="42"/>
      <c r="AA11" s="42"/>
      <c r="AB11" s="102"/>
      <c r="AC11" s="41"/>
    </row>
    <row r="12" spans="1:29" s="180" customFormat="1" x14ac:dyDescent="0.15">
      <c r="A12" s="170"/>
      <c r="B12" s="172">
        <v>42431</v>
      </c>
      <c r="C12" s="204"/>
      <c r="D12" s="204"/>
      <c r="E12" s="208"/>
      <c r="F12" s="208"/>
      <c r="G12" s="209"/>
      <c r="H12" s="204"/>
      <c r="I12" s="183"/>
      <c r="J12" s="183"/>
      <c r="K12" s="204"/>
      <c r="L12" s="190"/>
      <c r="M12" s="207"/>
      <c r="N12" s="183"/>
      <c r="O12" s="191"/>
      <c r="P12" s="41"/>
      <c r="Q12" s="42"/>
      <c r="R12" s="206"/>
      <c r="S12" s="41"/>
      <c r="T12" s="42"/>
      <c r="U12" s="41"/>
      <c r="V12" s="102"/>
      <c r="W12" s="102"/>
      <c r="X12" s="42"/>
      <c r="Y12" s="42"/>
      <c r="Z12" s="42"/>
      <c r="AA12" s="42"/>
      <c r="AB12" s="102"/>
      <c r="AC12" s="41"/>
    </row>
    <row r="13" spans="1:29" s="180" customFormat="1" x14ac:dyDescent="0.15">
      <c r="A13" s="170"/>
      <c r="B13" s="172">
        <v>42432</v>
      </c>
      <c r="C13" s="204"/>
      <c r="D13" s="204"/>
      <c r="E13" s="208"/>
      <c r="F13" s="208"/>
      <c r="G13" s="209"/>
      <c r="H13" s="204"/>
      <c r="I13" s="183"/>
      <c r="J13" s="183"/>
      <c r="K13" s="204"/>
      <c r="L13" s="190"/>
      <c r="M13" s="207"/>
      <c r="N13" s="183"/>
      <c r="O13" s="191"/>
      <c r="P13" s="41"/>
      <c r="Q13" s="42"/>
      <c r="R13" s="206"/>
      <c r="S13" s="41"/>
      <c r="T13" s="42"/>
      <c r="U13" s="41"/>
      <c r="V13" s="102"/>
      <c r="W13" s="102"/>
      <c r="X13" s="42"/>
      <c r="Y13" s="42"/>
      <c r="Z13" s="42"/>
      <c r="AA13" s="42"/>
      <c r="AB13" s="102"/>
      <c r="AC13" s="41"/>
    </row>
    <row r="14" spans="1:29" s="180" customFormat="1" x14ac:dyDescent="0.15">
      <c r="A14" s="170"/>
      <c r="B14" s="172">
        <v>42433</v>
      </c>
      <c r="C14" s="204"/>
      <c r="D14" s="204"/>
      <c r="E14" s="208"/>
      <c r="F14" s="208"/>
      <c r="G14" s="209"/>
      <c r="H14" s="204"/>
      <c r="I14" s="183"/>
      <c r="J14" s="183"/>
      <c r="K14" s="204"/>
      <c r="L14" s="190"/>
      <c r="M14" s="207"/>
      <c r="N14" s="183"/>
      <c r="O14" s="191"/>
      <c r="P14" s="41"/>
      <c r="Q14" s="42"/>
      <c r="R14" s="206"/>
      <c r="S14" s="41"/>
      <c r="T14" s="42"/>
      <c r="U14" s="41"/>
      <c r="V14" s="102"/>
      <c r="W14" s="102"/>
      <c r="X14" s="42"/>
      <c r="Y14" s="42"/>
      <c r="Z14" s="42"/>
      <c r="AA14" s="42"/>
      <c r="AB14" s="102"/>
      <c r="AC14" s="41"/>
    </row>
    <row r="15" spans="1:29" s="180" customFormat="1" x14ac:dyDescent="0.15">
      <c r="A15" s="170"/>
      <c r="B15" s="172">
        <v>42436</v>
      </c>
      <c r="C15" s="204"/>
      <c r="D15" s="204"/>
      <c r="E15" s="208"/>
      <c r="F15" s="208"/>
      <c r="G15" s="209"/>
      <c r="H15" s="204"/>
      <c r="I15" s="183"/>
      <c r="J15" s="183"/>
      <c r="K15" s="204"/>
      <c r="L15" s="190"/>
      <c r="M15" s="207"/>
      <c r="N15" s="183"/>
      <c r="O15" s="191"/>
      <c r="P15" s="41"/>
      <c r="Q15" s="42"/>
      <c r="R15" s="206"/>
      <c r="S15" s="41"/>
      <c r="T15" s="42"/>
      <c r="U15" s="41"/>
      <c r="V15" s="102"/>
      <c r="W15" s="102"/>
      <c r="X15" s="42"/>
      <c r="Y15" s="42"/>
      <c r="Z15" s="42"/>
      <c r="AA15" s="42"/>
      <c r="AB15" s="102"/>
      <c r="AC15" s="41"/>
    </row>
    <row r="16" spans="1:29" s="180" customFormat="1" x14ac:dyDescent="0.15">
      <c r="A16" s="170"/>
      <c r="B16" s="172">
        <v>42437</v>
      </c>
      <c r="C16" s="204"/>
      <c r="D16" s="204"/>
      <c r="E16" s="208"/>
      <c r="F16" s="208"/>
      <c r="G16" s="209"/>
      <c r="H16" s="204"/>
      <c r="I16" s="183"/>
      <c r="J16" s="183"/>
      <c r="K16" s="204"/>
      <c r="L16" s="190"/>
      <c r="M16" s="207"/>
      <c r="N16" s="183"/>
      <c r="O16" s="191"/>
      <c r="P16" s="41"/>
      <c r="Q16" s="42"/>
      <c r="R16" s="206"/>
      <c r="S16" s="41"/>
      <c r="T16" s="42"/>
      <c r="U16" s="41"/>
      <c r="V16" s="102"/>
      <c r="W16" s="102"/>
      <c r="X16" s="42"/>
      <c r="Y16" s="42"/>
      <c r="Z16" s="42"/>
      <c r="AA16" s="42"/>
      <c r="AB16" s="102"/>
      <c r="AC16" s="41"/>
    </row>
    <row r="17" spans="1:29" s="180" customFormat="1" x14ac:dyDescent="0.15">
      <c r="A17" s="170"/>
      <c r="B17" s="172">
        <v>42438</v>
      </c>
      <c r="C17" s="204"/>
      <c r="D17" s="204"/>
      <c r="E17" s="208"/>
      <c r="F17" s="208"/>
      <c r="G17" s="209"/>
      <c r="H17" s="204"/>
      <c r="I17" s="183"/>
      <c r="J17" s="183"/>
      <c r="K17" s="204"/>
      <c r="L17" s="190"/>
      <c r="M17" s="207"/>
      <c r="N17" s="183"/>
      <c r="O17" s="191"/>
      <c r="P17" s="41"/>
      <c r="Q17" s="42"/>
      <c r="R17" s="206"/>
      <c r="S17" s="41"/>
      <c r="T17" s="42"/>
      <c r="U17" s="41"/>
      <c r="V17" s="102"/>
      <c r="W17" s="102"/>
      <c r="X17" s="42"/>
      <c r="Y17" s="42"/>
      <c r="Z17" s="42"/>
      <c r="AA17" s="42"/>
      <c r="AB17" s="102"/>
      <c r="AC17" s="41"/>
    </row>
    <row r="18" spans="1:29" s="180" customFormat="1" x14ac:dyDescent="0.15">
      <c r="A18" s="170"/>
      <c r="B18" s="172">
        <v>42439</v>
      </c>
      <c r="C18" s="204"/>
      <c r="D18" s="204"/>
      <c r="E18" s="208"/>
      <c r="F18" s="208"/>
      <c r="G18" s="209"/>
      <c r="H18" s="204"/>
      <c r="I18" s="183"/>
      <c r="J18" s="183"/>
      <c r="K18" s="204"/>
      <c r="L18" s="190"/>
      <c r="M18" s="207"/>
      <c r="N18" s="183"/>
      <c r="O18" s="191"/>
      <c r="P18" s="41"/>
      <c r="Q18" s="42"/>
      <c r="R18" s="206"/>
      <c r="S18" s="41"/>
      <c r="T18" s="42"/>
      <c r="U18" s="41"/>
      <c r="V18" s="102"/>
      <c r="W18" s="102"/>
      <c r="X18" s="42"/>
      <c r="Y18" s="42"/>
      <c r="Z18" s="42"/>
      <c r="AA18" s="42"/>
      <c r="AB18" s="102"/>
      <c r="AC18" s="41"/>
    </row>
    <row r="19" spans="1:29" s="180" customFormat="1" x14ac:dyDescent="0.15">
      <c r="A19" s="170"/>
      <c r="B19" s="172">
        <v>42440</v>
      </c>
      <c r="C19" s="204"/>
      <c r="D19" s="204"/>
      <c r="E19" s="208"/>
      <c r="F19" s="208"/>
      <c r="G19" s="209"/>
      <c r="H19" s="204"/>
      <c r="I19" s="183"/>
      <c r="J19" s="183"/>
      <c r="K19" s="204"/>
      <c r="L19" s="190"/>
      <c r="M19" s="207"/>
      <c r="N19" s="183"/>
      <c r="O19" s="191"/>
      <c r="P19" s="41"/>
      <c r="Q19" s="42"/>
      <c r="R19" s="206"/>
      <c r="S19" s="41"/>
      <c r="T19" s="42"/>
      <c r="U19" s="41"/>
      <c r="V19" s="102"/>
      <c r="W19" s="102"/>
      <c r="X19" s="42"/>
      <c r="Y19" s="42"/>
      <c r="Z19" s="42"/>
      <c r="AA19" s="42"/>
      <c r="AB19" s="102"/>
      <c r="AC19" s="41"/>
    </row>
    <row r="20" spans="1:29" s="180" customFormat="1" x14ac:dyDescent="0.15">
      <c r="A20" s="170"/>
      <c r="B20" s="172">
        <v>42443</v>
      </c>
      <c r="C20" s="204"/>
      <c r="D20" s="204"/>
      <c r="E20" s="208"/>
      <c r="F20" s="208"/>
      <c r="G20" s="209"/>
      <c r="H20" s="204"/>
      <c r="I20" s="183"/>
      <c r="J20" s="183"/>
      <c r="K20" s="204"/>
      <c r="L20" s="190"/>
      <c r="M20" s="207"/>
      <c r="N20" s="183"/>
      <c r="O20" s="191"/>
      <c r="P20" s="41"/>
      <c r="Q20" s="42"/>
      <c r="R20" s="206"/>
      <c r="S20" s="41"/>
      <c r="T20" s="42"/>
      <c r="U20" s="41"/>
      <c r="V20" s="102"/>
      <c r="W20" s="102"/>
      <c r="X20" s="42"/>
      <c r="Y20" s="42"/>
      <c r="Z20" s="42"/>
      <c r="AA20" s="42"/>
      <c r="AB20" s="102"/>
      <c r="AC20" s="41"/>
    </row>
    <row r="21" spans="1:29" s="180" customFormat="1" x14ac:dyDescent="0.15">
      <c r="A21" s="170"/>
      <c r="B21" s="172">
        <v>42444</v>
      </c>
      <c r="C21" s="204"/>
      <c r="D21" s="204"/>
      <c r="E21" s="208"/>
      <c r="F21" s="208"/>
      <c r="G21" s="209"/>
      <c r="H21" s="204"/>
      <c r="I21" s="183"/>
      <c r="J21" s="183"/>
      <c r="K21" s="204"/>
      <c r="L21" s="190"/>
      <c r="M21" s="207"/>
      <c r="N21" s="183"/>
      <c r="O21" s="191"/>
      <c r="P21" s="41"/>
      <c r="Q21" s="42"/>
      <c r="R21" s="206"/>
      <c r="S21" s="41"/>
      <c r="T21" s="42"/>
      <c r="U21" s="41"/>
      <c r="V21" s="102"/>
      <c r="W21" s="102"/>
      <c r="X21" s="42"/>
      <c r="Y21" s="42"/>
      <c r="Z21" s="42"/>
      <c r="AA21" s="42"/>
      <c r="AB21" s="102"/>
      <c r="AC21" s="41"/>
    </row>
    <row r="22" spans="1:29" s="180" customFormat="1" x14ac:dyDescent="0.15">
      <c r="A22" s="170"/>
      <c r="B22" s="172">
        <v>42445</v>
      </c>
      <c r="C22" s="204"/>
      <c r="D22" s="204"/>
      <c r="E22" s="208"/>
      <c r="F22" s="208"/>
      <c r="G22" s="209"/>
      <c r="H22" s="204"/>
      <c r="I22" s="183"/>
      <c r="J22" s="183"/>
      <c r="K22" s="204"/>
      <c r="L22" s="190"/>
      <c r="M22" s="207"/>
      <c r="N22" s="183"/>
      <c r="O22" s="191"/>
      <c r="P22" s="41"/>
      <c r="Q22" s="42"/>
      <c r="R22" s="206"/>
      <c r="S22" s="41"/>
      <c r="T22" s="42"/>
      <c r="U22" s="41"/>
      <c r="V22" s="102"/>
      <c r="W22" s="102"/>
      <c r="X22" s="42"/>
      <c r="Y22" s="42"/>
      <c r="Z22" s="42"/>
      <c r="AA22" s="42"/>
      <c r="AB22" s="102"/>
      <c r="AC22" s="41"/>
    </row>
    <row r="23" spans="1:29" s="180" customFormat="1" x14ac:dyDescent="0.15">
      <c r="A23" s="170"/>
      <c r="B23" s="172">
        <v>42446</v>
      </c>
      <c r="C23" s="204"/>
      <c r="D23" s="204"/>
      <c r="E23" s="208"/>
      <c r="F23" s="208"/>
      <c r="G23" s="209"/>
      <c r="H23" s="204"/>
      <c r="I23" s="183"/>
      <c r="J23" s="183"/>
      <c r="K23" s="204"/>
      <c r="L23" s="190"/>
      <c r="M23" s="207"/>
      <c r="N23" s="183"/>
      <c r="O23" s="191"/>
      <c r="P23" s="41"/>
      <c r="Q23" s="42"/>
      <c r="R23" s="206"/>
      <c r="S23" s="41"/>
      <c r="T23" s="42"/>
      <c r="U23" s="41"/>
      <c r="V23" s="102"/>
      <c r="W23" s="102"/>
      <c r="X23" s="42"/>
      <c r="Y23" s="42"/>
      <c r="Z23" s="42"/>
      <c r="AA23" s="42"/>
      <c r="AB23" s="102"/>
      <c r="AC23" s="41"/>
    </row>
    <row r="24" spans="1:29" s="180" customFormat="1" x14ac:dyDescent="0.15">
      <c r="A24" s="170"/>
      <c r="B24" s="172">
        <v>42447</v>
      </c>
      <c r="C24" s="204"/>
      <c r="D24" s="204"/>
      <c r="E24" s="208"/>
      <c r="F24" s="208"/>
      <c r="G24" s="209"/>
      <c r="H24" s="204"/>
      <c r="I24" s="183"/>
      <c r="J24" s="183"/>
      <c r="K24" s="204"/>
      <c r="L24" s="190"/>
      <c r="M24" s="207"/>
      <c r="N24" s="183"/>
      <c r="O24" s="191"/>
      <c r="P24" s="41"/>
      <c r="Q24" s="42"/>
      <c r="R24" s="206"/>
      <c r="S24" s="41"/>
      <c r="T24" s="42"/>
      <c r="U24" s="41"/>
      <c r="V24" s="102"/>
      <c r="W24" s="102"/>
      <c r="X24" s="42"/>
      <c r="Y24" s="42"/>
      <c r="Z24" s="42"/>
      <c r="AA24" s="42"/>
      <c r="AB24" s="102"/>
      <c r="AC24" s="41"/>
    </row>
    <row r="25" spans="1:29" s="180" customFormat="1" x14ac:dyDescent="0.15">
      <c r="A25" s="170"/>
      <c r="B25" s="172">
        <v>42450</v>
      </c>
      <c r="C25" s="204"/>
      <c r="D25" s="204"/>
      <c r="E25" s="208"/>
      <c r="F25" s="208"/>
      <c r="G25" s="209"/>
      <c r="H25" s="204"/>
      <c r="I25" s="183"/>
      <c r="J25" s="183"/>
      <c r="K25" s="204"/>
      <c r="L25" s="190"/>
      <c r="M25" s="207"/>
      <c r="N25" s="183"/>
      <c r="O25" s="191"/>
      <c r="P25" s="41"/>
      <c r="Q25" s="42"/>
      <c r="R25" s="206"/>
      <c r="S25" s="41"/>
      <c r="T25" s="42"/>
      <c r="U25" s="41"/>
      <c r="V25" s="102"/>
      <c r="W25" s="102"/>
      <c r="X25" s="42"/>
      <c r="Y25" s="42"/>
      <c r="Z25" s="42"/>
      <c r="AA25" s="42"/>
      <c r="AB25" s="102"/>
      <c r="AC25" s="41"/>
    </row>
    <row r="26" spans="1:29" s="180" customFormat="1" x14ac:dyDescent="0.15">
      <c r="A26" s="170"/>
      <c r="B26" s="172">
        <v>42451</v>
      </c>
      <c r="C26" s="204"/>
      <c r="D26" s="204"/>
      <c r="E26" s="208"/>
      <c r="F26" s="208"/>
      <c r="G26" s="209"/>
      <c r="H26" s="204"/>
      <c r="I26" s="183"/>
      <c r="J26" s="183"/>
      <c r="K26" s="204"/>
      <c r="L26" s="190"/>
      <c r="M26" s="207"/>
      <c r="N26" s="183"/>
      <c r="O26" s="191"/>
      <c r="P26" s="41"/>
      <c r="Q26" s="42"/>
      <c r="R26" s="206"/>
      <c r="S26" s="41"/>
      <c r="T26" s="42"/>
      <c r="U26" s="41"/>
      <c r="V26" s="102"/>
      <c r="W26" s="102"/>
      <c r="X26" s="42"/>
      <c r="Y26" s="42"/>
      <c r="Z26" s="42"/>
      <c r="AA26" s="42"/>
      <c r="AB26" s="102"/>
      <c r="AC26" s="41"/>
    </row>
    <row r="27" spans="1:29" s="180" customFormat="1" x14ac:dyDescent="0.15">
      <c r="A27" s="170"/>
      <c r="B27" s="172">
        <v>42452</v>
      </c>
      <c r="C27" s="204"/>
      <c r="D27" s="204"/>
      <c r="E27" s="208"/>
      <c r="F27" s="208"/>
      <c r="G27" s="209"/>
      <c r="H27" s="204"/>
      <c r="I27" s="183"/>
      <c r="J27" s="183"/>
      <c r="K27" s="204"/>
      <c r="L27" s="190"/>
      <c r="M27" s="207"/>
      <c r="N27" s="183"/>
      <c r="O27" s="191"/>
      <c r="P27" s="41"/>
      <c r="Q27" s="42"/>
      <c r="R27" s="206"/>
      <c r="S27" s="41"/>
      <c r="T27" s="42"/>
      <c r="U27" s="41"/>
      <c r="V27" s="102"/>
      <c r="W27" s="102"/>
      <c r="X27" s="42"/>
      <c r="Y27" s="42"/>
      <c r="Z27" s="42"/>
      <c r="AA27" s="42"/>
      <c r="AB27" s="102"/>
      <c r="AC27" s="41"/>
    </row>
    <row r="28" spans="1:29" s="180" customFormat="1" x14ac:dyDescent="0.15">
      <c r="A28" s="170"/>
      <c r="B28" s="172">
        <v>42453</v>
      </c>
      <c r="C28" s="204"/>
      <c r="D28" s="204"/>
      <c r="E28" s="208"/>
      <c r="F28" s="208"/>
      <c r="G28" s="209"/>
      <c r="H28" s="204"/>
      <c r="I28" s="183"/>
      <c r="J28" s="183"/>
      <c r="K28" s="204"/>
      <c r="L28" s="190"/>
      <c r="M28" s="207"/>
      <c r="N28" s="183"/>
      <c r="O28" s="191"/>
      <c r="P28" s="41"/>
      <c r="Q28" s="42"/>
      <c r="R28" s="206"/>
      <c r="S28" s="41"/>
      <c r="T28" s="42"/>
      <c r="U28" s="41"/>
      <c r="V28" s="102"/>
      <c r="W28" s="102"/>
      <c r="X28" s="42"/>
      <c r="Y28" s="42"/>
      <c r="Z28" s="42"/>
      <c r="AA28" s="42"/>
      <c r="AB28" s="102"/>
      <c r="AC28" s="41"/>
    </row>
    <row r="29" spans="1:29" s="180" customFormat="1" x14ac:dyDescent="0.15">
      <c r="A29" s="170"/>
      <c r="B29" s="172">
        <v>42454</v>
      </c>
      <c r="C29" s="204"/>
      <c r="D29" s="204"/>
      <c r="E29" s="208"/>
      <c r="F29" s="208"/>
      <c r="G29" s="209"/>
      <c r="H29" s="204"/>
      <c r="I29" s="183"/>
      <c r="J29" s="183"/>
      <c r="K29" s="204"/>
      <c r="L29" s="190"/>
      <c r="M29" s="207"/>
      <c r="N29" s="183"/>
      <c r="O29" s="191"/>
      <c r="P29" s="41"/>
      <c r="Q29" s="42"/>
      <c r="R29" s="206"/>
      <c r="S29" s="41"/>
      <c r="T29" s="42"/>
      <c r="U29" s="41"/>
      <c r="V29" s="102"/>
      <c r="W29" s="102"/>
      <c r="X29" s="42"/>
      <c r="Y29" s="42"/>
      <c r="Z29" s="42"/>
      <c r="AA29" s="42"/>
      <c r="AB29" s="102"/>
      <c r="AC29" s="41"/>
    </row>
    <row r="30" spans="1:29" s="180" customFormat="1" x14ac:dyDescent="0.15">
      <c r="A30" s="170"/>
      <c r="B30" s="172">
        <v>42457</v>
      </c>
      <c r="C30" s="204"/>
      <c r="D30" s="204"/>
      <c r="E30" s="208"/>
      <c r="F30" s="208"/>
      <c r="G30" s="209"/>
      <c r="H30" s="204"/>
      <c r="I30" s="183"/>
      <c r="J30" s="183"/>
      <c r="K30" s="204"/>
      <c r="L30" s="190"/>
      <c r="M30" s="207"/>
      <c r="N30" s="183"/>
      <c r="O30" s="191"/>
      <c r="P30" s="41"/>
      <c r="Q30" s="42"/>
      <c r="R30" s="206"/>
      <c r="S30" s="41"/>
      <c r="T30" s="42"/>
      <c r="U30" s="41"/>
      <c r="V30" s="102"/>
      <c r="W30" s="102"/>
      <c r="X30" s="42"/>
      <c r="Y30" s="42"/>
      <c r="Z30" s="42"/>
      <c r="AA30" s="42"/>
      <c r="AB30" s="102"/>
      <c r="AC30" s="41"/>
    </row>
    <row r="31" spans="1:29" s="180" customFormat="1" x14ac:dyDescent="0.15">
      <c r="A31" s="170"/>
      <c r="B31" s="172">
        <v>42458</v>
      </c>
      <c r="C31" s="204"/>
      <c r="D31" s="204"/>
      <c r="E31" s="208"/>
      <c r="F31" s="208"/>
      <c r="G31" s="209"/>
      <c r="H31" s="204"/>
      <c r="I31" s="183"/>
      <c r="J31" s="183"/>
      <c r="K31" s="204"/>
      <c r="L31" s="190"/>
      <c r="M31" s="207"/>
      <c r="N31" s="183"/>
      <c r="O31" s="191"/>
      <c r="P31" s="41"/>
      <c r="Q31" s="42"/>
      <c r="R31" s="206"/>
      <c r="S31" s="41"/>
      <c r="T31" s="42"/>
      <c r="U31" s="41"/>
      <c r="V31" s="102"/>
      <c r="W31" s="102"/>
      <c r="X31" s="42"/>
      <c r="Y31" s="42"/>
      <c r="Z31" s="42"/>
      <c r="AA31" s="42"/>
      <c r="AB31" s="102"/>
      <c r="AC31" s="41"/>
    </row>
    <row r="32" spans="1:29" s="180" customFormat="1" x14ac:dyDescent="0.15">
      <c r="A32" s="170"/>
      <c r="B32" s="172">
        <v>42459</v>
      </c>
      <c r="C32" s="204"/>
      <c r="D32" s="204"/>
      <c r="E32" s="208"/>
      <c r="F32" s="208"/>
      <c r="G32" s="209"/>
      <c r="H32" s="204"/>
      <c r="I32" s="183"/>
      <c r="J32" s="183"/>
      <c r="K32" s="204"/>
      <c r="L32" s="190"/>
      <c r="M32" s="207"/>
      <c r="N32" s="183"/>
      <c r="O32" s="191"/>
      <c r="P32" s="41"/>
      <c r="Q32" s="42"/>
      <c r="R32" s="206"/>
      <c r="S32" s="41"/>
      <c r="T32" s="42"/>
      <c r="U32" s="41"/>
      <c r="V32" s="102"/>
      <c r="W32" s="102"/>
      <c r="X32" s="42"/>
      <c r="Y32" s="42"/>
      <c r="Z32" s="42"/>
      <c r="AA32" s="42"/>
      <c r="AB32" s="102"/>
      <c r="AC32" s="41"/>
    </row>
    <row r="33" spans="1:29" s="180" customFormat="1" x14ac:dyDescent="0.15">
      <c r="A33" s="170"/>
      <c r="B33" s="172">
        <v>42460</v>
      </c>
      <c r="C33" s="204"/>
      <c r="D33" s="204"/>
      <c r="E33" s="208"/>
      <c r="F33" s="208"/>
      <c r="G33" s="209"/>
      <c r="H33" s="204"/>
      <c r="I33" s="183"/>
      <c r="J33" s="183"/>
      <c r="K33" s="204"/>
      <c r="L33" s="190"/>
      <c r="M33" s="207"/>
      <c r="N33" s="183"/>
      <c r="O33" s="191"/>
      <c r="P33" s="41"/>
      <c r="Q33" s="42"/>
      <c r="R33" s="206"/>
      <c r="S33" s="41"/>
      <c r="T33" s="42"/>
      <c r="U33" s="41"/>
      <c r="V33" s="102"/>
      <c r="W33" s="102"/>
      <c r="X33" s="42"/>
      <c r="Y33" s="42"/>
      <c r="Z33" s="42"/>
      <c r="AA33" s="42"/>
      <c r="AB33" s="102"/>
      <c r="AC33" s="41"/>
    </row>
    <row r="34" spans="1:29" s="180" customFormat="1" x14ac:dyDescent="0.15">
      <c r="A34" s="170"/>
      <c r="B34" s="172">
        <v>42461</v>
      </c>
      <c r="C34" s="204"/>
      <c r="D34" s="204"/>
      <c r="E34" s="208"/>
      <c r="F34" s="208"/>
      <c r="G34" s="209"/>
      <c r="H34" s="204"/>
      <c r="I34" s="183"/>
      <c r="J34" s="183"/>
      <c r="K34" s="204"/>
      <c r="L34" s="190"/>
      <c r="M34" s="207"/>
      <c r="N34" s="183"/>
      <c r="O34" s="191"/>
      <c r="P34" s="41"/>
      <c r="Q34" s="42"/>
      <c r="R34" s="206"/>
      <c r="S34" s="41"/>
      <c r="T34" s="42"/>
      <c r="U34" s="41"/>
      <c r="V34" s="102"/>
      <c r="W34" s="102"/>
      <c r="X34" s="42"/>
      <c r="Y34" s="42"/>
      <c r="Z34" s="42"/>
      <c r="AA34" s="42"/>
      <c r="AB34" s="102"/>
      <c r="AC34" s="41"/>
    </row>
    <row r="35" spans="1:29" s="180" customFormat="1" x14ac:dyDescent="0.15">
      <c r="A35" s="170"/>
      <c r="B35" s="172">
        <v>42465</v>
      </c>
      <c r="C35" s="204"/>
      <c r="D35" s="204"/>
      <c r="E35" s="208"/>
      <c r="F35" s="208"/>
      <c r="G35" s="209"/>
      <c r="H35" s="204"/>
      <c r="I35" s="183"/>
      <c r="J35" s="183"/>
      <c r="K35" s="204"/>
      <c r="L35" s="190"/>
      <c r="M35" s="207"/>
      <c r="N35" s="183"/>
      <c r="O35" s="191"/>
      <c r="P35" s="41"/>
      <c r="Q35" s="42"/>
      <c r="R35" s="206"/>
      <c r="S35" s="41"/>
      <c r="T35" s="42"/>
      <c r="U35" s="41"/>
      <c r="V35" s="102"/>
      <c r="W35" s="102"/>
      <c r="X35" s="42"/>
      <c r="Y35" s="42"/>
      <c r="Z35" s="42"/>
      <c r="AA35" s="42"/>
      <c r="AB35" s="102"/>
      <c r="AC35" s="41"/>
    </row>
    <row r="36" spans="1:29" s="180" customFormat="1" x14ac:dyDescent="0.15">
      <c r="A36" s="170"/>
      <c r="B36" s="172">
        <v>42466</v>
      </c>
      <c r="C36" s="204"/>
      <c r="D36" s="204"/>
      <c r="E36" s="208"/>
      <c r="F36" s="208"/>
      <c r="G36" s="209"/>
      <c r="H36" s="204"/>
      <c r="I36" s="183"/>
      <c r="J36" s="183"/>
      <c r="K36" s="204"/>
      <c r="L36" s="190"/>
      <c r="M36" s="207"/>
      <c r="N36" s="183"/>
      <c r="O36" s="191"/>
      <c r="P36" s="41"/>
      <c r="Q36" s="42"/>
      <c r="R36" s="206"/>
      <c r="S36" s="41"/>
      <c r="T36" s="42"/>
      <c r="U36" s="41"/>
      <c r="V36" s="102"/>
      <c r="W36" s="102"/>
      <c r="X36" s="42"/>
      <c r="Y36" s="42"/>
      <c r="Z36" s="42"/>
      <c r="AA36" s="42"/>
      <c r="AB36" s="102"/>
      <c r="AC36" s="41"/>
    </row>
    <row r="37" spans="1:29" s="180" customFormat="1" x14ac:dyDescent="0.15">
      <c r="A37" s="170"/>
      <c r="B37" s="172">
        <v>42467</v>
      </c>
      <c r="C37" s="204"/>
      <c r="D37" s="204"/>
      <c r="E37" s="208"/>
      <c r="F37" s="208"/>
      <c r="G37" s="209"/>
      <c r="H37" s="204"/>
      <c r="I37" s="183"/>
      <c r="J37" s="183"/>
      <c r="K37" s="204"/>
      <c r="L37" s="190"/>
      <c r="M37" s="207"/>
      <c r="N37" s="183"/>
      <c r="O37" s="191"/>
      <c r="P37" s="41"/>
      <c r="Q37" s="42"/>
      <c r="R37" s="206"/>
      <c r="S37" s="41"/>
      <c r="T37" s="42"/>
      <c r="U37" s="41"/>
      <c r="V37" s="102"/>
      <c r="W37" s="102"/>
      <c r="X37" s="42"/>
      <c r="Y37" s="42"/>
      <c r="Z37" s="42"/>
      <c r="AA37" s="42"/>
      <c r="AB37" s="102"/>
      <c r="AC37" s="41"/>
    </row>
    <row r="38" spans="1:29" s="180" customFormat="1" x14ac:dyDescent="0.15">
      <c r="A38" s="170"/>
      <c r="B38" s="172">
        <v>42468</v>
      </c>
      <c r="C38" s="204"/>
      <c r="D38" s="204"/>
      <c r="E38" s="208"/>
      <c r="F38" s="208"/>
      <c r="G38" s="209"/>
      <c r="H38" s="204"/>
      <c r="I38" s="183"/>
      <c r="J38" s="183"/>
      <c r="K38" s="204"/>
      <c r="L38" s="190"/>
      <c r="M38" s="207"/>
      <c r="N38" s="183"/>
      <c r="O38" s="191"/>
      <c r="P38" s="41"/>
      <c r="Q38" s="42"/>
      <c r="R38" s="206"/>
      <c r="S38" s="41"/>
      <c r="T38" s="42"/>
      <c r="U38" s="41"/>
      <c r="V38" s="102"/>
      <c r="W38" s="102"/>
      <c r="X38" s="42"/>
      <c r="Y38" s="42"/>
      <c r="Z38" s="42"/>
      <c r="AA38" s="42"/>
      <c r="AB38" s="102"/>
      <c r="AC38" s="41"/>
    </row>
    <row r="39" spans="1:29" s="180" customFormat="1" x14ac:dyDescent="0.15">
      <c r="A39" s="170"/>
      <c r="B39" s="172">
        <v>42471</v>
      </c>
      <c r="C39" s="204"/>
      <c r="D39" s="204"/>
      <c r="E39" s="208"/>
      <c r="F39" s="208"/>
      <c r="G39" s="209"/>
      <c r="H39" s="204"/>
      <c r="I39" s="183"/>
      <c r="J39" s="183"/>
      <c r="K39" s="204"/>
      <c r="L39" s="190"/>
      <c r="M39" s="207"/>
      <c r="N39" s="183"/>
      <c r="O39" s="191"/>
      <c r="P39" s="41"/>
      <c r="Q39" s="42"/>
      <c r="R39" s="206"/>
      <c r="S39" s="41"/>
      <c r="T39" s="42"/>
      <c r="U39" s="41"/>
      <c r="V39" s="102"/>
      <c r="W39" s="102"/>
      <c r="X39" s="42"/>
      <c r="Y39" s="42"/>
      <c r="Z39" s="42"/>
      <c r="AA39" s="42"/>
      <c r="AB39" s="102"/>
      <c r="AC39" s="41"/>
    </row>
    <row r="40" spans="1:29" s="180" customFormat="1" x14ac:dyDescent="0.15">
      <c r="A40" s="170"/>
      <c r="B40" s="172">
        <v>42472</v>
      </c>
      <c r="C40" s="204"/>
      <c r="D40" s="204"/>
      <c r="E40" s="208"/>
      <c r="F40" s="208"/>
      <c r="G40" s="209"/>
      <c r="H40" s="204"/>
      <c r="I40" s="183"/>
      <c r="J40" s="183"/>
      <c r="K40" s="204"/>
      <c r="L40" s="190"/>
      <c r="M40" s="207"/>
      <c r="N40" s="183"/>
      <c r="O40" s="191"/>
      <c r="P40" s="41"/>
      <c r="Q40" s="42"/>
      <c r="R40" s="206"/>
      <c r="S40" s="41"/>
      <c r="T40" s="42"/>
      <c r="U40" s="41"/>
      <c r="V40" s="102"/>
      <c r="W40" s="102"/>
      <c r="X40" s="42"/>
      <c r="Y40" s="42"/>
      <c r="Z40" s="42"/>
      <c r="AA40" s="42"/>
      <c r="AB40" s="102"/>
      <c r="AC40" s="41"/>
    </row>
    <row r="41" spans="1:29" s="180" customFormat="1" x14ac:dyDescent="0.15">
      <c r="A41" s="170"/>
      <c r="B41" s="172">
        <v>42473</v>
      </c>
      <c r="C41" s="204"/>
      <c r="D41" s="204"/>
      <c r="E41" s="208"/>
      <c r="F41" s="208"/>
      <c r="G41" s="209"/>
      <c r="H41" s="204"/>
      <c r="I41" s="183"/>
      <c r="J41" s="183"/>
      <c r="K41" s="204"/>
      <c r="L41" s="190"/>
      <c r="M41" s="207"/>
      <c r="N41" s="183"/>
      <c r="O41" s="191"/>
      <c r="P41" s="41"/>
      <c r="Q41" s="42"/>
      <c r="R41" s="206"/>
      <c r="S41" s="41"/>
      <c r="T41" s="42"/>
      <c r="U41" s="41"/>
      <c r="V41" s="102"/>
      <c r="W41" s="102"/>
      <c r="X41" s="42"/>
      <c r="Y41" s="42"/>
      <c r="Z41" s="42"/>
      <c r="AA41" s="42"/>
      <c r="AB41" s="102"/>
      <c r="AC41" s="41"/>
    </row>
    <row r="42" spans="1:29" s="180" customFormat="1" x14ac:dyDescent="0.15">
      <c r="A42" s="170"/>
      <c r="B42" s="172">
        <v>42474</v>
      </c>
      <c r="C42" s="204"/>
      <c r="D42" s="204"/>
      <c r="E42" s="208"/>
      <c r="F42" s="208"/>
      <c r="G42" s="209"/>
      <c r="H42" s="204"/>
      <c r="I42" s="183"/>
      <c r="J42" s="183"/>
      <c r="K42" s="204"/>
      <c r="L42" s="190"/>
      <c r="M42" s="207"/>
      <c r="N42" s="183"/>
      <c r="O42" s="191"/>
      <c r="P42" s="41"/>
      <c r="Q42" s="42"/>
      <c r="R42" s="206"/>
      <c r="S42" s="41"/>
      <c r="T42" s="42"/>
      <c r="U42" s="41"/>
      <c r="V42" s="102"/>
      <c r="W42" s="102"/>
      <c r="X42" s="42"/>
      <c r="Y42" s="42"/>
      <c r="Z42" s="42"/>
      <c r="AA42" s="42"/>
      <c r="AB42" s="102"/>
      <c r="AC42" s="41"/>
    </row>
    <row r="43" spans="1:29" s="180" customFormat="1" x14ac:dyDescent="0.15">
      <c r="A43" s="170"/>
      <c r="B43" s="172">
        <v>42475</v>
      </c>
      <c r="C43" s="204"/>
      <c r="D43" s="204"/>
      <c r="E43" s="208"/>
      <c r="F43" s="208"/>
      <c r="G43" s="209"/>
      <c r="H43" s="204"/>
      <c r="I43" s="183"/>
      <c r="J43" s="183"/>
      <c r="K43" s="204"/>
      <c r="L43" s="190"/>
      <c r="M43" s="207"/>
      <c r="N43" s="183"/>
      <c r="O43" s="191"/>
      <c r="P43" s="41"/>
      <c r="Q43" s="42"/>
      <c r="R43" s="206"/>
      <c r="S43" s="41"/>
      <c r="T43" s="42"/>
      <c r="U43" s="41"/>
      <c r="V43" s="102"/>
      <c r="W43" s="102"/>
      <c r="X43" s="42"/>
      <c r="Y43" s="42"/>
      <c r="Z43" s="42"/>
      <c r="AA43" s="42"/>
      <c r="AB43" s="102"/>
      <c r="AC43" s="41"/>
    </row>
    <row r="44" spans="1:29" s="180" customFormat="1" x14ac:dyDescent="0.15">
      <c r="A44" s="170"/>
      <c r="B44" s="172">
        <v>42478</v>
      </c>
      <c r="C44" s="204"/>
      <c r="D44" s="204"/>
      <c r="E44" s="208"/>
      <c r="F44" s="208"/>
      <c r="G44" s="209"/>
      <c r="H44" s="204"/>
      <c r="I44" s="183"/>
      <c r="J44" s="183"/>
      <c r="K44" s="204"/>
      <c r="L44" s="190"/>
      <c r="M44" s="207"/>
      <c r="N44" s="183"/>
      <c r="O44" s="191"/>
      <c r="P44" s="41"/>
      <c r="Q44" s="42"/>
      <c r="R44" s="206"/>
      <c r="S44" s="41"/>
      <c r="T44" s="42"/>
      <c r="U44" s="41"/>
      <c r="V44" s="102"/>
      <c r="W44" s="102"/>
      <c r="X44" s="42"/>
      <c r="Y44" s="42"/>
      <c r="Z44" s="42"/>
      <c r="AA44" s="42"/>
      <c r="AB44" s="102"/>
      <c r="AC44" s="41"/>
    </row>
    <row r="45" spans="1:29" s="180" customFormat="1" x14ac:dyDescent="0.15">
      <c r="A45" s="170"/>
      <c r="B45" s="172">
        <v>42479</v>
      </c>
      <c r="C45" s="204"/>
      <c r="D45" s="204"/>
      <c r="E45" s="208"/>
      <c r="F45" s="208"/>
      <c r="G45" s="209"/>
      <c r="H45" s="204"/>
      <c r="I45" s="183"/>
      <c r="J45" s="183"/>
      <c r="K45" s="204"/>
      <c r="L45" s="190"/>
      <c r="M45" s="207"/>
      <c r="N45" s="183"/>
      <c r="O45" s="191"/>
      <c r="P45" s="41"/>
      <c r="Q45" s="42"/>
      <c r="R45" s="206"/>
      <c r="S45" s="41"/>
      <c r="T45" s="42"/>
      <c r="U45" s="41"/>
      <c r="V45" s="102"/>
      <c r="W45" s="102"/>
      <c r="X45" s="42"/>
      <c r="Y45" s="42"/>
      <c r="Z45" s="42"/>
      <c r="AA45" s="42"/>
      <c r="AB45" s="102"/>
      <c r="AC45" s="41"/>
    </row>
    <row r="46" spans="1:29" s="180" customFormat="1" x14ac:dyDescent="0.15">
      <c r="A46" s="170"/>
      <c r="B46" s="172">
        <v>42480</v>
      </c>
      <c r="C46" s="204"/>
      <c r="D46" s="204"/>
      <c r="E46" s="208"/>
      <c r="F46" s="208"/>
      <c r="G46" s="209"/>
      <c r="H46" s="204"/>
      <c r="I46" s="183"/>
      <c r="J46" s="183"/>
      <c r="K46" s="204"/>
      <c r="L46" s="190"/>
      <c r="M46" s="207"/>
      <c r="N46" s="183"/>
      <c r="O46" s="191"/>
      <c r="P46" s="41"/>
      <c r="Q46" s="42"/>
      <c r="R46" s="206"/>
      <c r="S46" s="41"/>
      <c r="T46" s="42"/>
      <c r="U46" s="41"/>
      <c r="V46" s="102"/>
      <c r="W46" s="102"/>
      <c r="X46" s="42"/>
      <c r="Y46" s="42"/>
      <c r="Z46" s="42"/>
      <c r="AA46" s="42"/>
      <c r="AB46" s="102"/>
      <c r="AC46" s="41"/>
    </row>
    <row r="47" spans="1:29" s="180" customFormat="1" x14ac:dyDescent="0.15">
      <c r="A47" s="170"/>
      <c r="B47" s="172">
        <v>42481</v>
      </c>
      <c r="C47" s="204"/>
      <c r="D47" s="204"/>
      <c r="E47" s="208"/>
      <c r="F47" s="208"/>
      <c r="G47" s="209"/>
      <c r="H47" s="204"/>
      <c r="I47" s="183"/>
      <c r="J47" s="183"/>
      <c r="K47" s="204"/>
      <c r="L47" s="190"/>
      <c r="M47" s="207"/>
      <c r="N47" s="183"/>
      <c r="O47" s="191"/>
      <c r="P47" s="41"/>
      <c r="Q47" s="42"/>
      <c r="R47" s="206"/>
      <c r="S47" s="41"/>
      <c r="T47" s="42"/>
      <c r="U47" s="41"/>
      <c r="V47" s="102"/>
      <c r="W47" s="102"/>
      <c r="X47" s="42"/>
      <c r="Y47" s="42"/>
      <c r="Z47" s="42"/>
      <c r="AA47" s="42"/>
      <c r="AB47" s="102"/>
      <c r="AC47" s="41"/>
    </row>
    <row r="48" spans="1:29" s="180" customFormat="1" x14ac:dyDescent="0.15">
      <c r="A48" s="170"/>
      <c r="B48" s="172">
        <v>42482</v>
      </c>
      <c r="C48" s="204"/>
      <c r="D48" s="204"/>
      <c r="E48" s="208"/>
      <c r="F48" s="208"/>
      <c r="G48" s="209"/>
      <c r="H48" s="204"/>
      <c r="I48" s="183"/>
      <c r="J48" s="183"/>
      <c r="K48" s="204"/>
      <c r="L48" s="190"/>
      <c r="M48" s="207"/>
      <c r="N48" s="183"/>
      <c r="O48" s="191"/>
      <c r="P48" s="41"/>
      <c r="Q48" s="42"/>
      <c r="R48" s="206"/>
      <c r="S48" s="41"/>
      <c r="T48" s="42"/>
      <c r="U48" s="41"/>
      <c r="V48" s="102"/>
      <c r="W48" s="102"/>
      <c r="X48" s="42"/>
      <c r="Y48" s="42"/>
      <c r="Z48" s="42"/>
      <c r="AA48" s="42"/>
      <c r="AB48" s="102"/>
      <c r="AC48" s="41"/>
    </row>
    <row r="49" spans="1:29" s="180" customFormat="1" x14ac:dyDescent="0.15">
      <c r="A49" s="170"/>
      <c r="B49" s="172">
        <v>42485</v>
      </c>
      <c r="C49" s="204"/>
      <c r="D49" s="204"/>
      <c r="E49" s="208"/>
      <c r="F49" s="208"/>
      <c r="G49" s="209"/>
      <c r="H49" s="204"/>
      <c r="I49" s="183"/>
      <c r="J49" s="183"/>
      <c r="K49" s="204"/>
      <c r="L49" s="190"/>
      <c r="M49" s="207"/>
      <c r="N49" s="183"/>
      <c r="O49" s="191"/>
      <c r="P49" s="41"/>
      <c r="Q49" s="42"/>
      <c r="R49" s="206"/>
      <c r="S49" s="41"/>
      <c r="T49" s="42"/>
      <c r="U49" s="41"/>
      <c r="V49" s="102"/>
      <c r="W49" s="102"/>
      <c r="X49" s="42"/>
      <c r="Y49" s="42"/>
      <c r="Z49" s="42"/>
      <c r="AA49" s="42"/>
      <c r="AB49" s="102"/>
      <c r="AC49" s="41"/>
    </row>
    <row r="50" spans="1:29" s="180" customFormat="1" x14ac:dyDescent="0.15">
      <c r="A50" s="170"/>
      <c r="B50" s="172">
        <v>42486</v>
      </c>
      <c r="C50" s="204"/>
      <c r="D50" s="204"/>
      <c r="E50" s="208"/>
      <c r="F50" s="208"/>
      <c r="G50" s="209"/>
      <c r="H50" s="204"/>
      <c r="I50" s="183"/>
      <c r="J50" s="183"/>
      <c r="K50" s="204"/>
      <c r="L50" s="190"/>
      <c r="M50" s="207"/>
      <c r="N50" s="183"/>
      <c r="O50" s="191"/>
      <c r="P50" s="41"/>
      <c r="Q50" s="42"/>
      <c r="R50" s="206"/>
      <c r="S50" s="41"/>
      <c r="T50" s="42"/>
      <c r="U50" s="41"/>
      <c r="V50" s="102"/>
      <c r="W50" s="102"/>
      <c r="X50" s="42"/>
      <c r="Y50" s="42"/>
      <c r="Z50" s="42"/>
      <c r="AA50" s="42"/>
      <c r="AB50" s="102"/>
      <c r="AC50" s="41"/>
    </row>
    <row r="51" spans="1:29" s="180" customFormat="1" x14ac:dyDescent="0.15">
      <c r="A51" s="170"/>
      <c r="B51" s="172">
        <v>42487</v>
      </c>
      <c r="C51" s="204"/>
      <c r="D51" s="204"/>
      <c r="E51" s="208"/>
      <c r="F51" s="208"/>
      <c r="G51" s="209"/>
      <c r="H51" s="204"/>
      <c r="I51" s="183"/>
      <c r="J51" s="183"/>
      <c r="K51" s="204"/>
      <c r="L51" s="190"/>
      <c r="M51" s="207"/>
      <c r="N51" s="183"/>
      <c r="O51" s="191"/>
      <c r="P51" s="41"/>
      <c r="Q51" s="42"/>
      <c r="R51" s="206"/>
      <c r="S51" s="41"/>
      <c r="T51" s="42"/>
      <c r="U51" s="41"/>
      <c r="V51" s="102"/>
      <c r="W51" s="102"/>
      <c r="X51" s="42"/>
      <c r="Y51" s="42"/>
      <c r="Z51" s="42"/>
      <c r="AA51" s="42"/>
      <c r="AB51" s="102"/>
      <c r="AC51" s="41"/>
    </row>
    <row r="52" spans="1:29" s="180" customFormat="1" x14ac:dyDescent="0.15">
      <c r="A52" s="170"/>
      <c r="B52" s="172">
        <v>42488</v>
      </c>
      <c r="C52" s="204"/>
      <c r="D52" s="204"/>
      <c r="E52" s="208"/>
      <c r="F52" s="208"/>
      <c r="G52" s="209"/>
      <c r="H52" s="204"/>
      <c r="I52" s="183"/>
      <c r="J52" s="183"/>
      <c r="K52" s="204"/>
      <c r="L52" s="190"/>
      <c r="M52" s="207"/>
      <c r="N52" s="183"/>
      <c r="O52" s="191"/>
      <c r="P52" s="41"/>
      <c r="Q52" s="42"/>
      <c r="R52" s="206"/>
      <c r="S52" s="41"/>
      <c r="T52" s="42"/>
      <c r="U52" s="41"/>
      <c r="V52" s="102"/>
      <c r="W52" s="102"/>
      <c r="X52" s="42"/>
      <c r="Y52" s="42"/>
      <c r="Z52" s="42"/>
      <c r="AA52" s="42"/>
      <c r="AB52" s="102"/>
      <c r="AC52" s="41"/>
    </row>
    <row r="53" spans="1:29" s="180" customFormat="1" x14ac:dyDescent="0.15">
      <c r="A53" s="170"/>
      <c r="B53" s="172">
        <v>42489</v>
      </c>
      <c r="C53" s="204"/>
      <c r="D53" s="204"/>
      <c r="E53" s="208"/>
      <c r="F53" s="208"/>
      <c r="G53" s="209"/>
      <c r="H53" s="204"/>
      <c r="I53" s="183"/>
      <c r="J53" s="183"/>
      <c r="K53" s="204"/>
      <c r="L53" s="190"/>
      <c r="M53" s="207"/>
      <c r="N53" s="183"/>
      <c r="O53" s="191"/>
      <c r="P53" s="41"/>
      <c r="Q53" s="42"/>
      <c r="R53" s="206"/>
      <c r="S53" s="41"/>
      <c r="T53" s="42"/>
      <c r="U53" s="41"/>
      <c r="V53" s="102"/>
      <c r="W53" s="102"/>
      <c r="X53" s="42"/>
      <c r="Y53" s="42"/>
      <c r="Z53" s="42"/>
      <c r="AA53" s="42"/>
      <c r="AB53" s="102"/>
      <c r="AC53" s="41"/>
    </row>
    <row r="54" spans="1:29" s="180" customFormat="1" x14ac:dyDescent="0.15">
      <c r="A54" s="170"/>
      <c r="B54" s="172">
        <v>42493</v>
      </c>
      <c r="C54" s="204"/>
      <c r="D54" s="204"/>
      <c r="E54" s="208"/>
      <c r="F54" s="208"/>
      <c r="G54" s="209"/>
      <c r="H54" s="204"/>
      <c r="I54" s="183"/>
      <c r="J54" s="183"/>
      <c r="K54" s="204"/>
      <c r="L54" s="190"/>
      <c r="M54" s="207"/>
      <c r="N54" s="183"/>
      <c r="O54" s="191"/>
      <c r="P54" s="41"/>
      <c r="Q54" s="42"/>
      <c r="R54" s="206"/>
      <c r="S54" s="41"/>
      <c r="T54" s="42"/>
      <c r="U54" s="41"/>
      <c r="V54" s="102"/>
      <c r="W54" s="102"/>
      <c r="X54" s="42"/>
      <c r="Y54" s="42"/>
      <c r="Z54" s="42"/>
      <c r="AA54" s="42"/>
      <c r="AB54" s="102"/>
      <c r="AC54" s="41"/>
    </row>
    <row r="55" spans="1:29" s="180" customFormat="1" x14ac:dyDescent="0.15">
      <c r="A55" s="170"/>
      <c r="B55" s="172">
        <v>42494</v>
      </c>
      <c r="C55" s="204"/>
      <c r="D55" s="204"/>
      <c r="E55" s="208"/>
      <c r="F55" s="208"/>
      <c r="G55" s="209"/>
      <c r="H55" s="204"/>
      <c r="I55" s="183"/>
      <c r="J55" s="183"/>
      <c r="K55" s="204"/>
      <c r="L55" s="190"/>
      <c r="M55" s="207"/>
      <c r="N55" s="183"/>
      <c r="O55" s="191"/>
      <c r="P55" s="41"/>
      <c r="Q55" s="42"/>
      <c r="R55" s="206"/>
      <c r="S55" s="41"/>
      <c r="T55" s="42"/>
      <c r="U55" s="41"/>
      <c r="V55" s="102"/>
      <c r="W55" s="102"/>
      <c r="X55" s="42"/>
      <c r="Y55" s="42"/>
      <c r="Z55" s="42"/>
      <c r="AA55" s="42"/>
      <c r="AB55" s="102"/>
      <c r="AC55" s="41"/>
    </row>
    <row r="56" spans="1:29" s="180" customFormat="1" x14ac:dyDescent="0.15">
      <c r="A56" s="170"/>
      <c r="B56" s="172">
        <v>42495</v>
      </c>
      <c r="C56" s="204"/>
      <c r="D56" s="204"/>
      <c r="E56" s="208"/>
      <c r="F56" s="208"/>
      <c r="G56" s="209"/>
      <c r="H56" s="204"/>
      <c r="I56" s="183"/>
      <c r="J56" s="183"/>
      <c r="K56" s="204"/>
      <c r="L56" s="190"/>
      <c r="M56" s="207"/>
      <c r="N56" s="183"/>
      <c r="O56" s="191"/>
      <c r="P56" s="41"/>
      <c r="Q56" s="42"/>
      <c r="R56" s="206"/>
      <c r="S56" s="41"/>
      <c r="T56" s="42"/>
      <c r="U56" s="41"/>
      <c r="V56" s="102"/>
      <c r="W56" s="102"/>
      <c r="X56" s="42"/>
      <c r="Y56" s="42"/>
      <c r="Z56" s="42"/>
      <c r="AA56" s="42"/>
      <c r="AB56" s="102"/>
      <c r="AC56" s="41"/>
    </row>
    <row r="57" spans="1:29" s="180" customFormat="1" x14ac:dyDescent="0.15">
      <c r="A57" s="170"/>
      <c r="B57" s="172">
        <v>42496</v>
      </c>
      <c r="C57" s="204"/>
      <c r="D57" s="204"/>
      <c r="E57" s="208"/>
      <c r="F57" s="208"/>
      <c r="G57" s="209"/>
      <c r="H57" s="204"/>
      <c r="I57" s="183"/>
      <c r="J57" s="183"/>
      <c r="K57" s="204"/>
      <c r="L57" s="190"/>
      <c r="M57" s="207"/>
      <c r="N57" s="183"/>
      <c r="O57" s="191"/>
      <c r="P57" s="41"/>
      <c r="Q57" s="42"/>
      <c r="R57" s="206"/>
      <c r="S57" s="41"/>
      <c r="T57" s="42"/>
      <c r="U57" s="41"/>
      <c r="V57" s="102"/>
      <c r="W57" s="102"/>
      <c r="X57" s="42"/>
      <c r="Y57" s="42"/>
      <c r="Z57" s="42"/>
      <c r="AA57" s="42"/>
      <c r="AB57" s="102"/>
      <c r="AC57" s="41"/>
    </row>
    <row r="58" spans="1:29" s="180" customFormat="1" x14ac:dyDescent="0.15">
      <c r="A58" s="170"/>
      <c r="B58" s="172">
        <v>42499</v>
      </c>
      <c r="C58" s="204"/>
      <c r="D58" s="204"/>
      <c r="E58" s="208"/>
      <c r="F58" s="208"/>
      <c r="G58" s="209"/>
      <c r="H58" s="204"/>
      <c r="I58" s="183"/>
      <c r="J58" s="183"/>
      <c r="K58" s="204"/>
      <c r="L58" s="190"/>
      <c r="M58" s="207"/>
      <c r="N58" s="183"/>
      <c r="O58" s="191"/>
      <c r="P58" s="41"/>
      <c r="Q58" s="42"/>
      <c r="R58" s="206"/>
      <c r="S58" s="41"/>
      <c r="T58" s="42"/>
      <c r="U58" s="41"/>
      <c r="V58" s="102"/>
      <c r="W58" s="102"/>
      <c r="X58" s="42"/>
      <c r="Y58" s="42"/>
      <c r="Z58" s="42"/>
      <c r="AA58" s="42"/>
      <c r="AB58" s="102"/>
      <c r="AC58" s="41"/>
    </row>
    <row r="59" spans="1:29" s="180" customFormat="1" x14ac:dyDescent="0.15">
      <c r="A59" s="170"/>
      <c r="B59" s="172">
        <v>42500</v>
      </c>
      <c r="C59" s="204"/>
      <c r="D59" s="204"/>
      <c r="E59" s="208"/>
      <c r="F59" s="208"/>
      <c r="G59" s="209"/>
      <c r="H59" s="204"/>
      <c r="I59" s="183"/>
      <c r="J59" s="183"/>
      <c r="K59" s="204"/>
      <c r="L59" s="190"/>
      <c r="M59" s="207"/>
      <c r="N59" s="183"/>
      <c r="O59" s="191"/>
      <c r="P59" s="41"/>
      <c r="Q59" s="42"/>
      <c r="R59" s="206"/>
      <c r="S59" s="41"/>
      <c r="T59" s="42"/>
      <c r="U59" s="41"/>
      <c r="V59" s="102"/>
      <c r="W59" s="102"/>
      <c r="X59" s="42"/>
      <c r="Y59" s="42"/>
      <c r="Z59" s="42"/>
      <c r="AA59" s="42"/>
      <c r="AB59" s="102"/>
      <c r="AC59" s="41"/>
    </row>
    <row r="60" spans="1:29" s="180" customFormat="1" x14ac:dyDescent="0.15">
      <c r="A60" s="170"/>
      <c r="B60" s="172">
        <v>42501</v>
      </c>
      <c r="C60" s="204"/>
      <c r="D60" s="204"/>
      <c r="E60" s="208"/>
      <c r="F60" s="208"/>
      <c r="G60" s="209"/>
      <c r="H60" s="204"/>
      <c r="I60" s="183"/>
      <c r="J60" s="183"/>
      <c r="K60" s="204"/>
      <c r="L60" s="190"/>
      <c r="M60" s="207"/>
      <c r="N60" s="183"/>
      <c r="O60" s="191"/>
      <c r="P60" s="41"/>
      <c r="Q60" s="42"/>
      <c r="R60" s="206"/>
      <c r="S60" s="41"/>
      <c r="T60" s="42"/>
      <c r="U60" s="41"/>
      <c r="V60" s="102"/>
      <c r="W60" s="102"/>
      <c r="X60" s="42"/>
      <c r="Y60" s="42"/>
      <c r="Z60" s="42"/>
      <c r="AA60" s="42"/>
      <c r="AB60" s="102"/>
      <c r="AC60" s="41"/>
    </row>
    <row r="61" spans="1:29" s="180" customFormat="1" x14ac:dyDescent="0.15">
      <c r="A61" s="170"/>
      <c r="B61" s="172">
        <v>42502</v>
      </c>
      <c r="C61" s="204"/>
      <c r="D61" s="204"/>
      <c r="E61" s="208"/>
      <c r="F61" s="208"/>
      <c r="G61" s="209"/>
      <c r="H61" s="204"/>
      <c r="I61" s="183"/>
      <c r="J61" s="183"/>
      <c r="K61" s="204"/>
      <c r="L61" s="190"/>
      <c r="M61" s="207"/>
      <c r="N61" s="183"/>
      <c r="O61" s="191"/>
      <c r="P61" s="41"/>
      <c r="Q61" s="42"/>
      <c r="R61" s="206"/>
      <c r="S61" s="41"/>
      <c r="T61" s="42"/>
      <c r="U61" s="41"/>
      <c r="V61" s="102"/>
      <c r="W61" s="102"/>
      <c r="X61" s="42"/>
      <c r="Y61" s="42"/>
      <c r="Z61" s="42"/>
      <c r="AA61" s="42"/>
      <c r="AB61" s="102"/>
      <c r="AC61" s="41"/>
    </row>
    <row r="62" spans="1:29" s="180" customFormat="1" x14ac:dyDescent="0.15">
      <c r="A62" s="170"/>
      <c r="B62" s="172">
        <v>42503</v>
      </c>
      <c r="C62" s="204"/>
      <c r="D62" s="204"/>
      <c r="E62" s="208"/>
      <c r="F62" s="208"/>
      <c r="G62" s="209"/>
      <c r="H62" s="204"/>
      <c r="I62" s="183"/>
      <c r="J62" s="183"/>
      <c r="K62" s="204"/>
      <c r="L62" s="190"/>
      <c r="M62" s="207"/>
      <c r="N62" s="183"/>
      <c r="O62" s="191"/>
      <c r="P62" s="41"/>
      <c r="Q62" s="42"/>
      <c r="R62" s="206"/>
      <c r="S62" s="41"/>
      <c r="T62" s="42"/>
      <c r="U62" s="41"/>
      <c r="V62" s="102"/>
      <c r="W62" s="102"/>
      <c r="X62" s="42"/>
      <c r="Y62" s="42"/>
      <c r="Z62" s="42"/>
      <c r="AA62" s="42"/>
      <c r="AB62" s="102"/>
      <c r="AC62" s="41"/>
    </row>
    <row r="63" spans="1:29" s="180" customFormat="1" x14ac:dyDescent="0.15">
      <c r="A63" s="170"/>
      <c r="B63" s="172">
        <v>42506</v>
      </c>
      <c r="C63" s="204"/>
      <c r="D63" s="204"/>
      <c r="E63" s="208"/>
      <c r="F63" s="208"/>
      <c r="G63" s="209"/>
      <c r="H63" s="204"/>
      <c r="I63" s="183"/>
      <c r="J63" s="183"/>
      <c r="K63" s="204"/>
      <c r="L63" s="190"/>
      <c r="M63" s="207"/>
      <c r="N63" s="183"/>
      <c r="O63" s="191"/>
      <c r="P63" s="41"/>
      <c r="Q63" s="42"/>
      <c r="R63" s="206"/>
      <c r="S63" s="41"/>
      <c r="T63" s="42"/>
      <c r="U63" s="41"/>
      <c r="V63" s="102"/>
      <c r="W63" s="102"/>
      <c r="X63" s="42"/>
      <c r="Y63" s="42"/>
      <c r="Z63" s="42"/>
      <c r="AA63" s="42"/>
      <c r="AB63" s="102"/>
      <c r="AC63" s="41"/>
    </row>
    <row r="64" spans="1:29" s="180" customFormat="1" x14ac:dyDescent="0.15">
      <c r="B64" s="172">
        <v>42507</v>
      </c>
      <c r="C64" s="204"/>
      <c r="D64" s="204"/>
      <c r="E64" s="208"/>
      <c r="F64" s="208"/>
      <c r="G64" s="209"/>
      <c r="H64" s="204"/>
      <c r="I64" s="183"/>
      <c r="J64" s="204"/>
      <c r="K64" s="210"/>
      <c r="L64" s="190"/>
      <c r="M64" s="211"/>
      <c r="N64" s="102"/>
      <c r="O64" s="191"/>
      <c r="P64" s="41"/>
      <c r="Q64" s="42"/>
      <c r="R64" s="206"/>
      <c r="S64" s="41"/>
      <c r="T64" s="42"/>
      <c r="U64" s="41"/>
      <c r="V64" s="102"/>
      <c r="W64" s="102"/>
      <c r="X64" s="42"/>
      <c r="Y64" s="42"/>
      <c r="Z64" s="42"/>
      <c r="AA64" s="42"/>
      <c r="AB64" s="102"/>
      <c r="AC64" s="41"/>
    </row>
    <row r="65" spans="2:29" s="180" customFormat="1" x14ac:dyDescent="0.15">
      <c r="B65" s="172">
        <v>42508</v>
      </c>
      <c r="C65" s="204"/>
      <c r="D65" s="204"/>
      <c r="E65" s="208"/>
      <c r="F65" s="208"/>
      <c r="G65" s="209"/>
      <c r="H65" s="204"/>
      <c r="I65" s="183"/>
      <c r="J65" s="210"/>
      <c r="K65" s="210"/>
      <c r="L65" s="190"/>
      <c r="M65" s="207"/>
      <c r="N65" s="102"/>
      <c r="O65" s="191"/>
      <c r="P65" s="41"/>
      <c r="Q65" s="42"/>
      <c r="R65" s="206"/>
      <c r="S65" s="41"/>
      <c r="T65" s="42"/>
      <c r="U65" s="41"/>
      <c r="V65" s="102"/>
      <c r="W65" s="102"/>
      <c r="X65" s="42"/>
      <c r="Y65" s="42"/>
      <c r="Z65" s="42"/>
      <c r="AA65" s="42"/>
      <c r="AB65" s="102"/>
      <c r="AC65" s="41"/>
    </row>
    <row r="66" spans="2:29" s="180" customFormat="1" x14ac:dyDescent="0.15">
      <c r="B66" s="172">
        <v>42509</v>
      </c>
      <c r="C66" s="204"/>
      <c r="D66" s="204"/>
      <c r="E66" s="208"/>
      <c r="F66" s="208"/>
      <c r="G66" s="209"/>
      <c r="H66" s="204"/>
      <c r="I66" s="183"/>
      <c r="J66" s="210"/>
      <c r="K66" s="210"/>
      <c r="L66" s="190"/>
      <c r="M66" s="211"/>
      <c r="N66" s="102"/>
      <c r="O66" s="191"/>
      <c r="P66" s="41"/>
      <c r="Q66" s="42"/>
      <c r="R66" s="206"/>
      <c r="S66" s="41"/>
      <c r="T66" s="42"/>
      <c r="U66" s="41"/>
      <c r="V66" s="102"/>
      <c r="W66" s="102"/>
      <c r="X66" s="42"/>
      <c r="Y66" s="42"/>
      <c r="Z66" s="42"/>
      <c r="AA66" s="42"/>
      <c r="AB66" s="102"/>
      <c r="AC66" s="41"/>
    </row>
    <row r="67" spans="2:29" s="180" customFormat="1" x14ac:dyDescent="0.15">
      <c r="B67" s="172">
        <v>42510</v>
      </c>
      <c r="C67" s="204"/>
      <c r="D67" s="204"/>
      <c r="E67" s="208"/>
      <c r="F67" s="208"/>
      <c r="G67" s="209"/>
      <c r="H67" s="204"/>
      <c r="I67" s="183"/>
      <c r="J67" s="210"/>
      <c r="K67" s="210"/>
      <c r="L67" s="190"/>
      <c r="M67" s="211"/>
      <c r="N67" s="102"/>
      <c r="O67" s="191"/>
      <c r="P67" s="41"/>
      <c r="Q67" s="42"/>
      <c r="R67" s="206"/>
      <c r="S67" s="41"/>
      <c r="T67" s="42"/>
      <c r="U67" s="41"/>
      <c r="V67" s="102"/>
      <c r="W67" s="102"/>
      <c r="X67" s="42"/>
      <c r="Y67" s="42"/>
      <c r="Z67" s="42"/>
      <c r="AA67" s="42"/>
      <c r="AB67" s="102"/>
      <c r="AC67" s="41"/>
    </row>
    <row r="68" spans="2:29" s="180" customFormat="1" x14ac:dyDescent="0.15">
      <c r="B68" s="172">
        <v>42513</v>
      </c>
      <c r="C68" s="204"/>
      <c r="D68" s="204"/>
      <c r="E68" s="208"/>
      <c r="F68" s="208"/>
      <c r="G68" s="209"/>
      <c r="H68" s="204"/>
      <c r="I68" s="183"/>
      <c r="J68" s="210"/>
      <c r="K68" s="210"/>
      <c r="L68" s="190"/>
      <c r="M68" s="102"/>
      <c r="N68" s="212"/>
      <c r="O68" s="191"/>
      <c r="P68" s="41"/>
      <c r="Q68" s="42"/>
      <c r="R68" s="206"/>
      <c r="S68" s="41"/>
      <c r="T68" s="42"/>
      <c r="U68" s="41"/>
      <c r="V68" s="102"/>
      <c r="W68" s="102"/>
      <c r="X68" s="42"/>
      <c r="Y68" s="42"/>
      <c r="Z68" s="42"/>
      <c r="AA68" s="42"/>
      <c r="AB68" s="102"/>
      <c r="AC68" s="41"/>
    </row>
    <row r="69" spans="2:29" s="180" customFormat="1" x14ac:dyDescent="0.15">
      <c r="B69" s="172">
        <v>42514</v>
      </c>
      <c r="C69" s="204"/>
      <c r="D69" s="204"/>
      <c r="E69" s="208"/>
      <c r="F69" s="208"/>
      <c r="G69" s="209"/>
      <c r="H69" s="204"/>
      <c r="I69" s="183"/>
      <c r="J69" s="210"/>
      <c r="K69" s="210"/>
      <c r="L69" s="190"/>
      <c r="M69" s="212"/>
      <c r="N69" s="212"/>
      <c r="O69" s="191"/>
      <c r="P69" s="41"/>
      <c r="Q69" s="42"/>
      <c r="R69" s="206"/>
      <c r="S69" s="41"/>
      <c r="T69" s="42"/>
      <c r="U69" s="41"/>
      <c r="V69" s="102"/>
      <c r="W69" s="102"/>
      <c r="X69" s="42"/>
      <c r="Y69" s="42"/>
      <c r="Z69" s="42"/>
      <c r="AA69" s="42"/>
      <c r="AB69" s="102"/>
      <c r="AC69" s="41"/>
    </row>
    <row r="70" spans="2:29" s="180" customFormat="1" x14ac:dyDescent="0.15">
      <c r="B70" s="172">
        <v>42515</v>
      </c>
      <c r="C70" s="204"/>
      <c r="D70" s="204"/>
      <c r="E70" s="208"/>
      <c r="F70" s="208"/>
      <c r="G70" s="209"/>
      <c r="H70" s="204"/>
      <c r="I70" s="183"/>
      <c r="J70" s="210"/>
      <c r="K70" s="210"/>
      <c r="L70" s="190"/>
      <c r="M70" s="212"/>
      <c r="N70" s="212"/>
      <c r="O70" s="191"/>
      <c r="P70" s="41"/>
      <c r="Q70" s="42"/>
      <c r="R70" s="206"/>
      <c r="S70" s="41"/>
      <c r="T70" s="42"/>
      <c r="U70" s="41"/>
      <c r="V70" s="102"/>
      <c r="W70" s="102"/>
      <c r="X70" s="42"/>
      <c r="Y70" s="42"/>
      <c r="Z70" s="42"/>
      <c r="AA70" s="42"/>
      <c r="AB70" s="102"/>
      <c r="AC70" s="41"/>
    </row>
    <row r="71" spans="2:29" s="180" customFormat="1" x14ac:dyDescent="0.15">
      <c r="B71" s="172">
        <v>42516</v>
      </c>
      <c r="C71" s="204"/>
      <c r="D71" s="204"/>
      <c r="E71" s="208"/>
      <c r="F71" s="208"/>
      <c r="G71" s="209"/>
      <c r="H71" s="204"/>
      <c r="I71" s="183"/>
      <c r="J71" s="210"/>
      <c r="K71" s="210"/>
      <c r="L71" s="190"/>
      <c r="M71" s="212"/>
      <c r="N71" s="212"/>
      <c r="O71" s="191"/>
      <c r="P71" s="41"/>
      <c r="Q71" s="42"/>
      <c r="R71" s="206"/>
      <c r="S71" s="41"/>
      <c r="T71" s="42"/>
      <c r="U71" s="41"/>
      <c r="V71" s="102"/>
      <c r="W71" s="102"/>
      <c r="X71" s="42"/>
      <c r="Y71" s="42"/>
      <c r="Z71" s="42"/>
      <c r="AA71" s="42"/>
      <c r="AB71" s="102"/>
      <c r="AC71" s="41"/>
    </row>
    <row r="72" spans="2:29" s="180" customFormat="1" x14ac:dyDescent="0.15">
      <c r="B72" s="172">
        <v>42517</v>
      </c>
      <c r="C72" s="204"/>
      <c r="D72" s="204"/>
      <c r="E72" s="208"/>
      <c r="F72" s="208"/>
      <c r="G72" s="209"/>
      <c r="H72" s="204"/>
      <c r="I72" s="183"/>
      <c r="J72" s="210"/>
      <c r="K72" s="210"/>
      <c r="L72" s="190"/>
      <c r="M72" s="212"/>
      <c r="N72" s="212"/>
      <c r="O72" s="191"/>
      <c r="P72" s="41"/>
      <c r="Q72" s="42"/>
      <c r="R72" s="206"/>
      <c r="S72" s="41"/>
      <c r="T72" s="42"/>
      <c r="U72" s="41"/>
      <c r="V72" s="102"/>
      <c r="W72" s="102"/>
      <c r="X72" s="42"/>
      <c r="Y72" s="42"/>
      <c r="Z72" s="42"/>
      <c r="AA72" s="42"/>
      <c r="AB72" s="102"/>
      <c r="AC72" s="41"/>
    </row>
    <row r="73" spans="2:29" s="180" customFormat="1" x14ac:dyDescent="0.15">
      <c r="B73" s="172">
        <v>42520</v>
      </c>
      <c r="C73" s="204"/>
      <c r="D73" s="204"/>
      <c r="E73" s="208"/>
      <c r="F73" s="208"/>
      <c r="G73" s="209"/>
      <c r="H73" s="204"/>
      <c r="I73" s="183"/>
      <c r="J73" s="210"/>
      <c r="K73" s="210"/>
      <c r="L73" s="190"/>
      <c r="M73" s="212"/>
      <c r="N73" s="212"/>
      <c r="O73" s="191"/>
      <c r="P73" s="41"/>
      <c r="Q73" s="42"/>
      <c r="R73" s="206"/>
      <c r="S73" s="41"/>
      <c r="T73" s="42"/>
      <c r="U73" s="41"/>
      <c r="V73" s="102"/>
      <c r="W73" s="102"/>
      <c r="X73" s="42"/>
      <c r="Y73" s="42"/>
      <c r="Z73" s="42"/>
      <c r="AA73" s="42"/>
      <c r="AB73" s="102"/>
      <c r="AC73" s="41"/>
    </row>
    <row r="74" spans="2:29" s="180" customFormat="1" x14ac:dyDescent="0.15">
      <c r="B74" s="172">
        <v>42521</v>
      </c>
      <c r="C74" s="204"/>
      <c r="D74" s="204"/>
      <c r="E74" s="208"/>
      <c r="F74" s="208"/>
      <c r="G74" s="209"/>
      <c r="H74" s="204"/>
      <c r="I74" s="183"/>
      <c r="J74" s="210"/>
      <c r="K74" s="210"/>
      <c r="L74" s="190"/>
      <c r="M74" s="212"/>
      <c r="N74" s="212"/>
      <c r="O74" s="191"/>
      <c r="P74" s="41"/>
      <c r="Q74" s="42"/>
      <c r="R74" s="206"/>
      <c r="S74" s="41"/>
      <c r="T74" s="42"/>
      <c r="U74" s="41"/>
      <c r="V74" s="102"/>
      <c r="W74" s="102"/>
      <c r="X74" s="42"/>
      <c r="Y74" s="42"/>
      <c r="Z74" s="42"/>
      <c r="AA74" s="42"/>
      <c r="AB74" s="206"/>
      <c r="AC74" s="41"/>
    </row>
    <row r="75" spans="2:29" s="180" customFormat="1" x14ac:dyDescent="0.15">
      <c r="B75" s="172">
        <v>42522</v>
      </c>
      <c r="C75" s="204"/>
      <c r="D75" s="204"/>
      <c r="E75" s="208"/>
      <c r="F75" s="208"/>
      <c r="G75" s="209"/>
      <c r="H75" s="204"/>
      <c r="I75" s="183"/>
      <c r="J75" s="210"/>
      <c r="K75" s="210"/>
      <c r="L75" s="190"/>
      <c r="M75" s="212"/>
      <c r="N75" s="212"/>
      <c r="O75" s="191"/>
      <c r="P75" s="41"/>
      <c r="Q75" s="42"/>
      <c r="R75" s="206"/>
      <c r="S75" s="41"/>
      <c r="T75" s="42"/>
      <c r="U75" s="41"/>
      <c r="V75" s="102"/>
      <c r="W75" s="102"/>
      <c r="X75" s="42"/>
      <c r="Y75" s="42"/>
      <c r="Z75" s="42"/>
      <c r="AA75" s="42"/>
      <c r="AB75" s="206"/>
      <c r="AC75" s="41"/>
    </row>
    <row r="76" spans="2:29" s="180" customFormat="1" x14ac:dyDescent="0.15">
      <c r="B76" s="172">
        <v>42523</v>
      </c>
      <c r="C76" s="204"/>
      <c r="D76" s="204"/>
      <c r="E76" s="208"/>
      <c r="F76" s="208"/>
      <c r="G76" s="209"/>
      <c r="H76" s="204"/>
      <c r="I76" s="183"/>
      <c r="J76" s="210"/>
      <c r="K76" s="210"/>
      <c r="L76" s="190"/>
      <c r="M76" s="212"/>
      <c r="N76" s="212"/>
      <c r="O76" s="191"/>
      <c r="P76" s="41"/>
      <c r="Q76" s="42"/>
      <c r="R76" s="206"/>
      <c r="S76" s="41"/>
      <c r="T76" s="42"/>
      <c r="U76" s="41"/>
      <c r="V76" s="102"/>
      <c r="W76" s="102"/>
      <c r="X76" s="42"/>
      <c r="Y76" s="42"/>
      <c r="Z76" s="42"/>
      <c r="AA76" s="42"/>
      <c r="AB76" s="206"/>
      <c r="AC76" s="41"/>
    </row>
    <row r="77" spans="2:29" s="180" customFormat="1" x14ac:dyDescent="0.15">
      <c r="B77" s="172">
        <v>42524</v>
      </c>
      <c r="C77" s="204"/>
      <c r="D77" s="204"/>
      <c r="E77" s="208"/>
      <c r="F77" s="208"/>
      <c r="G77" s="209"/>
      <c r="H77" s="204"/>
      <c r="I77" s="183"/>
      <c r="J77" s="210"/>
      <c r="K77" s="210"/>
      <c r="L77" s="190"/>
      <c r="M77" s="212"/>
      <c r="N77" s="212"/>
      <c r="O77" s="191"/>
      <c r="P77" s="41"/>
      <c r="Q77" s="42"/>
      <c r="R77" s="206"/>
      <c r="S77" s="41"/>
      <c r="T77" s="42"/>
      <c r="U77" s="41"/>
      <c r="V77" s="102"/>
      <c r="W77" s="102"/>
      <c r="X77" s="42"/>
      <c r="Y77" s="42"/>
      <c r="Z77" s="42"/>
      <c r="AA77" s="42"/>
      <c r="AB77" s="206"/>
      <c r="AC77" s="41"/>
    </row>
    <row r="78" spans="2:29" s="180" customFormat="1" x14ac:dyDescent="0.15">
      <c r="B78" s="172">
        <v>42527</v>
      </c>
      <c r="C78" s="204"/>
      <c r="D78" s="204"/>
      <c r="E78" s="208"/>
      <c r="F78" s="208"/>
      <c r="G78" s="209"/>
      <c r="H78" s="204"/>
      <c r="I78" s="183"/>
      <c r="J78" s="210"/>
      <c r="K78" s="210"/>
      <c r="L78" s="190"/>
      <c r="M78" s="212"/>
      <c r="N78" s="212"/>
      <c r="O78" s="191"/>
      <c r="P78" s="41"/>
      <c r="Q78" s="42"/>
      <c r="R78" s="206"/>
      <c r="S78" s="41"/>
      <c r="T78" s="42"/>
      <c r="U78" s="41"/>
      <c r="V78" s="102"/>
      <c r="W78" s="102"/>
      <c r="X78" s="42"/>
      <c r="Y78" s="42"/>
      <c r="Z78" s="42"/>
      <c r="AA78" s="42"/>
      <c r="AB78" s="206"/>
      <c r="AC78" s="41"/>
    </row>
    <row r="79" spans="2:29" s="180" customFormat="1" x14ac:dyDescent="0.15">
      <c r="B79" s="172">
        <v>42528</v>
      </c>
      <c r="C79" s="204"/>
      <c r="D79" s="204"/>
      <c r="E79" s="208"/>
      <c r="F79" s="208"/>
      <c r="G79" s="209"/>
      <c r="H79" s="204"/>
      <c r="I79" s="183"/>
      <c r="J79" s="210"/>
      <c r="K79" s="210"/>
      <c r="L79" s="190"/>
      <c r="M79" s="212"/>
      <c r="N79" s="212"/>
      <c r="O79" s="191"/>
      <c r="P79" s="41"/>
      <c r="Q79" s="42"/>
      <c r="R79" s="206"/>
      <c r="S79" s="41"/>
      <c r="T79" s="42"/>
      <c r="U79" s="41"/>
      <c r="V79" s="102"/>
      <c r="W79" s="102"/>
      <c r="X79" s="42"/>
      <c r="Y79" s="42"/>
      <c r="Z79" s="42"/>
      <c r="AA79" s="42"/>
      <c r="AB79" s="206"/>
      <c r="AC79" s="41"/>
    </row>
    <row r="80" spans="2:29" s="180" customFormat="1" x14ac:dyDescent="0.15">
      <c r="B80" s="172">
        <v>42529</v>
      </c>
      <c r="C80" s="204"/>
      <c r="D80" s="204"/>
      <c r="E80" s="208"/>
      <c r="F80" s="208"/>
      <c r="G80" s="209"/>
      <c r="H80" s="204"/>
      <c r="I80" s="183"/>
      <c r="J80" s="210"/>
      <c r="K80" s="210"/>
      <c r="L80" s="190"/>
      <c r="M80" s="212"/>
      <c r="N80" s="212"/>
      <c r="O80" s="191"/>
      <c r="P80" s="41"/>
      <c r="Q80" s="42"/>
      <c r="R80" s="206"/>
      <c r="S80" s="41"/>
      <c r="T80" s="42"/>
      <c r="U80" s="41"/>
      <c r="V80" s="102"/>
      <c r="W80" s="102"/>
      <c r="X80" s="42"/>
      <c r="Y80" s="42"/>
      <c r="Z80" s="42"/>
      <c r="AA80" s="42"/>
      <c r="AB80" s="206"/>
      <c r="AC80" s="41"/>
    </row>
    <row r="81" spans="1:29" s="180" customFormat="1" x14ac:dyDescent="0.15">
      <c r="B81" s="172">
        <v>42534</v>
      </c>
      <c r="C81" s="204"/>
      <c r="D81" s="204"/>
      <c r="E81" s="208"/>
      <c r="F81" s="208"/>
      <c r="G81" s="209"/>
      <c r="H81" s="204"/>
      <c r="I81" s="183"/>
      <c r="J81" s="210"/>
      <c r="K81" s="210"/>
      <c r="L81" s="190"/>
      <c r="M81" s="212"/>
      <c r="N81" s="212"/>
      <c r="O81" s="191"/>
      <c r="P81" s="41"/>
      <c r="Q81" s="42"/>
      <c r="R81" s="206"/>
      <c r="S81" s="41"/>
      <c r="T81" s="42"/>
      <c r="U81" s="41"/>
      <c r="V81" s="102"/>
      <c r="W81" s="102"/>
      <c r="X81" s="42"/>
      <c r="Y81" s="42"/>
      <c r="Z81" s="42"/>
      <c r="AA81" s="42"/>
      <c r="AB81" s="206"/>
      <c r="AC81" s="41"/>
    </row>
    <row r="82" spans="1:29" s="180" customFormat="1" x14ac:dyDescent="0.15">
      <c r="B82" s="172">
        <v>42535</v>
      </c>
      <c r="C82" s="204"/>
      <c r="D82" s="204"/>
      <c r="E82" s="208"/>
      <c r="F82" s="208"/>
      <c r="G82" s="209"/>
      <c r="H82" s="204"/>
      <c r="I82" s="183"/>
      <c r="J82" s="210"/>
      <c r="K82" s="210"/>
      <c r="L82" s="190"/>
      <c r="M82" s="212"/>
      <c r="N82" s="212"/>
      <c r="O82" s="191"/>
      <c r="P82" s="41"/>
      <c r="Q82" s="42"/>
      <c r="R82" s="206"/>
      <c r="S82" s="41"/>
      <c r="T82" s="42"/>
      <c r="U82" s="41"/>
      <c r="V82" s="102"/>
      <c r="W82" s="102"/>
      <c r="X82" s="42"/>
      <c r="Y82" s="42"/>
      <c r="Z82" s="42"/>
      <c r="AA82" s="42"/>
      <c r="AB82" s="206"/>
      <c r="AC82" s="41"/>
    </row>
    <row r="83" spans="1:29" s="180" customFormat="1" x14ac:dyDescent="0.15">
      <c r="B83" s="172">
        <v>42536</v>
      </c>
      <c r="C83" s="204"/>
      <c r="D83" s="204"/>
      <c r="E83" s="208"/>
      <c r="F83" s="208"/>
      <c r="G83" s="209"/>
      <c r="H83" s="204"/>
      <c r="I83" s="183"/>
      <c r="J83" s="210"/>
      <c r="K83" s="210"/>
      <c r="L83" s="190"/>
      <c r="M83" s="212"/>
      <c r="N83" s="212"/>
      <c r="O83" s="191"/>
      <c r="P83" s="41"/>
      <c r="Q83" s="42"/>
      <c r="R83" s="206"/>
      <c r="S83" s="41"/>
      <c r="T83" s="42"/>
      <c r="U83" s="41"/>
      <c r="V83" s="102"/>
      <c r="W83" s="102"/>
      <c r="X83" s="42"/>
      <c r="Y83" s="42"/>
      <c r="Z83" s="42"/>
      <c r="AA83" s="42"/>
      <c r="AB83" s="206"/>
      <c r="AC83" s="41"/>
    </row>
    <row r="84" spans="1:29" s="180" customFormat="1" x14ac:dyDescent="0.15">
      <c r="B84" s="172">
        <v>42537</v>
      </c>
      <c r="C84" s="204"/>
      <c r="D84" s="204"/>
      <c r="E84" s="208"/>
      <c r="F84" s="208"/>
      <c r="G84" s="209"/>
      <c r="H84" s="204"/>
      <c r="I84" s="183"/>
      <c r="J84" s="210"/>
      <c r="K84" s="210"/>
      <c r="L84" s="190"/>
      <c r="M84" s="212"/>
      <c r="N84" s="212"/>
      <c r="O84" s="191"/>
      <c r="P84" s="41"/>
      <c r="Q84" s="42"/>
      <c r="R84" s="206"/>
      <c r="S84" s="41"/>
      <c r="T84" s="42"/>
      <c r="U84" s="41"/>
      <c r="V84" s="102"/>
      <c r="W84" s="102"/>
      <c r="X84" s="42"/>
      <c r="Y84" s="42"/>
      <c r="Z84" s="42"/>
      <c r="AA84" s="42"/>
      <c r="AB84" s="206"/>
      <c r="AC84" s="41"/>
    </row>
    <row r="85" spans="1:29" s="180" customFormat="1" x14ac:dyDescent="0.15">
      <c r="B85" s="172">
        <v>42538</v>
      </c>
      <c r="C85" s="204"/>
      <c r="D85" s="204"/>
      <c r="E85" s="208"/>
      <c r="F85" s="208"/>
      <c r="G85" s="209"/>
      <c r="H85" s="204"/>
      <c r="I85" s="183"/>
      <c r="J85" s="210"/>
      <c r="K85" s="210"/>
      <c r="L85" s="190"/>
      <c r="M85" s="212"/>
      <c r="N85" s="212"/>
      <c r="O85" s="191"/>
      <c r="P85" s="41"/>
      <c r="Q85" s="42"/>
      <c r="R85" s="206"/>
      <c r="S85" s="41"/>
      <c r="T85" s="42"/>
      <c r="U85" s="41"/>
      <c r="V85" s="102"/>
      <c r="W85" s="102"/>
      <c r="X85" s="42"/>
      <c r="Y85" s="42"/>
      <c r="Z85" s="42"/>
      <c r="AA85" s="42"/>
      <c r="AB85" s="206"/>
      <c r="AC85" s="41"/>
    </row>
    <row r="86" spans="1:29" x14ac:dyDescent="0.15">
      <c r="A86" t="s">
        <v>127</v>
      </c>
      <c r="B86" s="172">
        <v>42541</v>
      </c>
      <c r="C86">
        <v>300017</v>
      </c>
      <c r="D86" t="s">
        <v>130</v>
      </c>
      <c r="E86">
        <v>1001000</v>
      </c>
      <c r="F86">
        <f t="shared" ref="F86:F93" si="0">K86*I86</f>
        <v>1031800</v>
      </c>
      <c r="G86" s="180">
        <v>1001000</v>
      </c>
      <c r="H86">
        <f t="shared" ref="H86:H91" si="1">G86*(1+Q86)</f>
        <v>1027863.3050967925</v>
      </c>
      <c r="I86">
        <v>15400</v>
      </c>
      <c r="J86">
        <v>65</v>
      </c>
      <c r="K86">
        <v>67</v>
      </c>
      <c r="L86" s="168">
        <f t="shared" ref="L86:L93" si="2">(K86-J86)/J86</f>
        <v>3.0769230769230771E-2</v>
      </c>
      <c r="M86">
        <v>3095.28</v>
      </c>
      <c r="N86">
        <v>3112.67</v>
      </c>
      <c r="O86" s="168">
        <f t="shared" ref="O86:O93" si="3">(N86-M86)/M86</f>
        <v>5.6182316300948127E-3</v>
      </c>
      <c r="P86" s="1">
        <f t="shared" ref="P86:P93" si="4">L86-O86</f>
        <v>2.515099913913596E-2</v>
      </c>
      <c r="Q86" s="168">
        <f t="shared" ref="Q86:Q93" si="5">L86*0.3+P86*0.7</f>
        <v>2.6836468628164405E-2</v>
      </c>
      <c r="R86">
        <f t="shared" ref="R86:R91" si="6">G86*Q86</f>
        <v>26863.30509679257</v>
      </c>
      <c r="S86" s="1">
        <f>L86</f>
        <v>3.0769230769230771E-2</v>
      </c>
      <c r="T86" s="168">
        <f t="shared" ref="T86:T93" si="7">(N86-$M$86)/$M$86</f>
        <v>5.6182316300948127E-3</v>
      </c>
      <c r="U86" s="1">
        <f t="shared" ref="U86:U91" si="8">S86*0.3+(S86-T86)*0.7</f>
        <v>2.6836468628164405E-2</v>
      </c>
      <c r="V86">
        <f t="shared" ref="V86:V91" si="9">E86*U86</f>
        <v>26863.30509679257</v>
      </c>
      <c r="W86">
        <f t="shared" ref="W86:W91" si="10">E86*S86</f>
        <v>30800</v>
      </c>
      <c r="X86" s="1">
        <f t="shared" ref="X86:X91" si="11">L86</f>
        <v>3.0769230769230771E-2</v>
      </c>
      <c r="Y86" s="1">
        <f t="shared" ref="Y86:Y91" si="12">O86</f>
        <v>5.6182316300948127E-3</v>
      </c>
      <c r="Z86" s="1">
        <f t="shared" ref="Z86:Z91" si="13">X86-Y86</f>
        <v>2.515099913913596E-2</v>
      </c>
      <c r="AA86" s="168">
        <f t="shared" ref="AA86:AA91" si="14">X86*0.3+Z86*0.7</f>
        <v>2.6836468628164405E-2</v>
      </c>
      <c r="AB86">
        <f t="shared" ref="AB86:AB91" si="15">G86*AA86</f>
        <v>26863.30509679257</v>
      </c>
      <c r="AC86" s="1">
        <f t="shared" ref="AC86:AC91" si="16">AA86</f>
        <v>2.6836468628164405E-2</v>
      </c>
    </row>
    <row r="87" spans="1:29" x14ac:dyDescent="0.15">
      <c r="B87" s="172">
        <v>42542</v>
      </c>
      <c r="C87" s="180">
        <v>300017</v>
      </c>
      <c r="D87" s="180" t="s">
        <v>130</v>
      </c>
      <c r="E87" s="180">
        <v>1001000</v>
      </c>
      <c r="F87" s="180">
        <f t="shared" si="0"/>
        <v>1009470</v>
      </c>
      <c r="G87">
        <f t="shared" ref="G87:G93" si="17">H86</f>
        <v>1027863.3050967925</v>
      </c>
      <c r="H87" s="180">
        <f t="shared" si="1"/>
        <v>1007086.3264376767</v>
      </c>
      <c r="I87" s="180">
        <v>15400</v>
      </c>
      <c r="J87" s="180">
        <v>67</v>
      </c>
      <c r="K87">
        <v>65.55</v>
      </c>
      <c r="L87" s="168">
        <f t="shared" si="2"/>
        <v>-2.1641791044776162E-2</v>
      </c>
      <c r="M87" s="180">
        <v>3112.67</v>
      </c>
      <c r="N87">
        <v>3106.32</v>
      </c>
      <c r="O87" s="168">
        <f t="shared" si="3"/>
        <v>-2.0400492181952821E-3</v>
      </c>
      <c r="P87" s="1">
        <f t="shared" si="4"/>
        <v>-1.9601741826580879E-2</v>
      </c>
      <c r="Q87" s="168">
        <f t="shared" si="5"/>
        <v>-2.0213756592039465E-2</v>
      </c>
      <c r="R87" s="180">
        <f t="shared" si="6"/>
        <v>-20776.978659115761</v>
      </c>
      <c r="S87" s="1">
        <f t="shared" ref="S87:S92" si="18">(K87-$J$86)/J86</f>
        <v>8.4615384615384179E-3</v>
      </c>
      <c r="T87" s="168">
        <f t="shared" si="7"/>
        <v>3.5667209428549155E-3</v>
      </c>
      <c r="U87" s="1">
        <f t="shared" si="8"/>
        <v>5.9648338015399769E-3</v>
      </c>
      <c r="V87" s="180">
        <f t="shared" si="9"/>
        <v>5970.7986353415172</v>
      </c>
      <c r="W87" s="180">
        <f t="shared" si="10"/>
        <v>8469.9999999999563</v>
      </c>
      <c r="X87" s="1">
        <f t="shared" si="11"/>
        <v>-2.1641791044776162E-2</v>
      </c>
      <c r="Y87" s="1">
        <f t="shared" si="12"/>
        <v>-2.0400492181952821E-3</v>
      </c>
      <c r="Z87" s="1">
        <f t="shared" si="13"/>
        <v>-1.9601741826580879E-2</v>
      </c>
      <c r="AA87" s="168">
        <f t="shared" si="14"/>
        <v>-2.0213756592039465E-2</v>
      </c>
      <c r="AB87" s="180">
        <f t="shared" si="15"/>
        <v>-20776.978659115761</v>
      </c>
      <c r="AC87" s="1">
        <f t="shared" si="16"/>
        <v>-2.0213756592039465E-2</v>
      </c>
    </row>
    <row r="88" spans="1:29" x14ac:dyDescent="0.15">
      <c r="B88" s="172">
        <v>42543</v>
      </c>
      <c r="C88" s="180">
        <v>300017</v>
      </c>
      <c r="D88" s="180" t="s">
        <v>130</v>
      </c>
      <c r="E88" s="180">
        <v>1001000</v>
      </c>
      <c r="F88" s="180">
        <f t="shared" si="0"/>
        <v>1023945.9999999999</v>
      </c>
      <c r="G88" s="180">
        <f t="shared" si="17"/>
        <v>1007086.3264376767</v>
      </c>
      <c r="H88" s="180">
        <f t="shared" si="1"/>
        <v>1015255.4142179454</v>
      </c>
      <c r="I88" s="180">
        <v>15400</v>
      </c>
      <c r="J88" s="180">
        <v>65.55</v>
      </c>
      <c r="K88">
        <v>66.489999999999995</v>
      </c>
      <c r="L88" s="168">
        <f t="shared" si="2"/>
        <v>1.4340198321891652E-2</v>
      </c>
      <c r="M88" s="180">
        <v>3106.32</v>
      </c>
      <c r="N88">
        <v>3133.96</v>
      </c>
      <c r="O88" s="168">
        <f t="shared" si="3"/>
        <v>8.8979886167554756E-3</v>
      </c>
      <c r="P88" s="1">
        <f t="shared" si="4"/>
        <v>5.4422097051361768E-3</v>
      </c>
      <c r="Q88" s="168">
        <f t="shared" si="5"/>
        <v>8.1116062901628195E-3</v>
      </c>
      <c r="R88" s="180">
        <f t="shared" si="6"/>
        <v>8169.0877802688246</v>
      </c>
      <c r="S88" s="1">
        <f t="shared" si="18"/>
        <v>2.2238805970149177E-2</v>
      </c>
      <c r="T88" s="168">
        <f t="shared" si="7"/>
        <v>1.2496446201959058E-2</v>
      </c>
      <c r="U88" s="1">
        <f t="shared" si="8"/>
        <v>1.3491293628777835E-2</v>
      </c>
      <c r="V88" s="180">
        <f t="shared" si="9"/>
        <v>13504.784922406612</v>
      </c>
      <c r="W88" s="180">
        <f t="shared" si="10"/>
        <v>22261.044776119325</v>
      </c>
      <c r="X88" s="1">
        <f t="shared" si="11"/>
        <v>1.4340198321891652E-2</v>
      </c>
      <c r="Y88" s="1">
        <f t="shared" si="12"/>
        <v>8.8979886167554756E-3</v>
      </c>
      <c r="Z88" s="1">
        <f t="shared" si="13"/>
        <v>5.4422097051361768E-3</v>
      </c>
      <c r="AA88" s="168">
        <f t="shared" si="14"/>
        <v>8.1116062901628195E-3</v>
      </c>
      <c r="AB88" s="180">
        <f t="shared" si="15"/>
        <v>8169.0877802688246</v>
      </c>
      <c r="AC88" s="1">
        <f t="shared" si="16"/>
        <v>8.1116062901628195E-3</v>
      </c>
    </row>
    <row r="89" spans="1:29" x14ac:dyDescent="0.15">
      <c r="B89" s="172">
        <v>42544</v>
      </c>
      <c r="C89" s="180">
        <v>300017</v>
      </c>
      <c r="D89" s="180" t="s">
        <v>130</v>
      </c>
      <c r="E89" s="180">
        <v>1001000</v>
      </c>
      <c r="F89" s="180">
        <f t="shared" si="0"/>
        <v>1005466.0000000001</v>
      </c>
      <c r="G89" s="180">
        <f t="shared" si="17"/>
        <v>1015255.4142179454</v>
      </c>
      <c r="H89" s="180">
        <f t="shared" si="1"/>
        <v>1000705.6637231606</v>
      </c>
      <c r="I89" s="180">
        <v>15400</v>
      </c>
      <c r="J89" s="180">
        <v>66.489999999999995</v>
      </c>
      <c r="K89">
        <v>65.290000000000006</v>
      </c>
      <c r="L89" s="168">
        <f t="shared" si="2"/>
        <v>-1.8047826740863117E-2</v>
      </c>
      <c r="M89" s="180">
        <v>3133.96</v>
      </c>
      <c r="N89">
        <v>3117.32</v>
      </c>
      <c r="O89" s="168">
        <f t="shared" si="3"/>
        <v>-5.3095763825957805E-3</v>
      </c>
      <c r="P89" s="1">
        <f t="shared" si="4"/>
        <v>-1.2738250358267336E-2</v>
      </c>
      <c r="Q89" s="168">
        <f t="shared" si="5"/>
        <v>-1.433112327304607E-2</v>
      </c>
      <c r="R89" s="180">
        <f t="shared" si="6"/>
        <v>-14549.750494784825</v>
      </c>
      <c r="S89" s="1">
        <f t="shared" si="18"/>
        <v>4.4241037376049775E-3</v>
      </c>
      <c r="T89" s="168">
        <f t="shared" si="7"/>
        <v>7.120518983742977E-3</v>
      </c>
      <c r="U89" s="1">
        <f t="shared" si="8"/>
        <v>-5.6025955101510639E-4</v>
      </c>
      <c r="V89" s="180">
        <f t="shared" si="9"/>
        <v>-560.81981056612153</v>
      </c>
      <c r="W89" s="180">
        <f t="shared" si="10"/>
        <v>4428.5278413425822</v>
      </c>
      <c r="X89" s="1">
        <f t="shared" si="11"/>
        <v>-1.8047826740863117E-2</v>
      </c>
      <c r="Y89" s="1">
        <f t="shared" si="12"/>
        <v>-5.3095763825957805E-3</v>
      </c>
      <c r="Z89" s="1">
        <f t="shared" si="13"/>
        <v>-1.2738250358267336E-2</v>
      </c>
      <c r="AA89" s="168">
        <f t="shared" si="14"/>
        <v>-1.433112327304607E-2</v>
      </c>
      <c r="AB89" s="180">
        <f t="shared" si="15"/>
        <v>-14549.750494784825</v>
      </c>
      <c r="AC89" s="1">
        <f t="shared" si="16"/>
        <v>-1.433112327304607E-2</v>
      </c>
    </row>
    <row r="90" spans="1:29" x14ac:dyDescent="0.15">
      <c r="B90" s="172">
        <v>42545</v>
      </c>
      <c r="C90" s="180">
        <v>300017</v>
      </c>
      <c r="D90" s="180" t="s">
        <v>130</v>
      </c>
      <c r="E90" s="180">
        <v>1001000</v>
      </c>
      <c r="F90">
        <f t="shared" si="0"/>
        <v>1000538</v>
      </c>
      <c r="G90" s="180">
        <f t="shared" si="17"/>
        <v>1000705.6637231606</v>
      </c>
      <c r="H90" s="180">
        <f t="shared" si="1"/>
        <v>1004825.3614514754</v>
      </c>
      <c r="I90" s="180">
        <v>15400</v>
      </c>
      <c r="J90">
        <v>65.290000000000006</v>
      </c>
      <c r="K90">
        <v>64.97</v>
      </c>
      <c r="L90" s="168">
        <f t="shared" si="2"/>
        <v>-4.9012099862154592E-3</v>
      </c>
      <c r="M90" s="180">
        <v>3117.32</v>
      </c>
      <c r="N90">
        <v>3077.16</v>
      </c>
      <c r="O90" s="168">
        <f t="shared" si="3"/>
        <v>-1.2882860918994619E-2</v>
      </c>
      <c r="P90" s="1">
        <f t="shared" si="4"/>
        <v>7.9816509327791593E-3</v>
      </c>
      <c r="Q90" s="168">
        <f t="shared" si="5"/>
        <v>4.1167926570807737E-3</v>
      </c>
      <c r="R90">
        <f t="shared" si="6"/>
        <v>4119.6977283146498</v>
      </c>
      <c r="S90" s="1">
        <f t="shared" si="18"/>
        <v>-4.5119566852159934E-4</v>
      </c>
      <c r="T90" s="168">
        <f t="shared" si="7"/>
        <v>-5.8540745909902644E-3</v>
      </c>
      <c r="U90" s="1">
        <f t="shared" si="8"/>
        <v>3.6466565451715857E-3</v>
      </c>
      <c r="V90" s="180">
        <f t="shared" si="9"/>
        <v>3650.3032017167575</v>
      </c>
      <c r="W90" s="180">
        <f t="shared" si="10"/>
        <v>-451.64686419012094</v>
      </c>
      <c r="X90" s="1">
        <f t="shared" si="11"/>
        <v>-4.9012099862154592E-3</v>
      </c>
      <c r="Y90" s="1">
        <f t="shared" si="12"/>
        <v>-1.2882860918994619E-2</v>
      </c>
      <c r="Z90" s="1">
        <f t="shared" si="13"/>
        <v>7.9816509327791593E-3</v>
      </c>
      <c r="AA90" s="168">
        <f t="shared" si="14"/>
        <v>4.1167926570807737E-3</v>
      </c>
      <c r="AB90">
        <f t="shared" si="15"/>
        <v>4119.6977283146498</v>
      </c>
      <c r="AC90" s="1">
        <f t="shared" si="16"/>
        <v>4.1167926570807737E-3</v>
      </c>
    </row>
    <row r="91" spans="1:29" x14ac:dyDescent="0.15">
      <c r="B91" s="172">
        <v>42548</v>
      </c>
      <c r="C91" s="180">
        <v>300017</v>
      </c>
      <c r="D91" s="180" t="s">
        <v>130</v>
      </c>
      <c r="E91" s="180">
        <v>1001000</v>
      </c>
      <c r="F91">
        <f t="shared" si="0"/>
        <v>1032570</v>
      </c>
      <c r="G91" s="180">
        <f t="shared" si="17"/>
        <v>1004825.3614514754</v>
      </c>
      <c r="H91" s="180">
        <f t="shared" si="1"/>
        <v>1027078.8126344908</v>
      </c>
      <c r="I91" s="180">
        <v>15400</v>
      </c>
      <c r="J91" s="180">
        <v>64.97</v>
      </c>
      <c r="K91">
        <v>67.05</v>
      </c>
      <c r="L91" s="168">
        <f t="shared" si="2"/>
        <v>3.2014776050484813E-2</v>
      </c>
      <c r="M91" s="180">
        <v>3077.16</v>
      </c>
      <c r="N91">
        <v>3120.54</v>
      </c>
      <c r="O91" s="168">
        <f t="shared" si="3"/>
        <v>1.4097414499083607E-2</v>
      </c>
      <c r="P91" s="1">
        <f t="shared" si="4"/>
        <v>1.7917361551401206E-2</v>
      </c>
      <c r="Q91" s="168">
        <f t="shared" si="5"/>
        <v>2.2146585901126288E-2</v>
      </c>
      <c r="R91" s="180">
        <f t="shared" si="6"/>
        <v>22253.451183015371</v>
      </c>
      <c r="S91" s="1">
        <f t="shared" si="18"/>
        <v>3.1398376474192018E-2</v>
      </c>
      <c r="T91" s="168">
        <f t="shared" si="7"/>
        <v>8.1608125920756003E-3</v>
      </c>
      <c r="U91" s="1">
        <f t="shared" si="8"/>
        <v>2.5685807659739095E-2</v>
      </c>
      <c r="V91" s="180">
        <f t="shared" si="9"/>
        <v>25711.493467398835</v>
      </c>
      <c r="W91" s="180">
        <f t="shared" si="10"/>
        <v>31429.77485066621</v>
      </c>
      <c r="X91" s="1">
        <f t="shared" si="11"/>
        <v>3.2014776050484813E-2</v>
      </c>
      <c r="Y91" s="1">
        <f t="shared" si="12"/>
        <v>1.4097414499083607E-2</v>
      </c>
      <c r="Z91" s="1">
        <f t="shared" si="13"/>
        <v>1.7917361551401206E-2</v>
      </c>
      <c r="AA91" s="168">
        <f t="shared" si="14"/>
        <v>2.2146585901126288E-2</v>
      </c>
      <c r="AB91" s="180">
        <f t="shared" si="15"/>
        <v>22253.451183015371</v>
      </c>
      <c r="AC91" s="1">
        <f t="shared" si="16"/>
        <v>2.2146585901126288E-2</v>
      </c>
    </row>
    <row r="92" spans="1:29" x14ac:dyDescent="0.15">
      <c r="B92" s="172">
        <v>42549</v>
      </c>
      <c r="C92" s="180">
        <v>300017</v>
      </c>
      <c r="D92" s="180" t="s">
        <v>130</v>
      </c>
      <c r="E92" s="180">
        <v>1001000</v>
      </c>
      <c r="F92">
        <f t="shared" si="0"/>
        <v>1035650</v>
      </c>
      <c r="G92" s="180">
        <f t="shared" si="17"/>
        <v>1027078.8126344908</v>
      </c>
      <c r="H92" s="180">
        <f t="shared" ref="H92" si="19">G92*(1+Q92)</f>
        <v>1026488.3769117037</v>
      </c>
      <c r="I92" s="180">
        <v>15400</v>
      </c>
      <c r="J92" s="180">
        <v>67.05</v>
      </c>
      <c r="K92">
        <v>67.25</v>
      </c>
      <c r="L92" s="168">
        <f t="shared" si="2"/>
        <v>2.9828486204325558E-3</v>
      </c>
      <c r="M92" s="180">
        <v>3120.54</v>
      </c>
      <c r="N92">
        <v>3136.4</v>
      </c>
      <c r="O92" s="168">
        <f t="shared" si="3"/>
        <v>5.082453677889124E-3</v>
      </c>
      <c r="P92" s="1">
        <f t="shared" si="4"/>
        <v>-2.0996050574565682E-3</v>
      </c>
      <c r="Q92" s="168">
        <f t="shared" si="5"/>
        <v>-5.7486895408983088E-4</v>
      </c>
      <c r="R92" s="180">
        <f t="shared" ref="R92" si="20">G92*Q92</f>
        <v>-590.43572278701504</v>
      </c>
      <c r="S92" s="1">
        <f t="shared" si="18"/>
        <v>3.4631368323841775E-2</v>
      </c>
      <c r="T92" s="168">
        <f t="shared" si="7"/>
        <v>1.3284743221937883E-2</v>
      </c>
      <c r="U92" s="1">
        <f t="shared" ref="U92" si="21">S92*0.3+(S92-T92)*0.7</f>
        <v>2.5332048068485255E-2</v>
      </c>
      <c r="V92" s="180">
        <f t="shared" ref="V92" si="22">E92*U92</f>
        <v>25357.380116553741</v>
      </c>
      <c r="W92" s="180">
        <f t="shared" ref="W92" si="23">E92*S92</f>
        <v>34665.99969216562</v>
      </c>
      <c r="X92" s="1">
        <f t="shared" ref="X92:X93" si="24">L92</f>
        <v>2.9828486204325558E-3</v>
      </c>
      <c r="Y92" s="1">
        <f t="shared" ref="Y92:Y93" si="25">O92</f>
        <v>5.082453677889124E-3</v>
      </c>
      <c r="Z92" s="1">
        <f t="shared" ref="Z92:Z93" si="26">X92-Y92</f>
        <v>-2.0996050574565682E-3</v>
      </c>
      <c r="AA92" s="168">
        <f t="shared" ref="AA92:AA93" si="27">X92*0.3+Z92*0.7</f>
        <v>-5.7486895408983088E-4</v>
      </c>
      <c r="AB92" s="180">
        <f t="shared" ref="AB92:AB93" si="28">G92*AA92</f>
        <v>-590.43572278701504</v>
      </c>
      <c r="AC92" s="1">
        <f t="shared" ref="AC92:AC93" si="29">AA92</f>
        <v>-5.7486895408983088E-4</v>
      </c>
    </row>
    <row r="93" spans="1:29" x14ac:dyDescent="0.15">
      <c r="B93" s="172">
        <v>42550</v>
      </c>
      <c r="C93" s="180">
        <v>300017</v>
      </c>
      <c r="D93" s="180" t="s">
        <v>130</v>
      </c>
      <c r="E93" s="180">
        <v>1001000</v>
      </c>
      <c r="F93">
        <f t="shared" si="0"/>
        <v>1035033.9999999999</v>
      </c>
      <c r="G93" s="180">
        <f t="shared" si="17"/>
        <v>1026488.3769117037</v>
      </c>
      <c r="H93" s="180">
        <f t="shared" ref="H93" si="30">G93*(1+Q93)</f>
        <v>1022443.6524576156</v>
      </c>
      <c r="I93" s="180">
        <v>15400</v>
      </c>
      <c r="J93" s="180">
        <v>67.25</v>
      </c>
      <c r="K93">
        <v>67.209999999999994</v>
      </c>
      <c r="L93" s="168">
        <f t="shared" si="2"/>
        <v>-5.9479553903355018E-4</v>
      </c>
      <c r="M93" s="180">
        <v>3136.4</v>
      </c>
      <c r="N93">
        <v>3151.39</v>
      </c>
      <c r="O93" s="168">
        <f t="shared" si="3"/>
        <v>4.7793648769288936E-3</v>
      </c>
      <c r="P93" s="1">
        <f t="shared" si="4"/>
        <v>-5.3741604159624435E-3</v>
      </c>
      <c r="Q93" s="168">
        <f t="shared" si="5"/>
        <v>-3.9403509528837749E-3</v>
      </c>
      <c r="R93" s="180">
        <f t="shared" ref="R93" si="31">G93*Q93</f>
        <v>-4044.7244540881511</v>
      </c>
      <c r="S93" s="1">
        <f t="shared" ref="S93" si="32">(K93-$J$86)/J92</f>
        <v>3.2960477255779178E-2</v>
      </c>
      <c r="T93" s="168">
        <f t="shared" si="7"/>
        <v>1.8127600734020723E-2</v>
      </c>
      <c r="U93" s="1">
        <f t="shared" ref="U93" si="33">S93*0.3+(S93-T93)*0.7</f>
        <v>2.0271156741964669E-2</v>
      </c>
      <c r="V93" s="180">
        <f t="shared" ref="V93" si="34">E93*U93</f>
        <v>20291.427898706632</v>
      </c>
      <c r="W93" s="180">
        <f t="shared" ref="W93" si="35">E93*S93</f>
        <v>32993.43773303496</v>
      </c>
      <c r="X93" s="1">
        <f t="shared" si="24"/>
        <v>-5.9479553903355018E-4</v>
      </c>
      <c r="Y93" s="1">
        <f t="shared" si="25"/>
        <v>4.7793648769288936E-3</v>
      </c>
      <c r="Z93" s="1">
        <f t="shared" si="26"/>
        <v>-5.3741604159624435E-3</v>
      </c>
      <c r="AA93" s="168">
        <f t="shared" si="27"/>
        <v>-3.9403509528837749E-3</v>
      </c>
      <c r="AB93" s="180">
        <f t="shared" si="28"/>
        <v>-4044.7244540881511</v>
      </c>
      <c r="AC93" s="1">
        <f t="shared" si="29"/>
        <v>-3.9403509528837749E-3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6"/>
  <sheetViews>
    <sheetView topLeftCell="A49" workbookViewId="0">
      <selection activeCell="A81" sqref="A81"/>
    </sheetView>
  </sheetViews>
  <sheetFormatPr defaultRowHeight="13.5" x14ac:dyDescent="0.15"/>
  <cols>
    <col min="1" max="1" width="9.5" bestFit="1" customWidth="1"/>
    <col min="6" max="6" width="9.5" bestFit="1" customWidth="1"/>
    <col min="9" max="9" width="13.625" customWidth="1"/>
    <col min="18" max="18" width="9.5" bestFit="1" customWidth="1"/>
  </cols>
  <sheetData>
    <row r="2" spans="1:23" x14ac:dyDescent="0.15">
      <c r="A2" t="s">
        <v>54</v>
      </c>
      <c r="I2" s="29" t="s">
        <v>15</v>
      </c>
      <c r="J2" t="s">
        <v>17</v>
      </c>
    </row>
    <row r="3" spans="1:23" ht="15.75" x14ac:dyDescent="0.3">
      <c r="A3" s="215">
        <v>2.17</v>
      </c>
      <c r="B3" s="215"/>
      <c r="C3" s="216">
        <v>34.200000000000003</v>
      </c>
      <c r="D3" s="216"/>
      <c r="E3" s="216">
        <v>17.440000000000001</v>
      </c>
      <c r="F3" s="216"/>
      <c r="G3" s="27">
        <v>5100</v>
      </c>
      <c r="H3">
        <v>174400</v>
      </c>
      <c r="I3" s="29">
        <v>5891</v>
      </c>
      <c r="J3">
        <f>H3/$H$11</f>
        <v>0.16477702191987906</v>
      </c>
      <c r="K3">
        <f>I3*J3</f>
        <v>970.70143613000755</v>
      </c>
      <c r="M3" s="158">
        <f>SUM(E3:F6)</f>
        <v>48.75</v>
      </c>
      <c r="O3" s="215"/>
      <c r="P3" s="215"/>
      <c r="Q3" s="216"/>
      <c r="R3" s="216"/>
      <c r="S3" s="216"/>
      <c r="T3" s="216"/>
      <c r="V3" s="180">
        <v>5100</v>
      </c>
      <c r="W3" s="180">
        <v>174400</v>
      </c>
    </row>
    <row r="4" spans="1:23" ht="15.75" x14ac:dyDescent="0.3">
      <c r="A4" s="215">
        <v>2.17</v>
      </c>
      <c r="B4" s="215"/>
      <c r="C4" s="216">
        <v>34.21</v>
      </c>
      <c r="D4" s="216"/>
      <c r="E4" s="216">
        <v>6.84</v>
      </c>
      <c r="F4" s="216"/>
      <c r="G4" s="27">
        <v>2000</v>
      </c>
      <c r="H4">
        <v>68400</v>
      </c>
      <c r="I4" s="29">
        <v>5891</v>
      </c>
      <c r="J4" s="30">
        <f t="shared" ref="J4:J10" si="0">H4/$H$11</f>
        <v>6.4625850340136057E-2</v>
      </c>
      <c r="K4" s="30">
        <f t="shared" ref="K4:K10" si="1">I4*J4</f>
        <v>380.71088435374151</v>
      </c>
      <c r="O4" s="215"/>
      <c r="P4" s="215"/>
      <c r="Q4" s="216"/>
      <c r="R4" s="216"/>
      <c r="S4" s="216"/>
      <c r="T4" s="216"/>
      <c r="V4" s="180">
        <v>2000</v>
      </c>
      <c r="W4" s="180">
        <v>68400</v>
      </c>
    </row>
    <row r="5" spans="1:23" ht="15.75" x14ac:dyDescent="0.3">
      <c r="A5" s="215">
        <v>2.17</v>
      </c>
      <c r="B5" s="215"/>
      <c r="C5" s="216">
        <v>34.86</v>
      </c>
      <c r="D5" s="216"/>
      <c r="E5" s="216">
        <v>6.97</v>
      </c>
      <c r="F5" s="216"/>
      <c r="G5" s="27">
        <v>2000</v>
      </c>
      <c r="H5">
        <v>69700</v>
      </c>
      <c r="I5" s="29">
        <v>5917</v>
      </c>
      <c r="J5" s="30">
        <f t="shared" si="0"/>
        <v>6.5854119425548002E-2</v>
      </c>
      <c r="K5" s="30">
        <f t="shared" si="1"/>
        <v>389.65882464096751</v>
      </c>
      <c r="O5" s="215"/>
      <c r="P5" s="215"/>
      <c r="Q5" s="216"/>
      <c r="R5" s="216"/>
      <c r="S5" s="216"/>
      <c r="T5" s="216"/>
      <c r="V5" s="180">
        <v>2000</v>
      </c>
      <c r="W5" s="180">
        <v>69700</v>
      </c>
    </row>
    <row r="6" spans="1:23" ht="15.75" x14ac:dyDescent="0.3">
      <c r="A6" s="215">
        <v>2.17</v>
      </c>
      <c r="B6" s="215"/>
      <c r="C6" s="216">
        <v>35</v>
      </c>
      <c r="D6" s="216"/>
      <c r="E6" s="216">
        <v>17.5</v>
      </c>
      <c r="F6" s="216"/>
      <c r="G6" s="27">
        <v>5000</v>
      </c>
      <c r="H6">
        <v>175000</v>
      </c>
      <c r="I6" s="29">
        <v>5917</v>
      </c>
      <c r="J6" s="30">
        <f t="shared" si="0"/>
        <v>0.16534391534391535</v>
      </c>
      <c r="K6" s="30">
        <f t="shared" si="1"/>
        <v>978.33994708994715</v>
      </c>
      <c r="O6" s="215"/>
      <c r="P6" s="215"/>
      <c r="Q6" s="216"/>
      <c r="R6" s="216"/>
      <c r="S6" s="216"/>
      <c r="T6" s="216"/>
      <c r="V6" s="180">
        <v>5000</v>
      </c>
      <c r="W6" s="180">
        <v>175000</v>
      </c>
    </row>
    <row r="7" spans="1:23" ht="15.75" x14ac:dyDescent="0.3">
      <c r="A7" s="215">
        <v>2.2400000000000002</v>
      </c>
      <c r="B7" s="215"/>
      <c r="C7" s="216">
        <v>32.880000000000003</v>
      </c>
      <c r="D7" s="216"/>
      <c r="E7" s="216">
        <v>4.2699999999999996</v>
      </c>
      <c r="F7" s="216"/>
      <c r="G7" s="28">
        <v>1300</v>
      </c>
      <c r="H7">
        <v>42700</v>
      </c>
      <c r="I7" s="31">
        <v>5896.12</v>
      </c>
      <c r="J7" s="30">
        <f t="shared" si="0"/>
        <v>4.0343915343915342E-2</v>
      </c>
      <c r="K7" s="30">
        <f t="shared" si="1"/>
        <v>237.87256613756611</v>
      </c>
      <c r="U7">
        <f>W7/V7</f>
        <v>34.574468085106382</v>
      </c>
      <c r="V7">
        <f>SUM(V3:V6)</f>
        <v>14100</v>
      </c>
      <c r="W7">
        <f>SUM(W3:W6)</f>
        <v>487500</v>
      </c>
    </row>
    <row r="8" spans="1:23" ht="15.75" x14ac:dyDescent="0.3">
      <c r="A8" s="215">
        <v>2.2400000000000002</v>
      </c>
      <c r="B8" s="215"/>
      <c r="C8" s="216">
        <v>32.909999999999997</v>
      </c>
      <c r="D8" s="216"/>
      <c r="E8" s="216">
        <v>13.16</v>
      </c>
      <c r="F8" s="216"/>
      <c r="G8" s="28">
        <v>4000</v>
      </c>
      <c r="H8">
        <v>131600</v>
      </c>
      <c r="I8" s="31">
        <v>5897.94</v>
      </c>
      <c r="J8" s="30">
        <f t="shared" si="0"/>
        <v>0.12433862433862433</v>
      </c>
      <c r="K8" s="30">
        <f t="shared" si="1"/>
        <v>733.34174603174597</v>
      </c>
    </row>
    <row r="9" spans="1:23" ht="15.75" x14ac:dyDescent="0.3">
      <c r="A9" s="215">
        <v>2.2400000000000002</v>
      </c>
      <c r="B9" s="215"/>
      <c r="C9" s="216">
        <v>33.06</v>
      </c>
      <c r="D9" s="216"/>
      <c r="E9" s="216">
        <v>6.61</v>
      </c>
      <c r="F9" s="216"/>
      <c r="G9" s="28">
        <v>2000</v>
      </c>
      <c r="H9">
        <v>66100</v>
      </c>
      <c r="I9" s="31">
        <v>5920</v>
      </c>
      <c r="J9" s="30">
        <f t="shared" si="0"/>
        <v>6.2452758881330311E-2</v>
      </c>
      <c r="K9" s="30">
        <f t="shared" si="1"/>
        <v>369.72033257747546</v>
      </c>
      <c r="V9" s="180">
        <v>1300</v>
      </c>
      <c r="W9" s="180">
        <v>42700</v>
      </c>
    </row>
    <row r="10" spans="1:23" ht="15.75" x14ac:dyDescent="0.3">
      <c r="A10" s="215">
        <v>2.2400000000000002</v>
      </c>
      <c r="B10" s="215"/>
      <c r="C10" s="216">
        <v>33.049999999999997</v>
      </c>
      <c r="D10" s="216"/>
      <c r="E10" s="216">
        <v>33.049999999999997</v>
      </c>
      <c r="F10" s="216"/>
      <c r="G10" s="28">
        <v>10000</v>
      </c>
      <c r="H10">
        <v>330500</v>
      </c>
      <c r="I10" s="31">
        <v>5920</v>
      </c>
      <c r="J10" s="30">
        <f t="shared" si="0"/>
        <v>0.31226379440665153</v>
      </c>
      <c r="K10" s="30">
        <f t="shared" si="1"/>
        <v>1848.601662887377</v>
      </c>
      <c r="V10" s="180">
        <v>4000</v>
      </c>
      <c r="W10" s="180">
        <v>131600</v>
      </c>
    </row>
    <row r="11" spans="1:23" x14ac:dyDescent="0.15">
      <c r="G11">
        <f>SUM(G3:G10)</f>
        <v>31400</v>
      </c>
      <c r="H11">
        <f>SUM(H3:H10)</f>
        <v>1058400</v>
      </c>
      <c r="K11">
        <f>SUM(K3:K10)</f>
        <v>5908.9473998488284</v>
      </c>
      <c r="V11" s="180">
        <v>2000</v>
      </c>
      <c r="W11" s="180">
        <v>66100</v>
      </c>
    </row>
    <row r="12" spans="1:23" x14ac:dyDescent="0.15">
      <c r="V12" s="180">
        <v>10000</v>
      </c>
      <c r="W12" s="180">
        <v>330500</v>
      </c>
    </row>
    <row r="13" spans="1:23" x14ac:dyDescent="0.15">
      <c r="U13">
        <f>W13/V13</f>
        <v>33</v>
      </c>
      <c r="V13">
        <f>SUM(V9:V12)</f>
        <v>17300</v>
      </c>
      <c r="W13">
        <f>SUM(W9:W12)</f>
        <v>570900</v>
      </c>
    </row>
    <row r="15" spans="1:23" x14ac:dyDescent="0.15">
      <c r="A15" s="69" t="s">
        <v>38</v>
      </c>
      <c r="B15" s="69" t="s">
        <v>39</v>
      </c>
      <c r="C15" s="69" t="s">
        <v>40</v>
      </c>
      <c r="D15" s="69" t="s">
        <v>41</v>
      </c>
      <c r="E15" s="69" t="s">
        <v>42</v>
      </c>
      <c r="F15" s="69" t="s">
        <v>43</v>
      </c>
      <c r="G15" s="69" t="s">
        <v>44</v>
      </c>
      <c r="H15" s="73" t="s">
        <v>45</v>
      </c>
      <c r="I15" s="69" t="s">
        <v>16</v>
      </c>
      <c r="J15" s="69" t="s">
        <v>46</v>
      </c>
      <c r="L15" t="s">
        <v>55</v>
      </c>
      <c r="M15" t="s">
        <v>56</v>
      </c>
    </row>
    <row r="16" spans="1:23" x14ac:dyDescent="0.15">
      <c r="A16" s="69">
        <v>20160311</v>
      </c>
      <c r="B16" s="69">
        <v>300166</v>
      </c>
      <c r="C16" s="69" t="s">
        <v>35</v>
      </c>
      <c r="D16" s="69">
        <v>20.997</v>
      </c>
      <c r="E16" s="69">
        <v>5000</v>
      </c>
      <c r="F16" s="69">
        <v>5000</v>
      </c>
      <c r="G16" s="69">
        <v>104986</v>
      </c>
      <c r="H16" s="73">
        <v>5459</v>
      </c>
      <c r="I16" s="69">
        <v>0.10451219396864316</v>
      </c>
      <c r="J16" s="69">
        <v>570.53206687482293</v>
      </c>
      <c r="L16" s="69">
        <v>5508.4613921785576</v>
      </c>
      <c r="M16" s="69">
        <v>6018.95</v>
      </c>
    </row>
    <row r="17" spans="1:14" x14ac:dyDescent="0.15">
      <c r="A17" s="69">
        <v>20160311</v>
      </c>
      <c r="B17" s="69">
        <v>300166</v>
      </c>
      <c r="C17" s="69" t="s">
        <v>35</v>
      </c>
      <c r="D17" s="69">
        <v>20.84</v>
      </c>
      <c r="E17" s="69">
        <v>2000</v>
      </c>
      <c r="F17" s="69">
        <v>2000</v>
      </c>
      <c r="G17" s="69">
        <v>41680</v>
      </c>
      <c r="H17" s="73">
        <v>5473.53</v>
      </c>
      <c r="I17" s="69">
        <v>4.1491896487274936E-2</v>
      </c>
      <c r="J17" s="69">
        <v>227.10714017999396</v>
      </c>
      <c r="L17">
        <v>1004534</v>
      </c>
      <c r="M17">
        <v>-218440</v>
      </c>
      <c r="N17">
        <f>L17+M17</f>
        <v>786094</v>
      </c>
    </row>
    <row r="18" spans="1:14" x14ac:dyDescent="0.15">
      <c r="A18" s="69">
        <v>20160311</v>
      </c>
      <c r="B18" s="69">
        <v>300166</v>
      </c>
      <c r="C18" s="69" t="s">
        <v>35</v>
      </c>
      <c r="D18" s="69">
        <v>21</v>
      </c>
      <c r="E18" s="69">
        <v>4100</v>
      </c>
      <c r="F18" s="69">
        <v>4100</v>
      </c>
      <c r="G18" s="69">
        <v>86100</v>
      </c>
      <c r="H18" s="73">
        <v>5491.8</v>
      </c>
      <c r="I18" s="69">
        <v>8.5711427244586663E-2</v>
      </c>
      <c r="J18" s="69">
        <v>470.71001614182103</v>
      </c>
      <c r="L18">
        <f>L17/N17</f>
        <v>1.2778802535065781</v>
      </c>
      <c r="M18">
        <f>M17/N17</f>
        <v>-0.27788025350657808</v>
      </c>
    </row>
    <row r="19" spans="1:14" x14ac:dyDescent="0.15">
      <c r="A19" s="69">
        <v>20160311</v>
      </c>
      <c r="B19" s="69">
        <v>300166</v>
      </c>
      <c r="C19" s="69" t="s">
        <v>35</v>
      </c>
      <c r="D19" s="69">
        <v>21.46</v>
      </c>
      <c r="E19" s="69">
        <v>15000</v>
      </c>
      <c r="F19" s="69">
        <v>15000</v>
      </c>
      <c r="G19" s="69">
        <v>321900</v>
      </c>
      <c r="H19" s="73">
        <v>5544</v>
      </c>
      <c r="I19" s="69">
        <v>0.32044725238132926</v>
      </c>
      <c r="J19" s="69">
        <v>1776.5595672020895</v>
      </c>
      <c r="L19">
        <f>L16*L18</f>
        <v>7039.1540402683331</v>
      </c>
      <c r="M19">
        <f>M16*M18</f>
        <v>-1672.547351843418</v>
      </c>
      <c r="N19">
        <f>L19+M19</f>
        <v>5366.6066884249149</v>
      </c>
    </row>
    <row r="20" spans="1:14" x14ac:dyDescent="0.15">
      <c r="A20" s="69">
        <v>20160311</v>
      </c>
      <c r="B20" s="69">
        <v>300166</v>
      </c>
      <c r="C20" s="69" t="s">
        <v>35</v>
      </c>
      <c r="D20" s="69">
        <v>21.529</v>
      </c>
      <c r="E20" s="69">
        <v>16000</v>
      </c>
      <c r="F20" s="69">
        <v>16000</v>
      </c>
      <c r="G20" s="69">
        <v>344466.5</v>
      </c>
      <c r="H20" s="73">
        <v>5501</v>
      </c>
      <c r="I20" s="69">
        <v>0.34291190886117784</v>
      </c>
      <c r="J20" s="69">
        <v>1886.3584106453393</v>
      </c>
      <c r="L20" t="s">
        <v>57</v>
      </c>
      <c r="M20">
        <f>N17/38400</f>
        <v>20.471197916666668</v>
      </c>
    </row>
    <row r="21" spans="1:14" x14ac:dyDescent="0.15">
      <c r="A21" s="69">
        <v>20160311</v>
      </c>
      <c r="B21" s="69">
        <v>300166</v>
      </c>
      <c r="C21" s="69" t="s">
        <v>35</v>
      </c>
      <c r="D21" s="69">
        <v>21.49</v>
      </c>
      <c r="E21" s="69">
        <v>2900</v>
      </c>
      <c r="F21" s="69">
        <v>2900</v>
      </c>
      <c r="G21" s="69">
        <v>62321</v>
      </c>
      <c r="H21" s="73">
        <v>5501</v>
      </c>
      <c r="I21" s="69">
        <v>6.2039742825898789E-2</v>
      </c>
      <c r="J21" s="69">
        <v>341.28062528526925</v>
      </c>
    </row>
    <row r="22" spans="1:14" x14ac:dyDescent="0.15">
      <c r="A22" s="69">
        <v>20160311</v>
      </c>
      <c r="B22" s="69">
        <v>300166</v>
      </c>
      <c r="C22" s="69" t="s">
        <v>35</v>
      </c>
      <c r="D22" s="69">
        <v>21.54</v>
      </c>
      <c r="E22" s="69">
        <v>2000</v>
      </c>
      <c r="F22" s="69">
        <v>2000</v>
      </c>
      <c r="G22" s="69">
        <v>43080</v>
      </c>
      <c r="H22" s="73">
        <v>5501</v>
      </c>
      <c r="I22" s="69">
        <v>4.2885578231089357E-2</v>
      </c>
      <c r="J22" s="69">
        <v>235.91356584922255</v>
      </c>
    </row>
    <row r="23" spans="1:14" x14ac:dyDescent="0.15">
      <c r="A23" s="69"/>
      <c r="B23" s="69"/>
      <c r="C23" s="69"/>
      <c r="D23" s="69" t="s">
        <v>47</v>
      </c>
      <c r="E23" s="69">
        <v>21.373053191489362</v>
      </c>
      <c r="F23" s="69">
        <v>47000</v>
      </c>
      <c r="G23" s="69">
        <v>1004533.5</v>
      </c>
      <c r="H23" s="69"/>
      <c r="I23" s="69"/>
      <c r="J23" s="69">
        <v>5508.4613921785576</v>
      </c>
    </row>
    <row r="24" spans="1:14" x14ac:dyDescent="0.15">
      <c r="A24" s="69"/>
      <c r="B24" s="69"/>
      <c r="C24" s="69"/>
      <c r="D24" s="69"/>
      <c r="E24" s="69"/>
      <c r="F24" s="69"/>
      <c r="G24" s="69"/>
      <c r="H24" s="69"/>
      <c r="I24" s="69" t="s">
        <v>48</v>
      </c>
      <c r="J24" s="69"/>
    </row>
    <row r="25" spans="1:14" x14ac:dyDescent="0.15">
      <c r="A25" s="69"/>
      <c r="B25" s="69"/>
      <c r="C25" s="69"/>
      <c r="D25" s="69"/>
      <c r="E25" s="69"/>
      <c r="F25" s="69"/>
      <c r="G25" s="69"/>
      <c r="H25" s="69"/>
      <c r="I25" s="69">
        <v>786093.5</v>
      </c>
      <c r="J25" s="69">
        <v>38400</v>
      </c>
    </row>
    <row r="26" spans="1:14" x14ac:dyDescent="0.15">
      <c r="A26" s="69"/>
      <c r="B26" s="69"/>
      <c r="C26" s="69"/>
      <c r="D26" s="69"/>
      <c r="E26" s="69"/>
      <c r="F26" s="69"/>
      <c r="G26" s="69"/>
      <c r="H26" s="69" t="s">
        <v>49</v>
      </c>
      <c r="I26" s="69"/>
      <c r="J26" s="69"/>
    </row>
    <row r="27" spans="1:14" x14ac:dyDescent="0.15">
      <c r="A27" s="69">
        <v>20160321</v>
      </c>
      <c r="B27" s="69">
        <v>300166</v>
      </c>
      <c r="C27" s="69" t="s">
        <v>35</v>
      </c>
      <c r="D27" s="69">
        <v>25.4</v>
      </c>
      <c r="E27" s="69">
        <v>-8600</v>
      </c>
      <c r="F27" s="69">
        <v>-8600</v>
      </c>
      <c r="G27" s="69">
        <f>D27*E27</f>
        <v>-218440</v>
      </c>
      <c r="H27" s="69">
        <v>6018.95</v>
      </c>
      <c r="I27" s="69"/>
      <c r="J27" s="69"/>
      <c r="L27" s="69" t="s">
        <v>55</v>
      </c>
      <c r="M27" s="72">
        <v>42507</v>
      </c>
    </row>
    <row r="28" spans="1:14" x14ac:dyDescent="0.15">
      <c r="A28" s="68"/>
      <c r="B28" s="68"/>
      <c r="C28" s="68"/>
      <c r="D28" s="68"/>
      <c r="E28" s="68"/>
      <c r="F28" s="68"/>
      <c r="G28" s="68"/>
      <c r="H28" s="68"/>
      <c r="I28" s="68"/>
      <c r="J28" s="68"/>
      <c r="L28" s="69">
        <v>5366.6066884249149</v>
      </c>
      <c r="M28">
        <v>5764</v>
      </c>
    </row>
    <row r="29" spans="1:14" x14ac:dyDescent="0.15">
      <c r="A29" s="69">
        <v>20160517</v>
      </c>
      <c r="B29" s="69">
        <v>300166</v>
      </c>
      <c r="C29" s="69" t="s">
        <v>35</v>
      </c>
      <c r="D29" s="69">
        <v>22.1</v>
      </c>
      <c r="E29" s="69">
        <v>90500</v>
      </c>
      <c r="F29" s="69"/>
      <c r="G29" s="69">
        <v>2000050.0000000002</v>
      </c>
      <c r="H29" s="69">
        <v>5764</v>
      </c>
      <c r="I29" s="69"/>
      <c r="J29" s="68"/>
      <c r="L29">
        <v>786094</v>
      </c>
      <c r="M29">
        <v>2000050.0000000002</v>
      </c>
      <c r="N29">
        <f>L29+M29</f>
        <v>2786144</v>
      </c>
    </row>
    <row r="30" spans="1:14" s="180" customFormat="1" x14ac:dyDescent="0.15"/>
    <row r="31" spans="1:14" s="180" customFormat="1" x14ac:dyDescent="0.15">
      <c r="A31" s="180">
        <v>20160530</v>
      </c>
      <c r="B31" s="180">
        <v>300166</v>
      </c>
      <c r="C31" s="180" t="s">
        <v>94</v>
      </c>
      <c r="D31" s="180">
        <v>24.6</v>
      </c>
      <c r="E31" s="180">
        <v>77340</v>
      </c>
      <c r="G31" s="180">
        <f>D31*E31</f>
        <v>1902564</v>
      </c>
      <c r="H31" s="180">
        <v>5682.42</v>
      </c>
    </row>
    <row r="32" spans="1:14" s="180" customFormat="1" x14ac:dyDescent="0.15"/>
    <row r="33" spans="1:19" x14ac:dyDescent="0.15">
      <c r="A33" s="68"/>
      <c r="B33" s="68"/>
      <c r="C33" s="68"/>
      <c r="D33" s="68"/>
      <c r="E33" s="68"/>
      <c r="F33" s="68"/>
      <c r="G33" s="68"/>
      <c r="H33" s="68"/>
      <c r="I33" s="68"/>
      <c r="J33" s="68"/>
      <c r="L33">
        <f>L29/N29</f>
        <v>0.28214406721260638</v>
      </c>
      <c r="M33">
        <f>M29/N29</f>
        <v>0.71785593278739368</v>
      </c>
      <c r="Q33" s="167">
        <v>42507</v>
      </c>
      <c r="R33" s="167">
        <v>42520</v>
      </c>
    </row>
    <row r="34" spans="1:19" x14ac:dyDescent="0.15">
      <c r="A34" s="69"/>
      <c r="B34" s="69" t="s">
        <v>50</v>
      </c>
      <c r="C34" s="69" t="s">
        <v>51</v>
      </c>
      <c r="D34" s="69"/>
      <c r="E34" s="69"/>
      <c r="F34" s="69"/>
      <c r="G34" s="69"/>
      <c r="H34" s="69" t="s">
        <v>52</v>
      </c>
      <c r="I34" s="69" t="s">
        <v>49</v>
      </c>
      <c r="J34" s="68"/>
      <c r="L34">
        <f>L28*L33</f>
        <v>1514.156238202582</v>
      </c>
      <c r="M34">
        <f>M28*M33</f>
        <v>4137.7215965865371</v>
      </c>
      <c r="N34">
        <f>L34+M34</f>
        <v>5651.8778347891193</v>
      </c>
      <c r="Q34">
        <v>2786144</v>
      </c>
      <c r="R34">
        <v>-1902564</v>
      </c>
      <c r="S34">
        <f>Q34+R34</f>
        <v>883580</v>
      </c>
    </row>
    <row r="35" spans="1:19" x14ac:dyDescent="0.15">
      <c r="A35" s="69"/>
      <c r="B35" s="70">
        <v>25.37</v>
      </c>
      <c r="C35" s="69">
        <v>25.4</v>
      </c>
      <c r="D35" s="69"/>
      <c r="E35" s="69"/>
      <c r="F35" s="69"/>
      <c r="G35" s="69"/>
      <c r="H35" s="69">
        <v>5949.2629999999999</v>
      </c>
      <c r="I35" s="69">
        <v>6018.95</v>
      </c>
      <c r="J35" s="68"/>
      <c r="L35" t="s">
        <v>58</v>
      </c>
      <c r="M35">
        <f>N29/(38400+90500)</f>
        <v>21.614771140418931</v>
      </c>
      <c r="Q35">
        <v>128900</v>
      </c>
      <c r="R35">
        <v>-77340</v>
      </c>
      <c r="S35">
        <f>Q35+R35</f>
        <v>51560</v>
      </c>
    </row>
    <row r="36" spans="1:19" x14ac:dyDescent="0.15">
      <c r="A36" s="69"/>
      <c r="B36" s="71">
        <v>47000</v>
      </c>
      <c r="C36" s="69">
        <v>8600</v>
      </c>
      <c r="D36" s="69"/>
      <c r="E36" s="69"/>
      <c r="F36" s="69"/>
      <c r="G36" s="69"/>
      <c r="H36" s="69">
        <v>1.2242825607064018</v>
      </c>
      <c r="I36" s="69">
        <v>0.22428256070640176</v>
      </c>
      <c r="J36" s="68"/>
      <c r="Q36">
        <v>21.614771140418931</v>
      </c>
      <c r="R36">
        <v>24.6</v>
      </c>
      <c r="S36">
        <f>S34/S35</f>
        <v>17.136927851047325</v>
      </c>
    </row>
    <row r="37" spans="1:19" x14ac:dyDescent="0.15">
      <c r="A37" s="69"/>
      <c r="B37" s="69">
        <v>1192390</v>
      </c>
      <c r="C37" s="69">
        <v>218440</v>
      </c>
      <c r="D37" s="69"/>
      <c r="E37" s="69"/>
      <c r="F37" s="69"/>
      <c r="G37" s="69"/>
      <c r="H37" s="69">
        <v>7283.5789399558498</v>
      </c>
      <c r="I37" s="69">
        <v>1349.9455187637968</v>
      </c>
      <c r="J37" s="68"/>
      <c r="Q37">
        <v>5651.8778347891193</v>
      </c>
      <c r="R37">
        <v>-5682.42</v>
      </c>
    </row>
    <row r="38" spans="1:19" x14ac:dyDescent="0.15">
      <c r="A38" s="69"/>
      <c r="B38" s="69">
        <v>973950</v>
      </c>
      <c r="C38" s="69"/>
      <c r="D38" s="69"/>
      <c r="E38" s="69"/>
      <c r="F38" s="69"/>
      <c r="G38" s="69"/>
      <c r="H38" s="69">
        <v>5933.633421192053</v>
      </c>
      <c r="I38" s="69"/>
      <c r="J38" s="68"/>
      <c r="Q38">
        <f>Q34/S34</f>
        <v>3.1532447542950273</v>
      </c>
      <c r="R38">
        <f>R34/S34</f>
        <v>-2.1532447542950273</v>
      </c>
    </row>
    <row r="39" spans="1:19" x14ac:dyDescent="0.15">
      <c r="A39" s="69"/>
      <c r="B39" s="69">
        <v>38400</v>
      </c>
      <c r="C39" s="69"/>
      <c r="D39" s="69"/>
      <c r="E39" s="69"/>
      <c r="F39" s="69"/>
      <c r="G39" s="69"/>
      <c r="H39" s="69"/>
      <c r="I39" s="69"/>
      <c r="J39" s="68"/>
      <c r="Q39">
        <f>Q37*Q38</f>
        <v>17821.754134465129</v>
      </c>
      <c r="R39">
        <f>-R37*R38</f>
        <v>-12235.64105670115</v>
      </c>
      <c r="S39">
        <f>Q39+R39</f>
        <v>5586.1130777639792</v>
      </c>
    </row>
    <row r="40" spans="1:19" x14ac:dyDescent="0.15">
      <c r="A40" s="69"/>
      <c r="B40" s="69">
        <v>25.36328125</v>
      </c>
      <c r="C40" s="69"/>
      <c r="D40" s="69"/>
      <c r="E40" s="69"/>
      <c r="F40" s="69"/>
      <c r="G40" s="69"/>
      <c r="H40" s="69"/>
      <c r="I40" s="69"/>
      <c r="J40" s="68"/>
    </row>
    <row r="41" spans="1:19" x14ac:dyDescent="0.15">
      <c r="A41" s="68"/>
      <c r="B41" s="68"/>
      <c r="C41" s="68"/>
      <c r="D41" s="68"/>
      <c r="E41" s="68"/>
      <c r="F41" s="68"/>
      <c r="G41" s="68"/>
      <c r="H41" s="68"/>
      <c r="I41" s="68"/>
      <c r="J41" s="68"/>
    </row>
    <row r="42" spans="1:19" x14ac:dyDescent="0.15">
      <c r="A42" s="69"/>
      <c r="B42" s="72">
        <v>42507</v>
      </c>
      <c r="C42" s="72">
        <v>42506</v>
      </c>
      <c r="D42" s="69"/>
      <c r="E42" s="69"/>
      <c r="F42" s="69"/>
      <c r="G42" s="69"/>
      <c r="H42" s="69"/>
      <c r="I42" s="69" t="s">
        <v>53</v>
      </c>
      <c r="J42" s="68"/>
    </row>
    <row r="43" spans="1:19" x14ac:dyDescent="0.15">
      <c r="A43" s="69"/>
      <c r="B43" s="69">
        <v>22.1</v>
      </c>
      <c r="C43" s="70">
        <v>22.61</v>
      </c>
      <c r="D43" s="69"/>
      <c r="E43" s="72">
        <v>42507</v>
      </c>
      <c r="F43" s="72">
        <v>42506</v>
      </c>
      <c r="G43" s="69"/>
      <c r="H43" s="69"/>
      <c r="I43" s="69">
        <v>2786143.5</v>
      </c>
      <c r="J43" s="68"/>
    </row>
    <row r="44" spans="1:19" x14ac:dyDescent="0.15">
      <c r="A44" s="69"/>
      <c r="B44" s="69">
        <v>90500</v>
      </c>
      <c r="C44" s="69">
        <v>38400</v>
      </c>
      <c r="D44" s="69"/>
      <c r="E44" s="69">
        <v>5764</v>
      </c>
      <c r="F44" s="69">
        <v>5812.5420000000004</v>
      </c>
      <c r="G44" s="69"/>
      <c r="H44" s="69"/>
      <c r="I44" s="69"/>
      <c r="J44" s="68"/>
    </row>
    <row r="45" spans="1:19" x14ac:dyDescent="0.15">
      <c r="A45" s="69"/>
      <c r="B45" s="69">
        <v>2000050.0000000002</v>
      </c>
      <c r="C45" s="69">
        <v>868224</v>
      </c>
      <c r="D45" s="69"/>
      <c r="E45" s="69">
        <v>0.69730088548025759</v>
      </c>
      <c r="F45" s="69">
        <v>0.30269911451974252</v>
      </c>
      <c r="G45" s="69"/>
      <c r="H45" s="69"/>
      <c r="I45" s="69"/>
      <c r="J45" s="68"/>
    </row>
    <row r="46" spans="1:19" x14ac:dyDescent="0.15">
      <c r="A46" s="69"/>
      <c r="B46" s="69">
        <v>2868274</v>
      </c>
      <c r="C46" s="69"/>
      <c r="D46" s="69"/>
      <c r="E46" s="69">
        <v>4019.2423039082046</v>
      </c>
      <c r="F46" s="69">
        <v>1759.4513165088133</v>
      </c>
      <c r="G46" s="69"/>
      <c r="H46" s="69"/>
      <c r="I46" s="69"/>
      <c r="J46" s="68"/>
    </row>
    <row r="47" spans="1:19" x14ac:dyDescent="0.15">
      <c r="A47" s="69"/>
      <c r="B47" s="69">
        <v>128900</v>
      </c>
      <c r="C47" s="69"/>
      <c r="D47" s="69"/>
      <c r="E47" s="69">
        <v>5778.6936204170179</v>
      </c>
      <c r="F47" s="69"/>
      <c r="G47" s="69"/>
      <c r="H47" s="68"/>
      <c r="I47" s="68"/>
      <c r="J47" s="68"/>
    </row>
    <row r="48" spans="1:19" x14ac:dyDescent="0.15">
      <c r="A48" s="69"/>
      <c r="B48" s="69">
        <v>22.251931730023273</v>
      </c>
      <c r="C48" s="69"/>
      <c r="D48" s="69"/>
      <c r="E48" s="69"/>
      <c r="F48" s="69"/>
      <c r="G48" s="69"/>
      <c r="H48" s="68"/>
      <c r="I48" s="68"/>
      <c r="J48" s="68"/>
    </row>
    <row r="49" spans="1:6" s="180" customFormat="1" x14ac:dyDescent="0.15"/>
    <row r="50" spans="1:6" s="180" customFormat="1" x14ac:dyDescent="0.15"/>
    <row r="51" spans="1:6" s="180" customFormat="1" x14ac:dyDescent="0.15">
      <c r="A51" s="195" t="s">
        <v>38</v>
      </c>
      <c r="B51" s="195" t="s">
        <v>39</v>
      </c>
      <c r="C51" s="195" t="s">
        <v>40</v>
      </c>
      <c r="D51" s="195" t="s">
        <v>41</v>
      </c>
      <c r="E51" s="195" t="s">
        <v>42</v>
      </c>
    </row>
    <row r="52" spans="1:6" s="180" customFormat="1" x14ac:dyDescent="0.15">
      <c r="A52" s="195">
        <v>20160311</v>
      </c>
      <c r="B52" s="195">
        <v>300166</v>
      </c>
      <c r="C52" s="195" t="s">
        <v>35</v>
      </c>
      <c r="D52" s="195">
        <v>20.997</v>
      </c>
      <c r="E52" s="195">
        <v>5000</v>
      </c>
      <c r="F52" s="196">
        <v>104985</v>
      </c>
    </row>
    <row r="53" spans="1:6" s="180" customFormat="1" x14ac:dyDescent="0.15">
      <c r="A53" s="195">
        <v>20160311</v>
      </c>
      <c r="B53" s="195">
        <v>300166</v>
      </c>
      <c r="C53" s="195" t="s">
        <v>35</v>
      </c>
      <c r="D53" s="195">
        <v>20.84</v>
      </c>
      <c r="E53" s="195">
        <v>2000</v>
      </c>
      <c r="F53" s="196">
        <v>41680</v>
      </c>
    </row>
    <row r="54" spans="1:6" s="180" customFormat="1" x14ac:dyDescent="0.15">
      <c r="A54" s="195">
        <v>20160311</v>
      </c>
      <c r="B54" s="195">
        <v>300166</v>
      </c>
      <c r="C54" s="195" t="s">
        <v>35</v>
      </c>
      <c r="D54" s="195">
        <v>21</v>
      </c>
      <c r="E54" s="195">
        <v>4100</v>
      </c>
      <c r="F54" s="196">
        <v>86100</v>
      </c>
    </row>
    <row r="55" spans="1:6" s="180" customFormat="1" x14ac:dyDescent="0.15">
      <c r="A55" s="195">
        <v>20160311</v>
      </c>
      <c r="B55" s="195">
        <v>300166</v>
      </c>
      <c r="C55" s="195" t="s">
        <v>35</v>
      </c>
      <c r="D55" s="195">
        <v>21.46</v>
      </c>
      <c r="E55" s="195">
        <v>15000</v>
      </c>
      <c r="F55" s="196">
        <v>321900</v>
      </c>
    </row>
    <row r="56" spans="1:6" s="180" customFormat="1" x14ac:dyDescent="0.15">
      <c r="A56" s="195">
        <v>20160311</v>
      </c>
      <c r="B56" s="195">
        <v>300166</v>
      </c>
      <c r="C56" s="195" t="s">
        <v>35</v>
      </c>
      <c r="D56" s="195">
        <v>21.529</v>
      </c>
      <c r="E56" s="195">
        <v>16000</v>
      </c>
      <c r="F56" s="196">
        <v>344464</v>
      </c>
    </row>
    <row r="57" spans="1:6" s="180" customFormat="1" x14ac:dyDescent="0.15">
      <c r="A57" s="195">
        <v>20160311</v>
      </c>
      <c r="B57" s="195">
        <v>300166</v>
      </c>
      <c r="C57" s="195" t="s">
        <v>35</v>
      </c>
      <c r="D57" s="195">
        <v>21.49</v>
      </c>
      <c r="E57" s="195">
        <v>2900</v>
      </c>
      <c r="F57" s="196">
        <v>62320.999999999993</v>
      </c>
    </row>
    <row r="58" spans="1:6" s="180" customFormat="1" x14ac:dyDescent="0.15">
      <c r="A58" s="195">
        <v>20160311</v>
      </c>
      <c r="B58" s="195">
        <v>300166</v>
      </c>
      <c r="C58" s="195" t="s">
        <v>35</v>
      </c>
      <c r="D58" s="195">
        <v>21.54</v>
      </c>
      <c r="E58" s="195">
        <v>2000</v>
      </c>
      <c r="F58" s="196">
        <v>43080</v>
      </c>
    </row>
    <row r="59" spans="1:6" s="180" customFormat="1" x14ac:dyDescent="0.15">
      <c r="A59" s="195">
        <v>20160321</v>
      </c>
      <c r="B59" s="195">
        <v>300166</v>
      </c>
      <c r="C59" s="195" t="s">
        <v>35</v>
      </c>
      <c r="D59" s="195">
        <v>26</v>
      </c>
      <c r="E59" s="195">
        <v>-14000</v>
      </c>
      <c r="F59" s="196">
        <v>-364000</v>
      </c>
    </row>
    <row r="60" spans="1:6" s="180" customFormat="1" x14ac:dyDescent="0.15">
      <c r="A60" s="195">
        <v>20160517</v>
      </c>
      <c r="B60" s="195">
        <v>300166</v>
      </c>
      <c r="C60" s="195" t="s">
        <v>35</v>
      </c>
      <c r="D60" s="195">
        <v>22.2</v>
      </c>
      <c r="E60" s="195">
        <v>95000</v>
      </c>
      <c r="F60" s="196">
        <v>2109000</v>
      </c>
    </row>
    <row r="61" spans="1:6" s="180" customFormat="1" x14ac:dyDescent="0.15">
      <c r="A61" s="195">
        <v>20160530</v>
      </c>
      <c r="B61" s="195">
        <v>300166</v>
      </c>
      <c r="C61" s="195" t="s">
        <v>35</v>
      </c>
      <c r="D61" s="195">
        <v>24.6</v>
      </c>
      <c r="E61" s="194">
        <v>-76800</v>
      </c>
      <c r="F61" s="180">
        <f>D61*E61</f>
        <v>-1889280</v>
      </c>
    </row>
    <row r="62" spans="1:6" s="180" customFormat="1" x14ac:dyDescent="0.15">
      <c r="D62" s="180">
        <f>F62/E62</f>
        <v>16.8017578125</v>
      </c>
      <c r="E62" s="180">
        <f>SUM(E52:E61)</f>
        <v>51200</v>
      </c>
      <c r="F62" s="180">
        <f>SUM(F52:F61)</f>
        <v>860250</v>
      </c>
    </row>
    <row r="63" spans="1:6" s="180" customFormat="1" x14ac:dyDescent="0.15"/>
    <row r="64" spans="1:6" s="180" customFormat="1" x14ac:dyDescent="0.15"/>
    <row r="65" spans="1:22" s="180" customFormat="1" x14ac:dyDescent="0.15"/>
    <row r="66" spans="1:22" x14ac:dyDescent="0.15">
      <c r="A66" t="s">
        <v>74</v>
      </c>
    </row>
    <row r="67" spans="1:22" x14ac:dyDescent="0.15">
      <c r="A67" t="s">
        <v>95</v>
      </c>
      <c r="B67" t="s">
        <v>96</v>
      </c>
      <c r="C67" t="s">
        <v>97</v>
      </c>
      <c r="D67" t="s">
        <v>98</v>
      </c>
    </row>
    <row r="68" spans="1:22" x14ac:dyDescent="0.15">
      <c r="A68" s="77">
        <v>42487</v>
      </c>
      <c r="B68" s="76">
        <v>51</v>
      </c>
      <c r="C68" s="76">
        <v>10000</v>
      </c>
      <c r="D68" s="76">
        <v>510000</v>
      </c>
      <c r="I68" s="76">
        <v>3180</v>
      </c>
      <c r="J68">
        <f>D68/D74</f>
        <v>0.12593893775039808</v>
      </c>
      <c r="K68">
        <f>I68*J68</f>
        <v>400.48582204626587</v>
      </c>
    </row>
    <row r="69" spans="1:22" x14ac:dyDescent="0.15">
      <c r="A69" s="75">
        <v>42495</v>
      </c>
      <c r="B69" s="76">
        <v>53.125995179999997</v>
      </c>
      <c r="C69" s="76">
        <v>25307</v>
      </c>
      <c r="D69" s="76">
        <v>1344459.56</v>
      </c>
      <c r="I69" s="76">
        <v>3208.6883480000001</v>
      </c>
      <c r="J69">
        <f>D69/D74</f>
        <v>0.33199962516621101</v>
      </c>
      <c r="K69" s="180">
        <f t="shared" ref="K69:K73" si="2">I69*J69</f>
        <v>1065.2833288111888</v>
      </c>
      <c r="Q69" s="180">
        <f>S69/R69</f>
        <v>33.913111158566458</v>
      </c>
      <c r="R69" s="180">
        <f t="shared" ref="R69" si="3">79607*1.5</f>
        <v>119410.5</v>
      </c>
      <c r="S69" s="180">
        <v>4049581.56</v>
      </c>
      <c r="T69">
        <v>3129.3927230617887</v>
      </c>
      <c r="U69">
        <f>S69/S72</f>
        <v>1.0012084969917969</v>
      </c>
      <c r="V69">
        <f>T69*U69</f>
        <v>3133.17458475376</v>
      </c>
    </row>
    <row r="70" spans="1:22" x14ac:dyDescent="0.15">
      <c r="A70" s="75">
        <v>42496</v>
      </c>
      <c r="B70" s="74">
        <v>53</v>
      </c>
      <c r="C70" s="74">
        <v>3400</v>
      </c>
      <c r="D70" s="74">
        <v>180200</v>
      </c>
      <c r="I70" s="76">
        <v>3213.14</v>
      </c>
      <c r="J70">
        <f>D70/D74</f>
        <v>4.4498424671807327E-2</v>
      </c>
      <c r="K70" s="180">
        <f t="shared" si="2"/>
        <v>142.97966824997098</v>
      </c>
      <c r="Q70" s="180">
        <v>36.799999999999997</v>
      </c>
      <c r="R70" s="180">
        <v>-13700</v>
      </c>
      <c r="S70" s="180">
        <f>Q70*R70</f>
        <v>-504159.99999999994</v>
      </c>
      <c r="T70">
        <v>3073.52</v>
      </c>
      <c r="U70">
        <f>S70/S72</f>
        <v>-0.1246472674681441</v>
      </c>
      <c r="V70">
        <f>T70*U70</f>
        <v>-383.10586950869026</v>
      </c>
    </row>
    <row r="71" spans="1:22" x14ac:dyDescent="0.15">
      <c r="A71" s="77">
        <v>42502</v>
      </c>
      <c r="B71" s="76">
        <v>50.3</v>
      </c>
      <c r="C71" s="76">
        <v>10000</v>
      </c>
      <c r="D71" s="76">
        <v>503000</v>
      </c>
      <c r="E71" t="s">
        <v>99</v>
      </c>
      <c r="I71" s="76">
        <v>3045.59</v>
      </c>
      <c r="J71">
        <f>D71/D74</f>
        <v>0.12421036409500047</v>
      </c>
      <c r="K71" s="180">
        <f t="shared" si="2"/>
        <v>378.29384278409248</v>
      </c>
      <c r="Q71" s="180">
        <v>35.159999999999997</v>
      </c>
      <c r="R71" s="180">
        <v>14200</v>
      </c>
      <c r="S71" s="180">
        <f>Q71*R71</f>
        <v>499271.99999999994</v>
      </c>
      <c r="T71">
        <v>3112.74</v>
      </c>
      <c r="U71">
        <f>S71/S72</f>
        <v>0.12343877047634727</v>
      </c>
      <c r="V71">
        <f>T71*U71</f>
        <v>384.23279841254515</v>
      </c>
    </row>
    <row r="72" spans="1:22" x14ac:dyDescent="0.15">
      <c r="A72" s="75">
        <v>42508</v>
      </c>
      <c r="B72" s="74">
        <v>50.45</v>
      </c>
      <c r="C72" s="74">
        <v>10000</v>
      </c>
      <c r="D72" s="74">
        <v>504500</v>
      </c>
      <c r="I72" s="74">
        <v>3062.14</v>
      </c>
      <c r="J72">
        <f>D72/D74</f>
        <v>0.12458077273544282</v>
      </c>
      <c r="K72" s="180">
        <f t="shared" si="2"/>
        <v>381.48376742410886</v>
      </c>
      <c r="Q72">
        <f>S72/R72</f>
        <v>33.730937324087549</v>
      </c>
      <c r="R72">
        <f>SUM(R69:R71)</f>
        <v>119910.5</v>
      </c>
      <c r="S72">
        <f>SUM(S69:S71)</f>
        <v>4044693.56</v>
      </c>
      <c r="V72">
        <f>SUM(V69:V71)</f>
        <v>3134.3015136576146</v>
      </c>
    </row>
    <row r="73" spans="1:22" x14ac:dyDescent="0.15">
      <c r="A73" s="167">
        <v>42514</v>
      </c>
      <c r="B73">
        <f>D73/C73</f>
        <v>48.202009569377992</v>
      </c>
      <c r="C73" s="180">
        <v>20900</v>
      </c>
      <c r="D73" s="179">
        <v>1007422</v>
      </c>
      <c r="I73" s="175">
        <v>3058.49</v>
      </c>
      <c r="J73">
        <f>D73/D74</f>
        <v>0.24877187558114028</v>
      </c>
      <c r="K73" s="180">
        <f t="shared" si="2"/>
        <v>760.86629374616166</v>
      </c>
      <c r="O73">
        <f>504160*0.097678</f>
        <v>49245.340479999999</v>
      </c>
    </row>
    <row r="74" spans="1:22" x14ac:dyDescent="0.15">
      <c r="B74">
        <f>D74/C74</f>
        <v>50.869666737849684</v>
      </c>
      <c r="C74">
        <f>SUM(C68:C73)</f>
        <v>79607</v>
      </c>
      <c r="D74">
        <f>SUM(D68:D73)</f>
        <v>4049581.56</v>
      </c>
      <c r="K74">
        <f>SUM(K68:K73)</f>
        <v>3129.3927230617887</v>
      </c>
    </row>
    <row r="75" spans="1:22" s="180" customFormat="1" x14ac:dyDescent="0.15">
      <c r="B75" s="180">
        <f>D75/C75</f>
        <v>33.913111158566458</v>
      </c>
      <c r="C75" s="180">
        <f t="shared" ref="C75" si="4">79607*1.5</f>
        <v>119410.5</v>
      </c>
      <c r="D75" s="180">
        <v>4049581.56</v>
      </c>
    </row>
    <row r="76" spans="1:22" s="180" customFormat="1" x14ac:dyDescent="0.15"/>
    <row r="77" spans="1:22" s="180" customFormat="1" x14ac:dyDescent="0.15"/>
    <row r="79" spans="1:22" x14ac:dyDescent="0.15">
      <c r="C79" t="s">
        <v>40</v>
      </c>
      <c r="D79" t="s">
        <v>122</v>
      </c>
      <c r="I79" t="s">
        <v>123</v>
      </c>
      <c r="J79">
        <v>3073.52</v>
      </c>
      <c r="M79">
        <f>K74-J79</f>
        <v>55.872723061788747</v>
      </c>
    </row>
    <row r="80" spans="1:22" x14ac:dyDescent="0.15">
      <c r="A80">
        <v>20160614</v>
      </c>
      <c r="B80">
        <v>0.4236111111111111</v>
      </c>
      <c r="C80" t="s">
        <v>73</v>
      </c>
      <c r="D80" t="s">
        <v>124</v>
      </c>
      <c r="E80">
        <v>36.799999999999997</v>
      </c>
      <c r="F80">
        <v>13700</v>
      </c>
      <c r="G80">
        <f>E80*F80</f>
        <v>504159.99999999994</v>
      </c>
      <c r="M80">
        <f>M79/K74</f>
        <v>1.7854174277980375E-2</v>
      </c>
    </row>
    <row r="81" spans="1:10" x14ac:dyDescent="0.15">
      <c r="A81">
        <v>20160622</v>
      </c>
      <c r="C81" t="s">
        <v>135</v>
      </c>
      <c r="D81" t="s">
        <v>136</v>
      </c>
      <c r="E81">
        <v>35.159999999999997</v>
      </c>
      <c r="F81">
        <v>14200</v>
      </c>
      <c r="G81">
        <f>E81*F81</f>
        <v>499271.99999999994</v>
      </c>
      <c r="I81" t="s">
        <v>137</v>
      </c>
      <c r="J81">
        <v>3112.74</v>
      </c>
    </row>
    <row r="82" spans="1:10" x14ac:dyDescent="0.15">
      <c r="I82" t="s">
        <v>138</v>
      </c>
    </row>
    <row r="85" spans="1:10" x14ac:dyDescent="0.15">
      <c r="A85" s="180" t="s">
        <v>134</v>
      </c>
      <c r="B85" s="180"/>
      <c r="C85" s="180"/>
      <c r="D85" s="180"/>
      <c r="E85" s="180"/>
      <c r="F85" s="180"/>
      <c r="G85" s="180"/>
      <c r="H85" s="180" t="s">
        <v>128</v>
      </c>
    </row>
    <row r="86" spans="1:10" x14ac:dyDescent="0.15">
      <c r="A86" s="180" t="s">
        <v>129</v>
      </c>
      <c r="B86" s="180">
        <v>20160620</v>
      </c>
      <c r="C86" s="214">
        <v>0.42638888888888887</v>
      </c>
      <c r="D86" s="180">
        <v>65</v>
      </c>
      <c r="E86" s="180">
        <v>15400</v>
      </c>
      <c r="F86" s="180">
        <v>1001000</v>
      </c>
      <c r="G86" s="180"/>
      <c r="H86" s="180">
        <v>3095.28</v>
      </c>
    </row>
  </sheetData>
  <mergeCells count="36">
    <mergeCell ref="O5:P5"/>
    <mergeCell ref="Q5:R5"/>
    <mergeCell ref="S5:T5"/>
    <mergeCell ref="O6:P6"/>
    <mergeCell ref="Q6:R6"/>
    <mergeCell ref="S6:T6"/>
    <mergeCell ref="O3:P3"/>
    <mergeCell ref="Q3:R3"/>
    <mergeCell ref="S3:T3"/>
    <mergeCell ref="O4:P4"/>
    <mergeCell ref="Q4:R4"/>
    <mergeCell ref="S4:T4"/>
    <mergeCell ref="A9:B9"/>
    <mergeCell ref="C9:D9"/>
    <mergeCell ref="E9:F9"/>
    <mergeCell ref="A10:B10"/>
    <mergeCell ref="C10:D10"/>
    <mergeCell ref="E10:F10"/>
    <mergeCell ref="A7:B7"/>
    <mergeCell ref="C7:D7"/>
    <mergeCell ref="E7:F7"/>
    <mergeCell ref="A8:B8"/>
    <mergeCell ref="C8:D8"/>
    <mergeCell ref="E8:F8"/>
    <mergeCell ref="A5:B5"/>
    <mergeCell ref="C5:D5"/>
    <mergeCell ref="E5:F5"/>
    <mergeCell ref="A6:B6"/>
    <mergeCell ref="C6:D6"/>
    <mergeCell ref="E6:F6"/>
    <mergeCell ref="A3:B3"/>
    <mergeCell ref="C3:D3"/>
    <mergeCell ref="E3:F3"/>
    <mergeCell ref="A4:B4"/>
    <mergeCell ref="C4:D4"/>
    <mergeCell ref="E4:F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1" topLeftCell="A14" activePane="bottomLeft" state="frozen"/>
      <selection pane="bottomLeft" activeCell="B45" sqref="B45"/>
    </sheetView>
  </sheetViews>
  <sheetFormatPr defaultRowHeight="13.5" x14ac:dyDescent="0.15"/>
  <cols>
    <col min="1" max="1" width="11.75" customWidth="1"/>
    <col min="2" max="2" width="16.125" customWidth="1"/>
    <col min="3" max="3" width="12" customWidth="1"/>
    <col min="5" max="5" width="13.625" customWidth="1"/>
    <col min="6" max="6" width="13.625" style="180" customWidth="1"/>
    <col min="8" max="8" width="9" style="164"/>
    <col min="9" max="9" width="14.5" customWidth="1"/>
    <col min="11" max="11" width="13.75" customWidth="1"/>
    <col min="12" max="12" width="16.75" style="95" customWidth="1"/>
    <col min="13" max="13" width="13" customWidth="1"/>
    <col min="14" max="14" width="11.625" customWidth="1"/>
    <col min="15" max="15" width="9" style="95"/>
    <col min="17" max="17" width="14.25" customWidth="1"/>
    <col min="18" max="18" width="11.375" customWidth="1"/>
    <col min="21" max="21" width="16.75" customWidth="1"/>
    <col min="22" max="22" width="13.875" customWidth="1"/>
  </cols>
  <sheetData>
    <row r="1" spans="1:29" s="80" customFormat="1" ht="40.5" x14ac:dyDescent="0.15">
      <c r="A1" s="82"/>
      <c r="B1" s="83" t="s">
        <v>0</v>
      </c>
      <c r="C1" s="84" t="s">
        <v>1</v>
      </c>
      <c r="D1" s="84" t="s">
        <v>2</v>
      </c>
      <c r="E1" s="85" t="s">
        <v>3</v>
      </c>
      <c r="F1" s="162" t="s">
        <v>91</v>
      </c>
      <c r="G1" s="83" t="s">
        <v>24</v>
      </c>
      <c r="H1" s="174" t="s">
        <v>88</v>
      </c>
      <c r="I1" s="83" t="s">
        <v>4</v>
      </c>
      <c r="J1" s="83" t="s">
        <v>13</v>
      </c>
      <c r="K1" s="84" t="s">
        <v>8</v>
      </c>
      <c r="L1" s="98" t="s">
        <v>9</v>
      </c>
      <c r="M1" s="26" t="s">
        <v>14</v>
      </c>
      <c r="N1" s="83" t="s">
        <v>10</v>
      </c>
      <c r="O1" s="98" t="s">
        <v>11</v>
      </c>
      <c r="P1" s="80" t="s">
        <v>12</v>
      </c>
      <c r="Q1" s="80" t="s">
        <v>22</v>
      </c>
      <c r="R1" s="81" t="s">
        <v>23</v>
      </c>
      <c r="S1" s="80" t="s">
        <v>19</v>
      </c>
      <c r="T1" s="80" t="s">
        <v>20</v>
      </c>
      <c r="U1" s="80" t="s">
        <v>21</v>
      </c>
      <c r="V1" s="80" t="s">
        <v>60</v>
      </c>
      <c r="W1" s="80" t="s">
        <v>63</v>
      </c>
      <c r="X1" s="106" t="s">
        <v>111</v>
      </c>
      <c r="Y1" s="106" t="s">
        <v>112</v>
      </c>
      <c r="Z1" s="106" t="s">
        <v>115</v>
      </c>
      <c r="AA1" s="176" t="s">
        <v>105</v>
      </c>
      <c r="AB1" s="176" t="s">
        <v>114</v>
      </c>
      <c r="AC1" s="176" t="s">
        <v>107</v>
      </c>
    </row>
    <row r="2" spans="1:29" s="148" customFormat="1" x14ac:dyDescent="0.15">
      <c r="A2" s="150"/>
      <c r="B2" s="172">
        <v>42417</v>
      </c>
      <c r="C2" s="153"/>
      <c r="D2" s="153"/>
      <c r="E2" s="154"/>
      <c r="F2" s="162"/>
      <c r="G2" s="152"/>
      <c r="H2" s="174"/>
      <c r="I2" s="152"/>
      <c r="J2" s="152"/>
      <c r="K2" s="153"/>
      <c r="L2" s="155"/>
      <c r="M2" s="26"/>
      <c r="N2" s="152"/>
      <c r="O2" s="155"/>
      <c r="R2" s="149"/>
    </row>
    <row r="3" spans="1:29" s="148" customFormat="1" x14ac:dyDescent="0.15">
      <c r="A3" s="150"/>
      <c r="B3" s="172">
        <v>42418</v>
      </c>
      <c r="C3" s="153"/>
      <c r="D3" s="153"/>
      <c r="E3" s="154"/>
      <c r="F3" s="162"/>
      <c r="G3" s="152"/>
      <c r="H3" s="174"/>
      <c r="I3" s="152"/>
      <c r="J3" s="152"/>
      <c r="K3" s="153"/>
      <c r="L3" s="155"/>
      <c r="M3" s="26"/>
      <c r="N3" s="152"/>
      <c r="O3" s="155"/>
      <c r="R3" s="149"/>
    </row>
    <row r="4" spans="1:29" s="148" customFormat="1" x14ac:dyDescent="0.15">
      <c r="A4" s="150"/>
      <c r="B4" s="172">
        <v>42419</v>
      </c>
      <c r="C4" s="153"/>
      <c r="D4" s="153"/>
      <c r="E4" s="154"/>
      <c r="F4" s="162"/>
      <c r="G4" s="152"/>
      <c r="H4" s="174"/>
      <c r="I4" s="152"/>
      <c r="J4" s="152"/>
      <c r="K4" s="153"/>
      <c r="L4" s="155"/>
      <c r="M4" s="26"/>
      <c r="N4" s="152"/>
      <c r="O4" s="155"/>
      <c r="R4" s="149"/>
    </row>
    <row r="5" spans="1:29" s="148" customFormat="1" x14ac:dyDescent="0.15">
      <c r="A5" s="150"/>
      <c r="B5" s="172">
        <v>42422</v>
      </c>
      <c r="C5" s="153"/>
      <c r="D5" s="153"/>
      <c r="E5" s="154"/>
      <c r="F5" s="162"/>
      <c r="G5" s="152"/>
      <c r="H5" s="174"/>
      <c r="I5" s="152"/>
      <c r="J5" s="152"/>
      <c r="K5" s="153"/>
      <c r="L5" s="155"/>
      <c r="M5" s="26"/>
      <c r="N5" s="152"/>
      <c r="O5" s="155"/>
      <c r="R5" s="149"/>
    </row>
    <row r="6" spans="1:29" s="148" customFormat="1" x14ac:dyDescent="0.15">
      <c r="A6" s="150"/>
      <c r="B6" s="172">
        <v>42423</v>
      </c>
      <c r="C6" s="153"/>
      <c r="D6" s="153"/>
      <c r="E6" s="154"/>
      <c r="F6" s="162"/>
      <c r="G6" s="152"/>
      <c r="H6" s="174"/>
      <c r="I6" s="152"/>
      <c r="J6" s="152"/>
      <c r="K6" s="153"/>
      <c r="L6" s="155"/>
      <c r="M6" s="26"/>
      <c r="N6" s="152"/>
      <c r="O6" s="155"/>
      <c r="R6" s="149"/>
    </row>
    <row r="7" spans="1:29" s="148" customFormat="1" x14ac:dyDescent="0.15">
      <c r="A7" s="150"/>
      <c r="B7" s="172">
        <v>42424</v>
      </c>
      <c r="C7" s="153"/>
      <c r="D7" s="153"/>
      <c r="E7" s="154"/>
      <c r="F7" s="162"/>
      <c r="G7" s="152"/>
      <c r="H7" s="174"/>
      <c r="I7" s="152"/>
      <c r="J7" s="152"/>
      <c r="K7" s="153"/>
      <c r="L7" s="155"/>
      <c r="M7" s="26"/>
      <c r="N7" s="152"/>
      <c r="O7" s="155"/>
      <c r="R7" s="149"/>
    </row>
    <row r="8" spans="1:29" s="148" customFormat="1" x14ac:dyDescent="0.15">
      <c r="A8" s="150"/>
      <c r="B8" s="172">
        <v>42425</v>
      </c>
      <c r="C8" s="153"/>
      <c r="D8" s="153"/>
      <c r="E8" s="154"/>
      <c r="F8" s="162"/>
      <c r="G8" s="152"/>
      <c r="H8" s="174"/>
      <c r="I8" s="152"/>
      <c r="J8" s="152"/>
      <c r="K8" s="153"/>
      <c r="L8" s="155"/>
      <c r="M8" s="26"/>
      <c r="N8" s="152"/>
      <c r="O8" s="155"/>
      <c r="R8" s="149"/>
    </row>
    <row r="9" spans="1:29" s="148" customFormat="1" x14ac:dyDescent="0.15">
      <c r="A9" s="150"/>
      <c r="B9" s="172">
        <v>42426</v>
      </c>
      <c r="C9" s="153"/>
      <c r="D9" s="153"/>
      <c r="E9" s="154"/>
      <c r="F9" s="162"/>
      <c r="G9" s="152"/>
      <c r="H9" s="174"/>
      <c r="I9" s="152"/>
      <c r="J9" s="152"/>
      <c r="K9" s="153"/>
      <c r="L9" s="155"/>
      <c r="M9" s="26"/>
      <c r="N9" s="152"/>
      <c r="O9" s="155"/>
      <c r="R9" s="149"/>
    </row>
    <row r="10" spans="1:29" s="157" customFormat="1" x14ac:dyDescent="0.15">
      <c r="A10" s="159"/>
      <c r="B10" s="172">
        <v>42429</v>
      </c>
      <c r="C10" s="161"/>
      <c r="D10" s="161"/>
      <c r="E10" s="162"/>
      <c r="F10" s="162"/>
      <c r="G10" s="160"/>
      <c r="H10" s="174"/>
      <c r="I10" s="160"/>
      <c r="J10" s="160"/>
      <c r="K10" s="161"/>
      <c r="L10" s="163"/>
      <c r="M10" s="26"/>
      <c r="N10" s="160"/>
      <c r="O10" s="163"/>
      <c r="R10" s="158"/>
    </row>
    <row r="11" spans="1:29" s="157" customFormat="1" x14ac:dyDescent="0.15">
      <c r="A11" s="159"/>
      <c r="B11" s="172">
        <v>42430</v>
      </c>
      <c r="C11" s="161"/>
      <c r="D11" s="161"/>
      <c r="E11" s="162"/>
      <c r="F11" s="162"/>
      <c r="G11" s="160"/>
      <c r="H11" s="174"/>
      <c r="I11" s="160"/>
      <c r="J11" s="160"/>
      <c r="K11" s="161"/>
      <c r="L11" s="163"/>
      <c r="M11" s="26"/>
      <c r="N11" s="160"/>
      <c r="O11" s="163"/>
      <c r="R11" s="158"/>
    </row>
    <row r="12" spans="1:29" s="157" customFormat="1" x14ac:dyDescent="0.15">
      <c r="A12" s="159"/>
      <c r="B12" s="172">
        <v>42431</v>
      </c>
      <c r="C12" s="161"/>
      <c r="D12" s="161"/>
      <c r="E12" s="162"/>
      <c r="F12" s="162"/>
      <c r="G12" s="160"/>
      <c r="H12" s="174"/>
      <c r="I12" s="160"/>
      <c r="J12" s="160"/>
      <c r="K12" s="161"/>
      <c r="L12" s="163"/>
      <c r="M12" s="26"/>
      <c r="N12" s="160"/>
      <c r="O12" s="163"/>
      <c r="R12" s="158"/>
    </row>
    <row r="13" spans="1:29" s="157" customFormat="1" x14ac:dyDescent="0.15">
      <c r="A13" s="159"/>
      <c r="B13" s="172">
        <v>42432</v>
      </c>
      <c r="C13" s="161"/>
      <c r="D13" s="161"/>
      <c r="E13" s="162"/>
      <c r="F13" s="162"/>
      <c r="G13" s="160"/>
      <c r="H13" s="174"/>
      <c r="I13" s="160"/>
      <c r="J13" s="160"/>
      <c r="K13" s="161"/>
      <c r="L13" s="163"/>
      <c r="M13" s="26"/>
      <c r="N13" s="160"/>
      <c r="O13" s="163"/>
      <c r="R13" s="158"/>
    </row>
    <row r="14" spans="1:29" s="157" customFormat="1" x14ac:dyDescent="0.15">
      <c r="A14" s="159"/>
      <c r="B14" s="172">
        <v>42433</v>
      </c>
      <c r="C14" s="161"/>
      <c r="D14" s="161"/>
      <c r="E14" s="162"/>
      <c r="F14" s="162"/>
      <c r="G14" s="160"/>
      <c r="H14" s="174"/>
      <c r="I14" s="160"/>
      <c r="J14" s="160"/>
      <c r="K14" s="161"/>
      <c r="L14" s="163"/>
      <c r="M14" s="26"/>
      <c r="N14" s="160"/>
      <c r="O14" s="163"/>
      <c r="R14" s="158"/>
    </row>
    <row r="15" spans="1:29" s="157" customFormat="1" x14ac:dyDescent="0.15">
      <c r="A15" s="159"/>
      <c r="B15" s="172">
        <v>42436</v>
      </c>
      <c r="C15" s="161"/>
      <c r="D15" s="161"/>
      <c r="E15" s="162"/>
      <c r="F15" s="162"/>
      <c r="G15" s="160"/>
      <c r="H15" s="174"/>
      <c r="I15" s="160"/>
      <c r="J15" s="160"/>
      <c r="K15" s="161"/>
      <c r="L15" s="163"/>
      <c r="M15" s="26"/>
      <c r="N15" s="160"/>
      <c r="O15" s="163"/>
      <c r="R15" s="158"/>
    </row>
    <row r="16" spans="1:29" s="157" customFormat="1" x14ac:dyDescent="0.15">
      <c r="A16" s="159"/>
      <c r="B16" s="172">
        <v>42437</v>
      </c>
      <c r="C16" s="161"/>
      <c r="D16" s="161"/>
      <c r="E16" s="162"/>
      <c r="F16" s="162"/>
      <c r="G16" s="160"/>
      <c r="H16" s="174"/>
      <c r="I16" s="160"/>
      <c r="J16" s="160"/>
      <c r="K16" s="161"/>
      <c r="L16" s="163"/>
      <c r="M16" s="26"/>
      <c r="N16" s="160"/>
      <c r="O16" s="163"/>
      <c r="R16" s="158"/>
    </row>
    <row r="17" spans="1:29" s="157" customFormat="1" x14ac:dyDescent="0.15">
      <c r="A17" s="159"/>
      <c r="B17" s="172">
        <v>42438</v>
      </c>
      <c r="C17" s="161"/>
      <c r="D17" s="161"/>
      <c r="E17" s="162"/>
      <c r="F17" s="162"/>
      <c r="G17" s="160"/>
      <c r="H17" s="174"/>
      <c r="I17" s="160"/>
      <c r="J17" s="160"/>
      <c r="K17" s="161"/>
      <c r="L17" s="163"/>
      <c r="M17" s="26"/>
      <c r="N17" s="160"/>
      <c r="O17" s="163"/>
      <c r="R17" s="158"/>
    </row>
    <row r="18" spans="1:29" s="148" customFormat="1" x14ac:dyDescent="0.15">
      <c r="A18" s="150"/>
      <c r="B18" s="172">
        <v>42439</v>
      </c>
      <c r="C18" s="153"/>
      <c r="D18" s="153"/>
      <c r="E18" s="154"/>
      <c r="F18" s="162"/>
      <c r="G18" s="152"/>
      <c r="H18" s="174"/>
      <c r="I18" s="152"/>
      <c r="J18" s="152"/>
      <c r="K18" s="153"/>
      <c r="L18" s="155"/>
      <c r="M18" s="26"/>
      <c r="N18" s="152"/>
      <c r="O18" s="155"/>
      <c r="R18" s="149"/>
    </row>
    <row r="19" spans="1:29" s="148" customFormat="1" x14ac:dyDescent="0.15">
      <c r="A19" s="150"/>
      <c r="B19" s="172">
        <v>42440</v>
      </c>
      <c r="C19" s="153"/>
      <c r="D19" s="153"/>
      <c r="E19" s="154"/>
      <c r="F19" s="162"/>
      <c r="G19" s="152"/>
      <c r="H19" s="174"/>
      <c r="I19" s="152"/>
      <c r="J19" s="152"/>
      <c r="K19" s="153"/>
      <c r="L19" s="155"/>
      <c r="M19" s="26"/>
      <c r="N19" s="152"/>
      <c r="O19" s="155"/>
      <c r="R19" s="149"/>
    </row>
    <row r="20" spans="1:29" s="157" customFormat="1" x14ac:dyDescent="0.15">
      <c r="A20" s="159"/>
      <c r="B20" s="172">
        <v>42443</v>
      </c>
      <c r="C20" s="161"/>
      <c r="D20" s="161"/>
      <c r="E20" s="162"/>
      <c r="F20" s="162"/>
      <c r="G20" s="160"/>
      <c r="H20" s="174"/>
      <c r="I20" s="160"/>
      <c r="J20" s="160"/>
      <c r="K20" s="161"/>
      <c r="L20" s="163"/>
      <c r="M20" s="26"/>
      <c r="N20" s="160"/>
      <c r="O20" s="163"/>
      <c r="R20" s="158"/>
    </row>
    <row r="21" spans="1:29" s="148" customFormat="1" x14ac:dyDescent="0.15">
      <c r="A21" s="150"/>
      <c r="B21" s="172">
        <v>42444</v>
      </c>
      <c r="C21" s="153"/>
      <c r="D21" s="153"/>
      <c r="E21" s="154"/>
      <c r="F21" s="162"/>
      <c r="G21" s="152"/>
      <c r="H21" s="174"/>
      <c r="I21" s="152"/>
      <c r="J21" s="152"/>
      <c r="K21" s="153"/>
      <c r="L21" s="155"/>
      <c r="M21" s="26"/>
      <c r="N21" s="152"/>
      <c r="O21" s="155"/>
      <c r="R21" s="149"/>
    </row>
    <row r="22" spans="1:29" s="148" customFormat="1" x14ac:dyDescent="0.15">
      <c r="A22" s="150"/>
      <c r="B22" s="172">
        <v>42445</v>
      </c>
      <c r="C22" s="153"/>
      <c r="D22" s="153"/>
      <c r="E22" s="154"/>
      <c r="F22" s="162"/>
      <c r="G22" s="152"/>
      <c r="H22" s="174"/>
      <c r="I22" s="152"/>
      <c r="J22" s="152"/>
      <c r="K22" s="153"/>
      <c r="L22" s="155"/>
      <c r="M22" s="26"/>
      <c r="N22" s="152"/>
      <c r="O22" s="155"/>
      <c r="R22" s="149"/>
    </row>
    <row r="23" spans="1:29" s="148" customFormat="1" x14ac:dyDescent="0.15">
      <c r="A23" s="150"/>
      <c r="B23" s="172">
        <v>42446</v>
      </c>
      <c r="C23" s="153"/>
      <c r="D23" s="153"/>
      <c r="E23" s="154"/>
      <c r="F23" s="162"/>
      <c r="G23" s="152"/>
      <c r="H23" s="174"/>
      <c r="I23" s="152"/>
      <c r="J23" s="152"/>
      <c r="K23" s="153"/>
      <c r="L23" s="155"/>
      <c r="M23" s="26"/>
      <c r="N23" s="152"/>
      <c r="O23" s="155"/>
      <c r="R23" s="149"/>
    </row>
    <row r="24" spans="1:29" x14ac:dyDescent="0.15">
      <c r="A24" s="87" t="s">
        <v>25</v>
      </c>
      <c r="B24" s="88">
        <v>42447</v>
      </c>
      <c r="C24" s="87" t="s">
        <v>31</v>
      </c>
      <c r="D24" s="86" t="s">
        <v>32</v>
      </c>
      <c r="E24" s="87">
        <v>698820</v>
      </c>
      <c r="F24" s="170">
        <f>K24*I24</f>
        <v>738920</v>
      </c>
      <c r="G24" s="58">
        <f>I24*J24</f>
        <v>698820</v>
      </c>
      <c r="H24" s="170">
        <f>G24*(1+Q24)</f>
        <v>731975.34104990552</v>
      </c>
      <c r="I24" s="91">
        <v>24500</v>
      </c>
      <c r="J24" s="89">
        <f>E24/I24</f>
        <v>28.52326530612245</v>
      </c>
      <c r="K24" s="90">
        <v>30.16</v>
      </c>
      <c r="L24" s="95">
        <f>(K24-J24)/J24</f>
        <v>5.7382444692481563E-2</v>
      </c>
      <c r="M24" s="92">
        <v>5865.9853368964796</v>
      </c>
      <c r="N24" s="92">
        <v>5949.2629999999999</v>
      </c>
      <c r="O24" s="95">
        <f>(N24-M24)/M24</f>
        <v>1.4196704955894097E-2</v>
      </c>
      <c r="P24" s="1">
        <f>L24-O24</f>
        <v>4.3185739736587465E-2</v>
      </c>
      <c r="Q24">
        <f>L24*0.3+P24*0.7</f>
        <v>4.7444751223355688E-2</v>
      </c>
      <c r="R24">
        <f>G24*Q24</f>
        <v>33155.341049905423</v>
      </c>
      <c r="S24">
        <f>(K24-$J$24)/$J$24</f>
        <v>5.7382444692481563E-2</v>
      </c>
      <c r="T24">
        <f>(N24-$M$24)/$M$24</f>
        <v>1.4196704955894097E-2</v>
      </c>
      <c r="U24">
        <f>(S24-T24)*0.7+S24*0.3</f>
        <v>4.7444751223355688E-2</v>
      </c>
      <c r="V24">
        <f>E24*U24</f>
        <v>33155.341049905423</v>
      </c>
      <c r="W24">
        <f>E24*S24</f>
        <v>40099.999999999964</v>
      </c>
      <c r="X24" s="168">
        <v>5.7382444692481563E-2</v>
      </c>
      <c r="Y24">
        <v>1.4196704955894097E-2</v>
      </c>
      <c r="Z24" s="1">
        <f>X24-Y24</f>
        <v>4.3185739736587465E-2</v>
      </c>
      <c r="AA24">
        <f>X24*0.3+Z24*0.7</f>
        <v>4.7444751223355688E-2</v>
      </c>
      <c r="AB24">
        <f>V24</f>
        <v>33155.341049905423</v>
      </c>
      <c r="AC24">
        <f>AA24</f>
        <v>4.7444751223355688E-2</v>
      </c>
    </row>
    <row r="25" spans="1:29" x14ac:dyDescent="0.15">
      <c r="A25" s="96"/>
      <c r="B25" s="97">
        <v>42450</v>
      </c>
      <c r="C25" s="96" t="s">
        <v>31</v>
      </c>
      <c r="D25" s="94" t="s">
        <v>32</v>
      </c>
      <c r="E25" s="96">
        <v>698820</v>
      </c>
      <c r="F25" s="170">
        <f t="shared" ref="F25:F44" si="0">K25*I25</f>
        <v>783510</v>
      </c>
      <c r="G25" s="58">
        <f>G24*(1+Q24)</f>
        <v>731975.34104990552</v>
      </c>
      <c r="H25" s="170">
        <f t="shared" ref="H25:H44" si="1">G25*(1+Q25)</f>
        <v>763208.67936607252</v>
      </c>
      <c r="I25" s="91">
        <v>24500</v>
      </c>
      <c r="J25" s="90">
        <v>30.16</v>
      </c>
      <c r="K25" s="90">
        <v>31.98</v>
      </c>
      <c r="L25" s="95">
        <f t="shared" ref="L25:L44" si="2">(K25-J25)/J25</f>
        <v>6.0344827586206906E-2</v>
      </c>
      <c r="M25" s="92">
        <v>5949.2629999999999</v>
      </c>
      <c r="N25" s="92">
        <v>6099.4809999999998</v>
      </c>
      <c r="O25" s="95">
        <f t="shared" ref="O25:O44" si="3">(N25-M25)/M25</f>
        <v>2.5249850275571924E-2</v>
      </c>
      <c r="P25" s="1">
        <f t="shared" ref="P25:P44" si="4">L25-O25</f>
        <v>3.5094977310634982E-2</v>
      </c>
      <c r="Q25" s="93">
        <f t="shared" ref="Q25:Q44" si="5">L25*0.3+P25*0.7</f>
        <v>4.2669932393306562E-2</v>
      </c>
      <c r="R25" s="93">
        <f t="shared" ref="R25:R44" si="6">G25*Q25</f>
        <v>31233.338316166981</v>
      </c>
      <c r="S25" s="93">
        <f t="shared" ref="S25:S44" si="7">(K25-$J$24)/$J$24</f>
        <v>0.12119000601013133</v>
      </c>
      <c r="T25" s="93">
        <f t="shared" ref="T25:T44" si="8">(N25-$M$24)/$M$24</f>
        <v>3.9805019906008814E-2</v>
      </c>
      <c r="U25" s="93">
        <f t="shared" ref="U25:U44" si="9">(S25-T25)*0.7+S25*0.3</f>
        <v>9.3326492075925152E-2</v>
      </c>
      <c r="V25" s="93">
        <f t="shared" ref="V25:V44" si="10">E25*U25</f>
        <v>65218.419192498011</v>
      </c>
      <c r="W25" s="93">
        <f t="shared" ref="W25:W44" si="11">E25*S25</f>
        <v>84689.999999999971</v>
      </c>
      <c r="X25" s="168">
        <v>6.0344827586206906E-2</v>
      </c>
      <c r="Y25">
        <v>2.5249850275571924E-2</v>
      </c>
      <c r="Z25" s="1">
        <f t="shared" ref="Z25:Z44" si="12">X25-Y25</f>
        <v>3.5094977310634982E-2</v>
      </c>
      <c r="AA25" s="180">
        <f t="shared" ref="AA25:AA44" si="13">X25*0.3+Z25*0.7</f>
        <v>4.2669932393306562E-2</v>
      </c>
      <c r="AB25">
        <f>V25-V24</f>
        <v>32063.078142592589</v>
      </c>
      <c r="AC25">
        <f>AC24+AA25</f>
        <v>9.011468361666225E-2</v>
      </c>
    </row>
    <row r="26" spans="1:29" x14ac:dyDescent="0.15">
      <c r="A26" s="96"/>
      <c r="B26" s="97">
        <v>42451</v>
      </c>
      <c r="C26" s="96" t="s">
        <v>31</v>
      </c>
      <c r="D26" s="94" t="s">
        <v>32</v>
      </c>
      <c r="E26" s="96">
        <v>698820</v>
      </c>
      <c r="F26" s="170">
        <f t="shared" si="0"/>
        <v>768320</v>
      </c>
      <c r="G26" s="96">
        <f t="shared" ref="G26:G44" si="14">G25*(1+Q25)</f>
        <v>763208.67936607252</v>
      </c>
      <c r="H26" s="170">
        <f t="shared" si="1"/>
        <v>750513.43059295556</v>
      </c>
      <c r="I26" s="91">
        <v>24500</v>
      </c>
      <c r="J26" s="90">
        <v>31.98</v>
      </c>
      <c r="K26" s="90">
        <v>31.36</v>
      </c>
      <c r="L26" s="95">
        <f t="shared" si="2"/>
        <v>-1.938711694809259E-2</v>
      </c>
      <c r="M26" s="92">
        <v>6099.4809999999998</v>
      </c>
      <c r="N26" s="92">
        <v>6075.4920000000002</v>
      </c>
      <c r="O26" s="95">
        <f t="shared" si="3"/>
        <v>-3.9329575745870151E-3</v>
      </c>
      <c r="P26" s="1">
        <f t="shared" si="4"/>
        <v>-1.5454159373505576E-2</v>
      </c>
      <c r="Q26" s="93">
        <f t="shared" si="5"/>
        <v>-1.6634046645881678E-2</v>
      </c>
      <c r="R26" s="93">
        <f t="shared" si="6"/>
        <v>-12695.248773117004</v>
      </c>
      <c r="S26" s="93">
        <f t="shared" si="7"/>
        <v>9.9453364242580278E-2</v>
      </c>
      <c r="T26" s="93">
        <f t="shared" si="8"/>
        <v>3.5715510876875876E-2</v>
      </c>
      <c r="U26" s="93">
        <f t="shared" si="9"/>
        <v>7.4452506628767151E-2</v>
      </c>
      <c r="V26" s="93">
        <f t="shared" si="10"/>
        <v>52028.900682315063</v>
      </c>
      <c r="W26" s="93">
        <f t="shared" si="11"/>
        <v>69499.999999999956</v>
      </c>
      <c r="X26" s="168">
        <v>-1.938711694809259E-2</v>
      </c>
      <c r="Y26">
        <v>-3.9329575745870151E-3</v>
      </c>
      <c r="Z26" s="1">
        <f t="shared" si="12"/>
        <v>-1.5454159373505576E-2</v>
      </c>
      <c r="AA26" s="180">
        <f t="shared" si="13"/>
        <v>-1.6634046645881678E-2</v>
      </c>
      <c r="AB26" s="180">
        <f t="shared" ref="AB26:AB44" si="15">V26-V25</f>
        <v>-13189.518510182948</v>
      </c>
      <c r="AC26" s="180">
        <f t="shared" ref="AC26:AC44" si="16">AC25+AA26</f>
        <v>7.3480636970780569E-2</v>
      </c>
    </row>
    <row r="27" spans="1:29" x14ac:dyDescent="0.15">
      <c r="A27" s="96"/>
      <c r="B27" s="97">
        <v>42452</v>
      </c>
      <c r="C27" s="96" t="s">
        <v>31</v>
      </c>
      <c r="D27" s="94" t="s">
        <v>32</v>
      </c>
      <c r="E27" s="96">
        <v>698820</v>
      </c>
      <c r="F27" s="170">
        <f t="shared" si="0"/>
        <v>781550</v>
      </c>
      <c r="G27" s="96">
        <f t="shared" si="14"/>
        <v>750513.43059295556</v>
      </c>
      <c r="H27" s="170">
        <f t="shared" si="1"/>
        <v>759677.53252588969</v>
      </c>
      <c r="I27" s="91">
        <v>24500</v>
      </c>
      <c r="J27" s="90">
        <v>31.36</v>
      </c>
      <c r="K27" s="90">
        <v>31.9</v>
      </c>
      <c r="L27" s="95">
        <f t="shared" si="2"/>
        <v>1.7219387755102015E-2</v>
      </c>
      <c r="M27" s="92">
        <v>6075.4920000000002</v>
      </c>
      <c r="N27" s="92">
        <v>6118.9660000000003</v>
      </c>
      <c r="O27" s="95">
        <f t="shared" si="3"/>
        <v>7.1556344737183685E-3</v>
      </c>
      <c r="P27" s="1">
        <f t="shared" si="4"/>
        <v>1.0063753281383647E-2</v>
      </c>
      <c r="Q27" s="93">
        <f t="shared" si="5"/>
        <v>1.2210443623499156E-2</v>
      </c>
      <c r="R27" s="93">
        <f t="shared" si="6"/>
        <v>9164.1019329342307</v>
      </c>
      <c r="S27" s="93">
        <f t="shared" si="7"/>
        <v>0.11838527804012468</v>
      </c>
      <c r="T27" s="93">
        <f t="shared" si="8"/>
        <v>4.3126712491471285E-2</v>
      </c>
      <c r="U27" s="93">
        <f t="shared" si="9"/>
        <v>8.8196579296094785E-2</v>
      </c>
      <c r="V27" s="93">
        <f t="shared" si="10"/>
        <v>61633.533543696954</v>
      </c>
      <c r="W27" s="93">
        <f t="shared" si="11"/>
        <v>82729.999999999927</v>
      </c>
      <c r="X27" s="168">
        <v>1.7219387755102015E-2</v>
      </c>
      <c r="Y27">
        <v>7.1556344737183685E-3</v>
      </c>
      <c r="Z27" s="1">
        <f t="shared" si="12"/>
        <v>1.0063753281383647E-2</v>
      </c>
      <c r="AA27" s="180">
        <f t="shared" si="13"/>
        <v>1.2210443623499156E-2</v>
      </c>
      <c r="AB27" s="180">
        <f t="shared" si="15"/>
        <v>9604.6328613818914</v>
      </c>
      <c r="AC27" s="180">
        <f t="shared" si="16"/>
        <v>8.5691080594279725E-2</v>
      </c>
    </row>
    <row r="28" spans="1:29" x14ac:dyDescent="0.15">
      <c r="A28" s="96"/>
      <c r="B28" s="97">
        <v>42453</v>
      </c>
      <c r="C28" s="96" t="s">
        <v>31</v>
      </c>
      <c r="D28" s="94" t="s">
        <v>32</v>
      </c>
      <c r="E28" s="96">
        <v>698820</v>
      </c>
      <c r="F28" s="170">
        <f t="shared" si="0"/>
        <v>785224.99999999988</v>
      </c>
      <c r="G28" s="96">
        <f t="shared" si="14"/>
        <v>759677.53252588969</v>
      </c>
      <c r="H28" s="170">
        <f t="shared" si="1"/>
        <v>771987.37734903314</v>
      </c>
      <c r="I28" s="91">
        <v>24500</v>
      </c>
      <c r="J28" s="90">
        <v>31.9</v>
      </c>
      <c r="K28" s="90">
        <v>32.049999999999997</v>
      </c>
      <c r="L28" s="95">
        <f t="shared" si="2"/>
        <v>4.7021943573667272E-3</v>
      </c>
      <c r="M28" s="92">
        <v>6118.9660000000003</v>
      </c>
      <c r="N28" s="92">
        <v>6018.424</v>
      </c>
      <c r="O28" s="95">
        <f t="shared" si="3"/>
        <v>-1.6431207494861121E-2</v>
      </c>
      <c r="P28" s="1">
        <f t="shared" si="4"/>
        <v>2.1133401852227847E-2</v>
      </c>
      <c r="Q28" s="93">
        <f t="shared" si="5"/>
        <v>1.620403960376951E-2</v>
      </c>
      <c r="R28" s="93">
        <f t="shared" si="6"/>
        <v>12309.844823143416</v>
      </c>
      <c r="S28" s="93">
        <f t="shared" si="7"/>
        <v>0.12364414298388697</v>
      </c>
      <c r="T28" s="93">
        <f t="shared" si="8"/>
        <v>2.5986881035091579E-2</v>
      </c>
      <c r="U28" s="93">
        <f t="shared" si="9"/>
        <v>0.10545332625932287</v>
      </c>
      <c r="V28" s="93">
        <f t="shared" si="10"/>
        <v>73692.893456540012</v>
      </c>
      <c r="W28" s="93">
        <f t="shared" si="11"/>
        <v>86404.999999999898</v>
      </c>
      <c r="X28" s="168">
        <v>4.7021943573667272E-3</v>
      </c>
      <c r="Y28">
        <v>-1.6431207494861121E-2</v>
      </c>
      <c r="Z28" s="1">
        <f t="shared" si="12"/>
        <v>2.1133401852227847E-2</v>
      </c>
      <c r="AA28" s="180">
        <f t="shared" si="13"/>
        <v>1.620403960376951E-2</v>
      </c>
      <c r="AB28" s="180">
        <f t="shared" si="15"/>
        <v>12059.359912843058</v>
      </c>
      <c r="AC28" s="180">
        <f t="shared" si="16"/>
        <v>0.10189512019804924</v>
      </c>
    </row>
    <row r="29" spans="1:29" x14ac:dyDescent="0.15">
      <c r="A29" s="96"/>
      <c r="B29" s="97">
        <v>42454</v>
      </c>
      <c r="C29" s="96" t="s">
        <v>31</v>
      </c>
      <c r="D29" s="94" t="s">
        <v>32</v>
      </c>
      <c r="E29" s="96">
        <v>698820</v>
      </c>
      <c r="F29" s="170">
        <f t="shared" si="0"/>
        <v>770525</v>
      </c>
      <c r="G29" s="96">
        <f t="shared" si="14"/>
        <v>771987.37734903314</v>
      </c>
      <c r="H29" s="170">
        <f t="shared" si="1"/>
        <v>752236.98768432054</v>
      </c>
      <c r="I29" s="91">
        <v>24500</v>
      </c>
      <c r="J29" s="90">
        <v>32.049999999999997</v>
      </c>
      <c r="K29" s="90">
        <v>31.45</v>
      </c>
      <c r="L29" s="95">
        <f t="shared" si="2"/>
        <v>-1.8720748829953133E-2</v>
      </c>
      <c r="M29" s="92">
        <v>6018.424</v>
      </c>
      <c r="N29" s="92">
        <v>6077.4309999999996</v>
      </c>
      <c r="O29" s="95">
        <f t="shared" si="3"/>
        <v>9.8043939742363789E-3</v>
      </c>
      <c r="P29" s="1">
        <f t="shared" si="4"/>
        <v>-2.852514280418951E-2</v>
      </c>
      <c r="Q29" s="93">
        <f t="shared" si="5"/>
        <v>-2.5583824611918597E-2</v>
      </c>
      <c r="R29" s="93">
        <f t="shared" si="6"/>
        <v>-19750.389664712682</v>
      </c>
      <c r="S29" s="93">
        <f t="shared" si="7"/>
        <v>0.10260868320883768</v>
      </c>
      <c r="T29" s="93">
        <f t="shared" si="8"/>
        <v>3.6046060629157606E-2</v>
      </c>
      <c r="U29" s="93">
        <f t="shared" si="9"/>
        <v>7.737644076842734E-2</v>
      </c>
      <c r="V29" s="93">
        <f t="shared" si="10"/>
        <v>54072.204337792391</v>
      </c>
      <c r="W29" s="93">
        <f t="shared" si="11"/>
        <v>71704.999999999942</v>
      </c>
      <c r="X29" s="168">
        <v>-1.8720748829953133E-2</v>
      </c>
      <c r="Y29">
        <v>9.8043939742363789E-3</v>
      </c>
      <c r="Z29" s="1">
        <f t="shared" si="12"/>
        <v>-2.852514280418951E-2</v>
      </c>
      <c r="AA29" s="180">
        <f t="shared" si="13"/>
        <v>-2.5583824611918597E-2</v>
      </c>
      <c r="AB29" s="180">
        <f t="shared" si="15"/>
        <v>-19620.689118747621</v>
      </c>
      <c r="AC29" s="180">
        <f t="shared" si="16"/>
        <v>7.6311295586130645E-2</v>
      </c>
    </row>
    <row r="30" spans="1:29" x14ac:dyDescent="0.15">
      <c r="A30" s="96"/>
      <c r="B30" s="97">
        <v>42457</v>
      </c>
      <c r="C30" s="96" t="s">
        <v>31</v>
      </c>
      <c r="D30" s="94" t="s">
        <v>32</v>
      </c>
      <c r="E30" s="96">
        <v>698820</v>
      </c>
      <c r="F30" s="170">
        <f t="shared" si="0"/>
        <v>759500</v>
      </c>
      <c r="G30" s="96">
        <f t="shared" si="14"/>
        <v>752236.98768432054</v>
      </c>
      <c r="H30" s="170">
        <f t="shared" si="1"/>
        <v>744909.30895394867</v>
      </c>
      <c r="I30" s="91">
        <v>24500</v>
      </c>
      <c r="J30" s="90">
        <v>31.45</v>
      </c>
      <c r="K30" s="90">
        <v>31</v>
      </c>
      <c r="L30" s="95">
        <f t="shared" si="2"/>
        <v>-1.4308426073131934E-2</v>
      </c>
      <c r="M30" s="92">
        <v>6077.4309999999996</v>
      </c>
      <c r="N30" s="92">
        <v>6037.7780000000002</v>
      </c>
      <c r="O30" s="95">
        <f t="shared" si="3"/>
        <v>-6.5246318715916872E-3</v>
      </c>
      <c r="P30" s="1">
        <f t="shared" si="4"/>
        <v>-7.7837942015402464E-3</v>
      </c>
      <c r="Q30" s="93">
        <f t="shared" si="5"/>
        <v>-9.7411837630177519E-3</v>
      </c>
      <c r="R30" s="93">
        <f t="shared" si="6"/>
        <v>-7327.6787303718875</v>
      </c>
      <c r="S30" s="93">
        <f t="shared" si="7"/>
        <v>8.6832088377550673E-2</v>
      </c>
      <c r="T30" s="93">
        <f t="shared" si="8"/>
        <v>2.9286241481539594E-2</v>
      </c>
      <c r="U30" s="93">
        <f t="shared" si="9"/>
        <v>6.6331719340472953E-2</v>
      </c>
      <c r="V30" s="93">
        <f t="shared" si="10"/>
        <v>46353.932109509311</v>
      </c>
      <c r="W30" s="93">
        <f t="shared" si="11"/>
        <v>60679.999999999964</v>
      </c>
      <c r="X30" s="168">
        <v>-1.4308426073131934E-2</v>
      </c>
      <c r="Y30">
        <v>-6.5246318715916872E-3</v>
      </c>
      <c r="Z30" s="1">
        <f t="shared" si="12"/>
        <v>-7.7837942015402464E-3</v>
      </c>
      <c r="AA30" s="180">
        <f t="shared" si="13"/>
        <v>-9.7411837630177519E-3</v>
      </c>
      <c r="AB30" s="180">
        <f t="shared" si="15"/>
        <v>-7718.27222828308</v>
      </c>
      <c r="AC30" s="180">
        <f t="shared" si="16"/>
        <v>6.6570111823112899E-2</v>
      </c>
    </row>
    <row r="31" spans="1:29" x14ac:dyDescent="0.15">
      <c r="A31" s="96"/>
      <c r="B31" s="97">
        <v>42458</v>
      </c>
      <c r="C31" s="96" t="s">
        <v>31</v>
      </c>
      <c r="D31" s="94" t="s">
        <v>32</v>
      </c>
      <c r="E31" s="96">
        <v>698820</v>
      </c>
      <c r="F31" s="170">
        <f t="shared" si="0"/>
        <v>742105</v>
      </c>
      <c r="G31" s="96">
        <f t="shared" si="14"/>
        <v>744909.30895394867</v>
      </c>
      <c r="H31" s="170">
        <f t="shared" si="1"/>
        <v>737858.82572958909</v>
      </c>
      <c r="I31" s="91">
        <v>24500</v>
      </c>
      <c r="J31" s="90">
        <v>31</v>
      </c>
      <c r="K31" s="90">
        <v>30.29</v>
      </c>
      <c r="L31" s="95">
        <f t="shared" si="2"/>
        <v>-2.2903225806451641E-2</v>
      </c>
      <c r="M31" s="92">
        <v>6037.7780000000002</v>
      </c>
      <c r="N31" s="92">
        <v>5921.8670000000002</v>
      </c>
      <c r="O31" s="95">
        <f t="shared" si="3"/>
        <v>-1.9197625351578023E-2</v>
      </c>
      <c r="P31" s="1">
        <f t="shared" si="4"/>
        <v>-3.7056004548736178E-3</v>
      </c>
      <c r="Q31" s="93">
        <f t="shared" si="5"/>
        <v>-9.4648880603470237E-3</v>
      </c>
      <c r="R31" s="93">
        <f t="shared" si="6"/>
        <v>-7050.4832243595811</v>
      </c>
      <c r="S31" s="93">
        <f t="shared" si="7"/>
        <v>6.1940127643742224E-2</v>
      </c>
      <c r="T31" s="93">
        <f t="shared" si="8"/>
        <v>9.5263898380431294E-3</v>
      </c>
      <c r="U31" s="93">
        <f t="shared" si="9"/>
        <v>5.5271654757112029E-2</v>
      </c>
      <c r="V31" s="93">
        <f t="shared" si="10"/>
        <v>38624.937777365027</v>
      </c>
      <c r="W31" s="93">
        <f t="shared" si="11"/>
        <v>43284.999999999942</v>
      </c>
      <c r="X31" s="168">
        <v>-2.2903225806451641E-2</v>
      </c>
      <c r="Y31">
        <v>-1.9197625351578023E-2</v>
      </c>
      <c r="Z31" s="1">
        <f t="shared" si="12"/>
        <v>-3.7056004548736178E-3</v>
      </c>
      <c r="AA31" s="180">
        <f t="shared" si="13"/>
        <v>-9.4648880603470237E-3</v>
      </c>
      <c r="AB31" s="180">
        <f t="shared" si="15"/>
        <v>-7728.9943321442843</v>
      </c>
      <c r="AC31" s="180">
        <f t="shared" si="16"/>
        <v>5.7105223762765875E-2</v>
      </c>
    </row>
    <row r="32" spans="1:29" x14ac:dyDescent="0.15">
      <c r="A32" s="96"/>
      <c r="B32" s="97">
        <v>42459</v>
      </c>
      <c r="C32" s="96" t="s">
        <v>31</v>
      </c>
      <c r="D32" s="94" t="s">
        <v>32</v>
      </c>
      <c r="E32" s="96">
        <v>698820</v>
      </c>
      <c r="F32" s="170">
        <f t="shared" si="0"/>
        <v>782040</v>
      </c>
      <c r="G32" s="96">
        <f t="shared" si="14"/>
        <v>737858.82572958909</v>
      </c>
      <c r="H32" s="170">
        <f t="shared" si="1"/>
        <v>758757.70174244232</v>
      </c>
      <c r="I32" s="91">
        <v>24500</v>
      </c>
      <c r="J32" s="90">
        <v>30.29</v>
      </c>
      <c r="K32" s="90">
        <v>31.92</v>
      </c>
      <c r="L32" s="95">
        <f t="shared" si="2"/>
        <v>5.3813139650049607E-2</v>
      </c>
      <c r="M32" s="92">
        <v>5921.8670000000002</v>
      </c>
      <c r="N32" s="92">
        <v>6137.5029999999997</v>
      </c>
      <c r="O32" s="95">
        <f t="shared" si="3"/>
        <v>3.6413516210343715E-2</v>
      </c>
      <c r="P32" s="1">
        <f t="shared" si="4"/>
        <v>1.7399623439705893E-2</v>
      </c>
      <c r="Q32" s="93">
        <f t="shared" si="5"/>
        <v>2.8323678302809005E-2</v>
      </c>
      <c r="R32" s="93">
        <f t="shared" si="6"/>
        <v>20898.876012853292</v>
      </c>
      <c r="S32" s="93">
        <f t="shared" si="7"/>
        <v>0.11908646003262643</v>
      </c>
      <c r="T32" s="93">
        <f t="shared" si="8"/>
        <v>4.6286795399180479E-2</v>
      </c>
      <c r="U32" s="93">
        <f t="shared" si="9"/>
        <v>8.6685703253200089E-2</v>
      </c>
      <c r="V32" s="93">
        <f t="shared" si="10"/>
        <v>60577.703147401284</v>
      </c>
      <c r="W32" s="93">
        <f t="shared" si="11"/>
        <v>83220</v>
      </c>
      <c r="X32" s="168">
        <v>5.3813139650049607E-2</v>
      </c>
      <c r="Y32">
        <v>3.6413516210343715E-2</v>
      </c>
      <c r="Z32" s="1">
        <f t="shared" si="12"/>
        <v>1.7399623439705893E-2</v>
      </c>
      <c r="AA32" s="180">
        <f t="shared" si="13"/>
        <v>2.8323678302809005E-2</v>
      </c>
      <c r="AB32" s="180">
        <f t="shared" si="15"/>
        <v>21952.765370036257</v>
      </c>
      <c r="AC32" s="180">
        <f t="shared" si="16"/>
        <v>8.542890206557488E-2</v>
      </c>
    </row>
    <row r="33" spans="1:29" x14ac:dyDescent="0.15">
      <c r="A33" s="96"/>
      <c r="B33" s="97">
        <v>42460</v>
      </c>
      <c r="C33" s="96" t="s">
        <v>31</v>
      </c>
      <c r="D33" s="94" t="s">
        <v>32</v>
      </c>
      <c r="E33" s="96">
        <v>698820</v>
      </c>
      <c r="F33" s="170">
        <f t="shared" si="0"/>
        <v>782040</v>
      </c>
      <c r="G33" s="96">
        <f t="shared" si="14"/>
        <v>758757.70174244232</v>
      </c>
      <c r="H33" s="170">
        <f t="shared" si="1"/>
        <v>757173.09500683262</v>
      </c>
      <c r="I33" s="91">
        <v>24500</v>
      </c>
      <c r="J33" s="90">
        <v>31.92</v>
      </c>
      <c r="K33" s="90">
        <v>31.92</v>
      </c>
      <c r="L33" s="95">
        <f t="shared" si="2"/>
        <v>0</v>
      </c>
      <c r="M33" s="92">
        <v>6137.5029999999997</v>
      </c>
      <c r="N33" s="92">
        <v>6155.8140000000003</v>
      </c>
      <c r="O33" s="95">
        <f t="shared" si="3"/>
        <v>2.98346086348155E-3</v>
      </c>
      <c r="P33" s="1">
        <f t="shared" si="4"/>
        <v>-2.98346086348155E-3</v>
      </c>
      <c r="Q33" s="93">
        <f t="shared" si="5"/>
        <v>-2.088422604437085E-3</v>
      </c>
      <c r="R33" s="93">
        <f t="shared" si="6"/>
        <v>-1584.6067356096482</v>
      </c>
      <c r="S33" s="93">
        <f t="shared" si="7"/>
        <v>0.11908646003262643</v>
      </c>
      <c r="T33" s="93">
        <f t="shared" si="8"/>
        <v>4.9408351105231466E-2</v>
      </c>
      <c r="U33" s="93">
        <f t="shared" si="9"/>
        <v>8.4500614258964407E-2</v>
      </c>
      <c r="V33" s="93">
        <f t="shared" si="10"/>
        <v>59050.719256449505</v>
      </c>
      <c r="W33" s="93">
        <f t="shared" si="11"/>
        <v>83220</v>
      </c>
      <c r="X33" s="168">
        <v>0</v>
      </c>
      <c r="Y33">
        <v>2.98346086348155E-3</v>
      </c>
      <c r="Z33" s="1">
        <f t="shared" si="12"/>
        <v>-2.98346086348155E-3</v>
      </c>
      <c r="AA33" s="180">
        <f t="shared" si="13"/>
        <v>-2.088422604437085E-3</v>
      </c>
      <c r="AB33" s="180">
        <f t="shared" si="15"/>
        <v>-1526.9838909517784</v>
      </c>
      <c r="AC33" s="180">
        <f t="shared" si="16"/>
        <v>8.334047946113779E-2</v>
      </c>
    </row>
    <row r="34" spans="1:29" x14ac:dyDescent="0.15">
      <c r="A34" s="96"/>
      <c r="B34" s="97">
        <v>42461</v>
      </c>
      <c r="C34" s="96" t="s">
        <v>31</v>
      </c>
      <c r="D34" s="94" t="s">
        <v>32</v>
      </c>
      <c r="E34" s="96">
        <v>698820</v>
      </c>
      <c r="F34" s="170">
        <f t="shared" si="0"/>
        <v>762685</v>
      </c>
      <c r="G34" s="96">
        <f t="shared" si="14"/>
        <v>757173.09500683262</v>
      </c>
      <c r="H34" s="170">
        <f t="shared" si="1"/>
        <v>741127.28828977258</v>
      </c>
      <c r="I34" s="91">
        <v>24500</v>
      </c>
      <c r="J34" s="90">
        <v>31.92</v>
      </c>
      <c r="K34" s="90">
        <v>31.13</v>
      </c>
      <c r="L34" s="95">
        <f t="shared" si="2"/>
        <v>-2.4749373433584042E-2</v>
      </c>
      <c r="M34" s="92">
        <v>6155.8140000000003</v>
      </c>
      <c r="N34" s="92">
        <v>6124.5280000000002</v>
      </c>
      <c r="O34" s="95">
        <f t="shared" si="3"/>
        <v>-5.082349791595402E-3</v>
      </c>
      <c r="P34" s="1">
        <f t="shared" si="4"/>
        <v>-1.9667023641988642E-2</v>
      </c>
      <c r="Q34" s="93">
        <f t="shared" si="5"/>
        <v>-2.1191728579467259E-2</v>
      </c>
      <c r="R34" s="93">
        <f t="shared" si="6"/>
        <v>-16045.806717059973</v>
      </c>
      <c r="S34" s="93">
        <f t="shared" si="7"/>
        <v>9.1389771328811334E-2</v>
      </c>
      <c r="T34" s="93">
        <f t="shared" si="8"/>
        <v>4.4074890790693315E-2</v>
      </c>
      <c r="U34" s="93">
        <f t="shared" si="9"/>
        <v>6.0537347775326003E-2</v>
      </c>
      <c r="V34" s="93">
        <f t="shared" si="10"/>
        <v>42304.709372353318</v>
      </c>
      <c r="W34" s="93">
        <f t="shared" si="11"/>
        <v>63864.999999999935</v>
      </c>
      <c r="X34" s="168">
        <v>-2.4749373433584042E-2</v>
      </c>
      <c r="Y34">
        <v>-5.082349791595402E-3</v>
      </c>
      <c r="Z34" s="1">
        <f t="shared" si="12"/>
        <v>-1.9667023641988642E-2</v>
      </c>
      <c r="AA34" s="180">
        <f t="shared" si="13"/>
        <v>-2.1191728579467259E-2</v>
      </c>
      <c r="AB34" s="180">
        <f t="shared" si="15"/>
        <v>-16746.009884096187</v>
      </c>
      <c r="AC34" s="180">
        <f t="shared" si="16"/>
        <v>6.2148750881670531E-2</v>
      </c>
    </row>
    <row r="35" spans="1:29" x14ac:dyDescent="0.15">
      <c r="A35" s="96"/>
      <c r="B35" s="97">
        <v>42465</v>
      </c>
      <c r="C35" s="96" t="s">
        <v>31</v>
      </c>
      <c r="D35" s="94" t="s">
        <v>32</v>
      </c>
      <c r="E35" s="96">
        <v>698820</v>
      </c>
      <c r="F35" s="170">
        <f t="shared" si="0"/>
        <v>817320</v>
      </c>
      <c r="G35" s="96">
        <f t="shared" si="14"/>
        <v>741127.28828977258</v>
      </c>
      <c r="H35" s="170">
        <f t="shared" si="1"/>
        <v>780490.84120267746</v>
      </c>
      <c r="I35" s="91">
        <v>24500</v>
      </c>
      <c r="J35" s="90">
        <v>31.13</v>
      </c>
      <c r="K35" s="90">
        <v>33.36</v>
      </c>
      <c r="L35" s="95">
        <f t="shared" si="2"/>
        <v>7.1635078702216526E-2</v>
      </c>
      <c r="M35" s="92">
        <v>6124.5280000000002</v>
      </c>
      <c r="N35" s="92">
        <v>6286.5829999999996</v>
      </c>
      <c r="O35" s="95">
        <f t="shared" si="3"/>
        <v>2.6459998223536473E-2</v>
      </c>
      <c r="P35" s="1">
        <f t="shared" si="4"/>
        <v>4.5175080478680053E-2</v>
      </c>
      <c r="Q35" s="93">
        <f t="shared" si="5"/>
        <v>5.3113079945740993E-2</v>
      </c>
      <c r="R35" s="93">
        <f t="shared" si="6"/>
        <v>39363.552912904925</v>
      </c>
      <c r="S35" s="93">
        <f t="shared" si="7"/>
        <v>0.16957156349274483</v>
      </c>
      <c r="T35" s="93">
        <f t="shared" si="8"/>
        <v>7.1701110546254096E-2</v>
      </c>
      <c r="U35" s="93">
        <f t="shared" si="9"/>
        <v>0.11938078611036695</v>
      </c>
      <c r="V35" s="93">
        <f t="shared" si="10"/>
        <v>83425.68094964663</v>
      </c>
      <c r="W35" s="93">
        <f t="shared" si="11"/>
        <v>118499.99999999994</v>
      </c>
      <c r="X35" s="168">
        <v>7.1635078702216526E-2</v>
      </c>
      <c r="Y35">
        <v>2.6459998223536473E-2</v>
      </c>
      <c r="Z35" s="1">
        <f t="shared" si="12"/>
        <v>4.5175080478680053E-2</v>
      </c>
      <c r="AA35" s="180">
        <f t="shared" si="13"/>
        <v>5.3113079945740993E-2</v>
      </c>
      <c r="AB35" s="180">
        <f t="shared" si="15"/>
        <v>41120.971577293312</v>
      </c>
      <c r="AC35" s="180">
        <f t="shared" si="16"/>
        <v>0.11526183082741152</v>
      </c>
    </row>
    <row r="36" spans="1:29" x14ac:dyDescent="0.15">
      <c r="A36" s="96"/>
      <c r="B36" s="97">
        <v>42466</v>
      </c>
      <c r="C36" s="96" t="s">
        <v>31</v>
      </c>
      <c r="D36" s="94" t="s">
        <v>32</v>
      </c>
      <c r="E36" s="96">
        <v>698820</v>
      </c>
      <c r="F36" s="170">
        <f t="shared" si="0"/>
        <v>800905</v>
      </c>
      <c r="G36" s="96">
        <f t="shared" si="14"/>
        <v>780490.84120267746</v>
      </c>
      <c r="H36" s="170">
        <f t="shared" si="1"/>
        <v>761612.93195874814</v>
      </c>
      <c r="I36" s="91">
        <v>24500</v>
      </c>
      <c r="J36" s="90">
        <v>33.36</v>
      </c>
      <c r="K36" s="90">
        <v>32.69</v>
      </c>
      <c r="L36" s="95">
        <f t="shared" si="2"/>
        <v>-2.0083932853717078E-2</v>
      </c>
      <c r="M36" s="92">
        <v>6286.5829999999996</v>
      </c>
      <c r="N36" s="92">
        <v>6323.4340000000002</v>
      </c>
      <c r="O36" s="95">
        <f t="shared" si="3"/>
        <v>5.8618489567385922E-3</v>
      </c>
      <c r="P36" s="1">
        <f t="shared" si="4"/>
        <v>-2.5945781810455669E-2</v>
      </c>
      <c r="Q36" s="93">
        <f t="shared" si="5"/>
        <v>-2.4187227123434088E-2</v>
      </c>
      <c r="R36" s="93">
        <f t="shared" si="6"/>
        <v>-18877.909243929287</v>
      </c>
      <c r="S36" s="93">
        <f t="shared" si="7"/>
        <v>0.14608196674393964</v>
      </c>
      <c r="T36" s="93">
        <f t="shared" si="8"/>
        <v>7.798326058304525E-2</v>
      </c>
      <c r="U36" s="93">
        <f t="shared" si="9"/>
        <v>9.1493684335807957E-2</v>
      </c>
      <c r="V36" s="93">
        <f t="shared" si="10"/>
        <v>63937.61648754932</v>
      </c>
      <c r="W36" s="93">
        <f t="shared" si="11"/>
        <v>102084.9999999999</v>
      </c>
      <c r="X36" s="168">
        <v>-2.0083932853717078E-2</v>
      </c>
      <c r="Y36">
        <v>5.8618489567385922E-3</v>
      </c>
      <c r="Z36" s="1">
        <f t="shared" si="12"/>
        <v>-2.5945781810455669E-2</v>
      </c>
      <c r="AA36" s="180">
        <f t="shared" si="13"/>
        <v>-2.4187227123434088E-2</v>
      </c>
      <c r="AB36" s="180">
        <f t="shared" si="15"/>
        <v>-19488.064462097311</v>
      </c>
      <c r="AC36" s="180">
        <f t="shared" si="16"/>
        <v>9.1074603703977436E-2</v>
      </c>
    </row>
    <row r="37" spans="1:29" x14ac:dyDescent="0.15">
      <c r="A37" s="96"/>
      <c r="B37" s="97">
        <v>42467</v>
      </c>
      <c r="C37" s="96" t="s">
        <v>31</v>
      </c>
      <c r="D37" s="94" t="s">
        <v>32</v>
      </c>
      <c r="E37" s="96">
        <v>698820</v>
      </c>
      <c r="F37" s="170">
        <f t="shared" si="0"/>
        <v>800905</v>
      </c>
      <c r="G37" s="96">
        <f t="shared" si="14"/>
        <v>761612.93195874814</v>
      </c>
      <c r="H37" s="170">
        <f t="shared" si="1"/>
        <v>769576.85951566999</v>
      </c>
      <c r="I37" s="91">
        <v>24500</v>
      </c>
      <c r="J37" s="90">
        <v>32.69</v>
      </c>
      <c r="K37" s="90">
        <v>32.69</v>
      </c>
      <c r="L37" s="95">
        <f t="shared" si="2"/>
        <v>0</v>
      </c>
      <c r="M37" s="92">
        <v>6323.4340000000002</v>
      </c>
      <c r="N37" s="92">
        <v>6228.9740000000002</v>
      </c>
      <c r="O37" s="95">
        <f t="shared" si="3"/>
        <v>-1.4938085856514046E-2</v>
      </c>
      <c r="P37" s="1">
        <f t="shared" si="4"/>
        <v>1.4938085856514046E-2</v>
      </c>
      <c r="Q37" s="93">
        <f t="shared" si="5"/>
        <v>1.0456660099559832E-2</v>
      </c>
      <c r="R37" s="93">
        <f t="shared" si="6"/>
        <v>7963.9275569218189</v>
      </c>
      <c r="S37" s="93">
        <f t="shared" si="7"/>
        <v>0.14608196674393964</v>
      </c>
      <c r="T37" s="93">
        <f t="shared" si="8"/>
        <v>6.1880254084570763E-2</v>
      </c>
      <c r="U37" s="93">
        <f t="shared" si="9"/>
        <v>0.1027657888847401</v>
      </c>
      <c r="V37" s="93">
        <f t="shared" si="10"/>
        <v>71814.788588434079</v>
      </c>
      <c r="W37" s="93">
        <f t="shared" si="11"/>
        <v>102084.9999999999</v>
      </c>
      <c r="X37" s="168">
        <v>0</v>
      </c>
      <c r="Y37">
        <v>-1.4938085856514046E-2</v>
      </c>
      <c r="Z37" s="1">
        <f t="shared" si="12"/>
        <v>1.4938085856514046E-2</v>
      </c>
      <c r="AA37" s="180">
        <f t="shared" si="13"/>
        <v>1.0456660099559832E-2</v>
      </c>
      <c r="AB37" s="180">
        <f t="shared" si="15"/>
        <v>7877.1721008847599</v>
      </c>
      <c r="AC37" s="180">
        <f t="shared" si="16"/>
        <v>0.10153126380353727</v>
      </c>
    </row>
    <row r="38" spans="1:29" x14ac:dyDescent="0.15">
      <c r="A38" s="96"/>
      <c r="B38" s="97">
        <v>42468</v>
      </c>
      <c r="C38" s="96" t="s">
        <v>31</v>
      </c>
      <c r="D38" s="94" t="s">
        <v>32</v>
      </c>
      <c r="E38" s="96">
        <v>698820</v>
      </c>
      <c r="F38" s="170">
        <f t="shared" si="0"/>
        <v>779345</v>
      </c>
      <c r="G38" s="96">
        <f t="shared" si="14"/>
        <v>769576.85951566999</v>
      </c>
      <c r="H38" s="170">
        <f t="shared" si="1"/>
        <v>754069.27622479666</v>
      </c>
      <c r="I38" s="91">
        <v>24500</v>
      </c>
      <c r="J38" s="90">
        <v>32.69</v>
      </c>
      <c r="K38" s="90">
        <v>31.81</v>
      </c>
      <c r="L38" s="95">
        <f t="shared" si="2"/>
        <v>-2.6919547262159654E-2</v>
      </c>
      <c r="M38" s="92">
        <v>6228.9740000000002</v>
      </c>
      <c r="N38" s="92">
        <v>6168.7420000000002</v>
      </c>
      <c r="O38" s="95">
        <f t="shared" si="3"/>
        <v>-9.6696502505870096E-3</v>
      </c>
      <c r="P38" s="1">
        <f t="shared" si="4"/>
        <v>-1.7249897011572646E-2</v>
      </c>
      <c r="Q38" s="93">
        <f t="shared" si="5"/>
        <v>-2.0150792086748748E-2</v>
      </c>
      <c r="R38" s="93">
        <f t="shared" si="6"/>
        <v>-15507.583290873315</v>
      </c>
      <c r="S38" s="93">
        <f t="shared" si="7"/>
        <v>0.11522995907386728</v>
      </c>
      <c r="T38" s="93">
        <f t="shared" si="8"/>
        <v>5.16122434195685E-2</v>
      </c>
      <c r="U38" s="93">
        <f t="shared" si="9"/>
        <v>7.9101388680169318E-2</v>
      </c>
      <c r="V38" s="93">
        <f t="shared" si="10"/>
        <v>55277.632437475921</v>
      </c>
      <c r="W38" s="93">
        <f t="shared" si="11"/>
        <v>80524.999999999927</v>
      </c>
      <c r="X38" s="168">
        <v>-2.6919547262159654E-2</v>
      </c>
      <c r="Y38">
        <v>-9.6696502505870096E-3</v>
      </c>
      <c r="Z38" s="1">
        <f t="shared" si="12"/>
        <v>-1.7249897011572646E-2</v>
      </c>
      <c r="AA38" s="180">
        <f t="shared" si="13"/>
        <v>-2.0150792086748748E-2</v>
      </c>
      <c r="AB38" s="180">
        <f t="shared" si="15"/>
        <v>-16537.156150958159</v>
      </c>
      <c r="AC38" s="180">
        <f t="shared" si="16"/>
        <v>8.1380471716788527E-2</v>
      </c>
    </row>
    <row r="39" spans="1:29" x14ac:dyDescent="0.15">
      <c r="A39" s="96"/>
      <c r="B39" s="97">
        <v>42471</v>
      </c>
      <c r="C39" s="96" t="s">
        <v>31</v>
      </c>
      <c r="D39" s="94" t="s">
        <v>32</v>
      </c>
      <c r="E39" s="96">
        <v>698820</v>
      </c>
      <c r="F39" s="170">
        <f t="shared" si="0"/>
        <v>793555</v>
      </c>
      <c r="G39" s="96">
        <f t="shared" si="14"/>
        <v>754069.27622479666</v>
      </c>
      <c r="H39" s="170">
        <f t="shared" si="1"/>
        <v>756218.95576363674</v>
      </c>
      <c r="I39" s="91">
        <v>24500</v>
      </c>
      <c r="J39" s="90">
        <v>31.81</v>
      </c>
      <c r="K39" s="90">
        <v>32.39</v>
      </c>
      <c r="L39" s="95">
        <f t="shared" si="2"/>
        <v>1.8233259981138065E-2</v>
      </c>
      <c r="M39" s="92">
        <v>6168.7420000000002</v>
      </c>
      <c r="N39" s="92">
        <v>6304.3</v>
      </c>
      <c r="O39" s="95">
        <f t="shared" si="3"/>
        <v>2.1974982905752904E-2</v>
      </c>
      <c r="P39" s="1">
        <f t="shared" si="4"/>
        <v>-3.741722924614839E-3</v>
      </c>
      <c r="Q39" s="93">
        <f t="shared" si="5"/>
        <v>2.8507719471110322E-3</v>
      </c>
      <c r="R39" s="93">
        <f t="shared" si="6"/>
        <v>2149.6795388399705</v>
      </c>
      <c r="S39" s="93">
        <f t="shared" si="7"/>
        <v>0.13556423685641505</v>
      </c>
      <c r="T39" s="93">
        <f t="shared" si="8"/>
        <v>7.4721404492193985E-2</v>
      </c>
      <c r="U39" s="93">
        <f t="shared" si="9"/>
        <v>8.3259253711879255E-2</v>
      </c>
      <c r="V39" s="93">
        <f t="shared" si="10"/>
        <v>58183.231678935459</v>
      </c>
      <c r="W39" s="93">
        <f t="shared" si="11"/>
        <v>94734.999999999971</v>
      </c>
      <c r="X39" s="168">
        <v>1.8233259981138065E-2</v>
      </c>
      <c r="Y39">
        <v>2.1974982905752904E-2</v>
      </c>
      <c r="Z39" s="1">
        <f t="shared" si="12"/>
        <v>-3.741722924614839E-3</v>
      </c>
      <c r="AA39" s="180">
        <f t="shared" si="13"/>
        <v>2.8507719471110322E-3</v>
      </c>
      <c r="AB39" s="180">
        <f t="shared" si="15"/>
        <v>2905.5992414595385</v>
      </c>
      <c r="AC39" s="180">
        <f t="shared" si="16"/>
        <v>8.4231243663899558E-2</v>
      </c>
    </row>
    <row r="40" spans="1:29" x14ac:dyDescent="0.15">
      <c r="A40" s="96"/>
      <c r="B40" s="97">
        <v>42472</v>
      </c>
      <c r="C40" s="96" t="s">
        <v>31</v>
      </c>
      <c r="D40" s="94" t="s">
        <v>32</v>
      </c>
      <c r="E40" s="96">
        <v>698820</v>
      </c>
      <c r="F40" s="170">
        <f t="shared" si="0"/>
        <v>779345</v>
      </c>
      <c r="G40" s="96">
        <f t="shared" si="14"/>
        <v>756218.95576363674</v>
      </c>
      <c r="H40" s="170">
        <f t="shared" si="1"/>
        <v>747004.09191308694</v>
      </c>
      <c r="I40" s="91">
        <v>24500</v>
      </c>
      <c r="J40" s="90">
        <v>32.39</v>
      </c>
      <c r="K40" s="90">
        <v>31.81</v>
      </c>
      <c r="L40" s="95">
        <f t="shared" si="2"/>
        <v>-1.7906761346094532E-2</v>
      </c>
      <c r="M40" s="92">
        <v>6304.3</v>
      </c>
      <c r="N40" s="92">
        <v>6252.7730000000001</v>
      </c>
      <c r="O40" s="95">
        <f t="shared" si="3"/>
        <v>-8.1733102802848921E-3</v>
      </c>
      <c r="P40" s="1">
        <f t="shared" si="4"/>
        <v>-9.7334510658096396E-3</v>
      </c>
      <c r="Q40" s="93">
        <f t="shared" si="5"/>
        <v>-1.2185444149895107E-2</v>
      </c>
      <c r="R40" s="93">
        <f t="shared" si="6"/>
        <v>-9214.8638505497947</v>
      </c>
      <c r="S40" s="93">
        <f t="shared" si="7"/>
        <v>0.11522995907386728</v>
      </c>
      <c r="T40" s="93">
        <f t="shared" si="8"/>
        <v>6.5937372988415718E-2</v>
      </c>
      <c r="U40" s="93">
        <f t="shared" si="9"/>
        <v>6.907379798197627E-2</v>
      </c>
      <c r="V40" s="93">
        <f t="shared" si="10"/>
        <v>48270.151505764654</v>
      </c>
      <c r="W40" s="93">
        <f t="shared" si="11"/>
        <v>80524.999999999927</v>
      </c>
      <c r="X40" s="168">
        <v>-1.7906761346094532E-2</v>
      </c>
      <c r="Y40">
        <v>-8.1733102802848921E-3</v>
      </c>
      <c r="Z40" s="1">
        <f t="shared" si="12"/>
        <v>-9.7334510658096396E-3</v>
      </c>
      <c r="AA40" s="180">
        <f t="shared" si="13"/>
        <v>-1.2185444149895107E-2</v>
      </c>
      <c r="AB40" s="180">
        <f t="shared" si="15"/>
        <v>-9913.0801731708052</v>
      </c>
      <c r="AC40" s="180">
        <f t="shared" si="16"/>
        <v>7.2045799514004444E-2</v>
      </c>
    </row>
    <row r="41" spans="1:29" x14ac:dyDescent="0.15">
      <c r="A41" s="96"/>
      <c r="B41" s="97">
        <v>42473</v>
      </c>
      <c r="C41" s="96" t="s">
        <v>31</v>
      </c>
      <c r="D41" s="94" t="s">
        <v>32</v>
      </c>
      <c r="E41" s="96">
        <v>698820</v>
      </c>
      <c r="F41" s="170">
        <f t="shared" si="0"/>
        <v>780815</v>
      </c>
      <c r="G41" s="96">
        <f t="shared" si="14"/>
        <v>747004.09191308694</v>
      </c>
      <c r="H41" s="170">
        <f t="shared" si="1"/>
        <v>740765.11806265265</v>
      </c>
      <c r="I41" s="91">
        <v>24500</v>
      </c>
      <c r="J41" s="90">
        <v>31.81</v>
      </c>
      <c r="K41" s="90">
        <v>31.87</v>
      </c>
      <c r="L41" s="95">
        <f t="shared" si="2"/>
        <v>1.8861993083936586E-3</v>
      </c>
      <c r="M41" s="92">
        <v>6252.7730000000001</v>
      </c>
      <c r="N41" s="92">
        <v>6344.2259999999997</v>
      </c>
      <c r="O41" s="95">
        <f t="shared" si="3"/>
        <v>1.462599074042821E-2</v>
      </c>
      <c r="P41" s="1">
        <f t="shared" si="4"/>
        <v>-1.2739791432034551E-2</v>
      </c>
      <c r="Q41" s="93">
        <f t="shared" si="5"/>
        <v>-8.351994209906087E-3</v>
      </c>
      <c r="R41" s="93">
        <f t="shared" si="6"/>
        <v>-6238.9738504342567</v>
      </c>
      <c r="S41" s="93">
        <f t="shared" si="7"/>
        <v>0.1173335050513723</v>
      </c>
      <c r="T41" s="93">
        <f t="shared" si="8"/>
        <v>8.1527763135620657E-2</v>
      </c>
      <c r="U41" s="93">
        <f t="shared" si="9"/>
        <v>6.026407085643784E-2</v>
      </c>
      <c r="V41" s="93">
        <f t="shared" si="10"/>
        <v>42113.737995895892</v>
      </c>
      <c r="W41" s="93">
        <f t="shared" si="11"/>
        <v>81994.999999999985</v>
      </c>
      <c r="X41" s="168">
        <v>1.8861993083936586E-3</v>
      </c>
      <c r="Y41">
        <v>1.462599074042821E-2</v>
      </c>
      <c r="Z41" s="1">
        <f t="shared" si="12"/>
        <v>-1.2739791432034551E-2</v>
      </c>
      <c r="AA41" s="180">
        <f t="shared" si="13"/>
        <v>-8.351994209906087E-3</v>
      </c>
      <c r="AB41" s="180">
        <f t="shared" si="15"/>
        <v>-6156.413509868762</v>
      </c>
      <c r="AC41" s="180">
        <f t="shared" si="16"/>
        <v>6.369380530409835E-2</v>
      </c>
    </row>
    <row r="42" spans="1:29" x14ac:dyDescent="0.15">
      <c r="A42" s="96"/>
      <c r="B42" s="97">
        <v>42474</v>
      </c>
      <c r="C42" s="96" t="s">
        <v>31</v>
      </c>
      <c r="D42" s="94" t="s">
        <v>32</v>
      </c>
      <c r="E42" s="96">
        <v>698820</v>
      </c>
      <c r="F42" s="170">
        <f t="shared" si="0"/>
        <v>788900.00000000012</v>
      </c>
      <c r="G42" s="96">
        <f t="shared" si="14"/>
        <v>740765.11806265265</v>
      </c>
      <c r="H42" s="170">
        <f t="shared" si="1"/>
        <v>743725.20100446953</v>
      </c>
      <c r="I42" s="91">
        <v>24500</v>
      </c>
      <c r="J42" s="90">
        <v>31.87</v>
      </c>
      <c r="K42" s="90">
        <v>32.200000000000003</v>
      </c>
      <c r="L42" s="95">
        <f t="shared" si="2"/>
        <v>1.0354565422027043E-2</v>
      </c>
      <c r="M42" s="92">
        <v>6344.2259999999997</v>
      </c>
      <c r="N42" s="92">
        <v>6401.8549999999996</v>
      </c>
      <c r="O42" s="95">
        <f t="shared" si="3"/>
        <v>9.0836927940460988E-3</v>
      </c>
      <c r="P42" s="1">
        <f t="shared" si="4"/>
        <v>1.2708726279809443E-3</v>
      </c>
      <c r="Q42" s="93">
        <f t="shared" si="5"/>
        <v>3.9959804661947734E-3</v>
      </c>
      <c r="R42" s="93">
        <f t="shared" si="6"/>
        <v>2960.082941816825</v>
      </c>
      <c r="S42" s="93">
        <f t="shared" si="7"/>
        <v>0.1289030079276495</v>
      </c>
      <c r="T42" s="93">
        <f t="shared" si="8"/>
        <v>9.1352029084176486E-2</v>
      </c>
      <c r="U42" s="93">
        <f t="shared" si="9"/>
        <v>6.4956587568725951E-2</v>
      </c>
      <c r="V42" s="93">
        <f t="shared" si="10"/>
        <v>45392.962524777067</v>
      </c>
      <c r="W42" s="93">
        <f t="shared" si="11"/>
        <v>90080.000000000029</v>
      </c>
      <c r="X42" s="168">
        <v>1.0354565422027043E-2</v>
      </c>
      <c r="Y42">
        <v>9.0836927940460988E-3</v>
      </c>
      <c r="Z42" s="1">
        <f t="shared" si="12"/>
        <v>1.2708726279809443E-3</v>
      </c>
      <c r="AA42" s="180">
        <f t="shared" si="13"/>
        <v>3.9959804661947734E-3</v>
      </c>
      <c r="AB42" s="180">
        <f t="shared" si="15"/>
        <v>3279.2245288811755</v>
      </c>
      <c r="AC42" s="180">
        <f t="shared" si="16"/>
        <v>6.7689785770293123E-2</v>
      </c>
    </row>
    <row r="43" spans="1:29" x14ac:dyDescent="0.15">
      <c r="A43" s="96"/>
      <c r="B43" s="97">
        <v>42475</v>
      </c>
      <c r="C43" s="96" t="s">
        <v>31</v>
      </c>
      <c r="D43" s="94" t="s">
        <v>32</v>
      </c>
      <c r="E43" s="96">
        <v>698820</v>
      </c>
      <c r="F43" s="170">
        <f t="shared" si="0"/>
        <v>801395</v>
      </c>
      <c r="G43" s="96">
        <f t="shared" si="14"/>
        <v>743725.20100446953</v>
      </c>
      <c r="H43" s="170">
        <f t="shared" si="1"/>
        <v>756928.23017050326</v>
      </c>
      <c r="I43" s="91">
        <v>24500</v>
      </c>
      <c r="J43" s="90">
        <v>32.200000000000003</v>
      </c>
      <c r="K43" s="90">
        <v>32.71</v>
      </c>
      <c r="L43" s="95">
        <f t="shared" si="2"/>
        <v>1.5838509316770125E-2</v>
      </c>
      <c r="M43" s="92">
        <v>6401.8549999999996</v>
      </c>
      <c r="N43" s="92">
        <v>6384.35</v>
      </c>
      <c r="O43" s="95">
        <f t="shared" si="3"/>
        <v>-2.7343637117677923E-3</v>
      </c>
      <c r="P43" s="1">
        <f t="shared" si="4"/>
        <v>1.8572873028537919E-2</v>
      </c>
      <c r="Q43" s="93">
        <f t="shared" si="5"/>
        <v>1.7752563915007579E-2</v>
      </c>
      <c r="R43" s="93">
        <f t="shared" si="6"/>
        <v>13203.029166033704</v>
      </c>
      <c r="S43" s="93">
        <f t="shared" si="7"/>
        <v>0.14678314873644141</v>
      </c>
      <c r="T43" s="93">
        <f t="shared" si="8"/>
        <v>8.8367875699084567E-2</v>
      </c>
      <c r="U43" s="93">
        <f t="shared" si="9"/>
        <v>8.4925635747082201E-2</v>
      </c>
      <c r="V43" s="93">
        <f t="shared" si="10"/>
        <v>59347.732772775984</v>
      </c>
      <c r="W43" s="93">
        <f t="shared" si="11"/>
        <v>102574.99999999999</v>
      </c>
      <c r="X43" s="168">
        <v>1.5838509316770125E-2</v>
      </c>
      <c r="Y43">
        <v>-2.7343637117677923E-3</v>
      </c>
      <c r="Z43" s="1">
        <f t="shared" si="12"/>
        <v>1.8572873028537919E-2</v>
      </c>
      <c r="AA43" s="180">
        <f t="shared" si="13"/>
        <v>1.7752563915007579E-2</v>
      </c>
      <c r="AB43" s="180">
        <f t="shared" si="15"/>
        <v>13954.770247998917</v>
      </c>
      <c r="AC43" s="180">
        <f t="shared" si="16"/>
        <v>8.5442349685300706E-2</v>
      </c>
    </row>
    <row r="44" spans="1:29" x14ac:dyDescent="0.15">
      <c r="A44" s="96" t="s">
        <v>33</v>
      </c>
      <c r="B44" s="97">
        <v>42478</v>
      </c>
      <c r="C44" s="96" t="s">
        <v>31</v>
      </c>
      <c r="D44" s="94" t="s">
        <v>32</v>
      </c>
      <c r="E44" s="96">
        <v>698820</v>
      </c>
      <c r="F44" s="170">
        <f t="shared" si="0"/>
        <v>784000</v>
      </c>
      <c r="G44" s="96">
        <f t="shared" si="14"/>
        <v>756928.23017050326</v>
      </c>
      <c r="H44" s="170">
        <f t="shared" si="1"/>
        <v>748903.0178889035</v>
      </c>
      <c r="I44" s="91">
        <v>24500</v>
      </c>
      <c r="J44" s="90">
        <v>32.71</v>
      </c>
      <c r="K44" s="90">
        <v>32</v>
      </c>
      <c r="L44" s="95">
        <f t="shared" si="2"/>
        <v>-2.1705900336288622E-2</v>
      </c>
      <c r="M44" s="92">
        <v>6384.35</v>
      </c>
      <c r="N44" s="92">
        <v>6283.08</v>
      </c>
      <c r="O44" s="95">
        <f t="shared" si="3"/>
        <v>-1.5862225598533983E-2</v>
      </c>
      <c r="P44" s="1">
        <f t="shared" si="4"/>
        <v>-5.8436747377546387E-3</v>
      </c>
      <c r="Q44" s="93">
        <f t="shared" si="5"/>
        <v>-1.0602342417314833E-2</v>
      </c>
      <c r="R44" s="93">
        <f t="shared" si="6"/>
        <v>-8025.2122815997718</v>
      </c>
      <c r="S44" s="93">
        <f t="shared" si="7"/>
        <v>0.12189118800263296</v>
      </c>
      <c r="T44" s="93">
        <f t="shared" si="8"/>
        <v>7.110393892054849E-2</v>
      </c>
      <c r="U44" s="93">
        <f t="shared" si="9"/>
        <v>7.2118430758249016E-2</v>
      </c>
      <c r="V44" s="93">
        <f t="shared" si="10"/>
        <v>50397.801782479575</v>
      </c>
      <c r="W44" s="93">
        <f t="shared" si="11"/>
        <v>85179.999999999971</v>
      </c>
      <c r="X44" s="168">
        <v>-2.1705900336288622E-2</v>
      </c>
      <c r="Y44">
        <v>-1.5862225598533983E-2</v>
      </c>
      <c r="Z44" s="1">
        <f t="shared" si="12"/>
        <v>-5.8436747377546387E-3</v>
      </c>
      <c r="AA44" s="180">
        <f t="shared" si="13"/>
        <v>-1.0602342417314833E-2</v>
      </c>
      <c r="AB44" s="180">
        <f t="shared" si="15"/>
        <v>-8949.9309902964087</v>
      </c>
      <c r="AC44" s="180">
        <f t="shared" si="16"/>
        <v>7.484000726798587E-2</v>
      </c>
    </row>
    <row r="45" spans="1:29" x14ac:dyDescent="0.15">
      <c r="B45" s="172">
        <v>42548</v>
      </c>
    </row>
    <row r="47" spans="1:29" x14ac:dyDescent="0.15">
      <c r="E47" s="100"/>
      <c r="F47" s="170"/>
      <c r="L47" s="99"/>
    </row>
    <row r="48" spans="1:29" x14ac:dyDescent="0.15">
      <c r="I48" s="100"/>
      <c r="J48" s="100"/>
    </row>
    <row r="49" spans="12:12" x14ac:dyDescent="0.15">
      <c r="L49" s="9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合计</vt:lpstr>
      <vt:lpstr>中航光电</vt:lpstr>
      <vt:lpstr>东方国信</vt:lpstr>
      <vt:lpstr>积成电子</vt:lpstr>
      <vt:lpstr>洲际油气</vt:lpstr>
      <vt:lpstr>老板电器</vt:lpstr>
      <vt:lpstr>网宿科技</vt:lpstr>
      <vt:lpstr>草稿</vt:lpstr>
      <vt:lpstr>德润电子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2016-06-29T07:12:03Z</dcterms:modified>
</cp:coreProperties>
</file>