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12" i="3" l="1"/>
  <c r="L12" i="3"/>
  <c r="I12" i="3"/>
  <c r="F12" i="3"/>
  <c r="E12" i="3"/>
  <c r="D12" i="3"/>
  <c r="C12" i="3"/>
  <c r="B12" i="3"/>
  <c r="A12" i="3"/>
  <c r="M7" i="2" l="1"/>
  <c r="L7" i="2"/>
  <c r="I7" i="2"/>
  <c r="F7" i="2"/>
  <c r="E7" i="2"/>
  <c r="D7" i="2"/>
  <c r="C7" i="2"/>
  <c r="B7" i="2"/>
  <c r="A7" i="2"/>
  <c r="M6" i="2"/>
  <c r="L6" i="2"/>
  <c r="I6" i="2"/>
  <c r="F6" i="2"/>
  <c r="E6" i="2"/>
  <c r="D6" i="2"/>
  <c r="C6" i="2"/>
  <c r="B6" i="2"/>
  <c r="A6" i="2"/>
  <c r="M5" i="2"/>
  <c r="L5" i="2"/>
  <c r="I5" i="2"/>
  <c r="F5" i="2"/>
  <c r="E5" i="2"/>
  <c r="D5" i="2"/>
  <c r="C5" i="2"/>
  <c r="B5" i="2"/>
  <c r="A5" i="2"/>
  <c r="M4" i="2"/>
  <c r="L4" i="2"/>
  <c r="I4" i="2"/>
  <c r="F4" i="2"/>
  <c r="E4" i="2"/>
  <c r="D4" i="2"/>
  <c r="C4" i="2"/>
  <c r="B4" i="2"/>
  <c r="A4" i="2"/>
  <c r="M3" i="2"/>
  <c r="L3" i="2"/>
  <c r="K3" i="2"/>
  <c r="J3" i="2"/>
  <c r="I3" i="2"/>
  <c r="H3" i="2"/>
  <c r="G3" i="2"/>
  <c r="F3" i="2"/>
  <c r="E3" i="2"/>
  <c r="D3" i="2"/>
  <c r="C3" i="2"/>
  <c r="B3" i="2"/>
  <c r="A3" i="2"/>
  <c r="M38" i="1" l="1"/>
  <c r="L38" i="1"/>
  <c r="I38" i="1"/>
  <c r="F38" i="1"/>
  <c r="E38" i="1"/>
  <c r="D38" i="1"/>
  <c r="C38" i="1"/>
  <c r="B38" i="1"/>
  <c r="A38" i="1"/>
  <c r="M37" i="1"/>
  <c r="L37" i="1"/>
  <c r="I37" i="1"/>
  <c r="F37" i="1"/>
  <c r="E37" i="1"/>
  <c r="D37" i="1"/>
  <c r="C37" i="1"/>
  <c r="B37" i="1"/>
  <c r="A37" i="1"/>
  <c r="M36" i="1"/>
  <c r="L36" i="1"/>
  <c r="I36" i="1"/>
  <c r="F36" i="1"/>
  <c r="E36" i="1"/>
  <c r="D36" i="1"/>
  <c r="C36" i="1"/>
  <c r="B36" i="1"/>
  <c r="A36" i="1"/>
  <c r="M35" i="1"/>
  <c r="L35" i="1"/>
  <c r="I35" i="1"/>
  <c r="F35" i="1"/>
  <c r="E35" i="1"/>
  <c r="D35" i="1"/>
  <c r="C35" i="1"/>
  <c r="B35" i="1"/>
  <c r="A35" i="1"/>
  <c r="M34" i="1"/>
  <c r="L34" i="1"/>
  <c r="I34" i="1"/>
  <c r="F34" i="1"/>
  <c r="E34" i="1"/>
  <c r="D34" i="1"/>
  <c r="C34" i="1"/>
  <c r="B34" i="1"/>
  <c r="A34" i="1"/>
  <c r="M33" i="1"/>
  <c r="L33" i="1"/>
  <c r="I33" i="1"/>
  <c r="F33" i="1"/>
  <c r="E33" i="1"/>
  <c r="D33" i="1"/>
  <c r="C33" i="1"/>
  <c r="B33" i="1"/>
  <c r="A33" i="1"/>
  <c r="M32" i="1"/>
  <c r="L32" i="1"/>
  <c r="I32" i="1"/>
  <c r="F32" i="1"/>
  <c r="E32" i="1"/>
  <c r="D32" i="1"/>
  <c r="C32" i="1"/>
  <c r="B32" i="1"/>
  <c r="A32" i="1"/>
  <c r="M31" i="1"/>
  <c r="L31" i="1"/>
  <c r="I31" i="1"/>
  <c r="F31" i="1"/>
  <c r="E31" i="1"/>
  <c r="D31" i="1"/>
  <c r="C31" i="1"/>
  <c r="B31" i="1"/>
  <c r="A31" i="1"/>
  <c r="M30" i="1"/>
  <c r="L30" i="1"/>
  <c r="I30" i="1"/>
  <c r="F30" i="1"/>
  <c r="E30" i="1"/>
  <c r="D30" i="1"/>
  <c r="C30" i="1"/>
  <c r="B30" i="1"/>
  <c r="A30" i="1"/>
  <c r="M29" i="1"/>
  <c r="L29" i="1"/>
  <c r="I29" i="1"/>
  <c r="F29" i="1"/>
  <c r="E29" i="1"/>
  <c r="D29" i="1"/>
  <c r="C29" i="1"/>
  <c r="B29" i="1"/>
  <c r="A29" i="1"/>
  <c r="M28" i="1"/>
  <c r="L28" i="1"/>
  <c r="I28" i="1"/>
  <c r="F28" i="1"/>
  <c r="E28" i="1"/>
  <c r="D28" i="1"/>
  <c r="C28" i="1"/>
  <c r="B28" i="1"/>
  <c r="A28" i="1"/>
  <c r="M27" i="1"/>
  <c r="L27" i="1"/>
  <c r="I27" i="1"/>
  <c r="F27" i="1"/>
  <c r="E27" i="1"/>
  <c r="D27" i="1"/>
  <c r="C27" i="1"/>
  <c r="B27" i="1"/>
  <c r="A27" i="1"/>
  <c r="M26" i="1"/>
  <c r="L26" i="1"/>
  <c r="I26" i="1"/>
  <c r="F26" i="1"/>
  <c r="E26" i="1"/>
  <c r="D26" i="1"/>
  <c r="C26" i="1"/>
  <c r="B26" i="1"/>
  <c r="A26" i="1"/>
  <c r="M25" i="1"/>
  <c r="L25" i="1"/>
  <c r="I25" i="1"/>
  <c r="F25" i="1"/>
  <c r="E25" i="1"/>
  <c r="D25" i="1"/>
  <c r="C25" i="1"/>
  <c r="B25" i="1"/>
  <c r="A25" i="1"/>
  <c r="M24" i="1"/>
  <c r="L24" i="1"/>
  <c r="I24" i="1"/>
  <c r="F24" i="1"/>
  <c r="E24" i="1"/>
  <c r="D24" i="1"/>
  <c r="C24" i="1"/>
  <c r="B24" i="1"/>
  <c r="A24" i="1"/>
  <c r="M23" i="1"/>
  <c r="L23" i="1"/>
  <c r="I23" i="1"/>
  <c r="F23" i="1"/>
  <c r="E23" i="1"/>
  <c r="D23" i="1"/>
  <c r="C23" i="1"/>
  <c r="B23" i="1"/>
  <c r="A23" i="1"/>
  <c r="M22" i="1"/>
  <c r="L22" i="1"/>
  <c r="I22" i="1"/>
  <c r="F22" i="1"/>
  <c r="E22" i="1"/>
  <c r="D22" i="1"/>
  <c r="C22" i="1"/>
  <c r="B22" i="1"/>
  <c r="A22" i="1"/>
  <c r="M21" i="1"/>
  <c r="L21" i="1"/>
  <c r="I21" i="1"/>
  <c r="F21" i="1"/>
  <c r="E21" i="1"/>
  <c r="D21" i="1"/>
  <c r="C21" i="1"/>
  <c r="B21" i="1"/>
  <c r="A21" i="1"/>
  <c r="M20" i="1"/>
  <c r="L20" i="1"/>
  <c r="I20" i="1"/>
  <c r="F20" i="1"/>
  <c r="E20" i="1"/>
  <c r="D20" i="1"/>
  <c r="C20" i="1"/>
  <c r="B20" i="1"/>
  <c r="A20" i="1"/>
  <c r="M19" i="1"/>
  <c r="L19" i="1"/>
  <c r="I19" i="1"/>
  <c r="F19" i="1"/>
  <c r="E19" i="1"/>
  <c r="D19" i="1"/>
  <c r="C19" i="1"/>
  <c r="B19" i="1"/>
  <c r="A19" i="1"/>
  <c r="M18" i="1"/>
  <c r="L18" i="1"/>
  <c r="I18" i="1"/>
  <c r="F18" i="1"/>
  <c r="E18" i="1"/>
  <c r="D18" i="1"/>
  <c r="C18" i="1"/>
  <c r="B18" i="1"/>
  <c r="A18" i="1"/>
  <c r="M17" i="1"/>
  <c r="L17" i="1"/>
  <c r="I17" i="1"/>
  <c r="F17" i="1"/>
  <c r="E17" i="1"/>
  <c r="D17" i="1"/>
  <c r="C17" i="1"/>
  <c r="B17" i="1"/>
  <c r="A17" i="1"/>
  <c r="M16" i="1"/>
  <c r="L16" i="1"/>
  <c r="I16" i="1"/>
  <c r="F16" i="1"/>
  <c r="E16" i="1"/>
  <c r="D16" i="1"/>
  <c r="C16" i="1"/>
  <c r="B16" i="1"/>
  <c r="A16" i="1"/>
  <c r="M15" i="1"/>
  <c r="L15" i="1"/>
  <c r="I15" i="1"/>
  <c r="F15" i="1"/>
  <c r="E15" i="1"/>
  <c r="D15" i="1"/>
  <c r="C15" i="1"/>
  <c r="B15" i="1"/>
  <c r="A15" i="1"/>
  <c r="M14" i="1"/>
  <c r="L14" i="1"/>
  <c r="I14" i="1"/>
  <c r="F14" i="1"/>
  <c r="E14" i="1"/>
  <c r="D14" i="1"/>
  <c r="C14" i="1"/>
  <c r="B14" i="1"/>
  <c r="A14" i="1"/>
  <c r="M13" i="1"/>
  <c r="L13" i="1"/>
  <c r="I13" i="1"/>
  <c r="F13" i="1"/>
  <c r="E13" i="1"/>
  <c r="D13" i="1"/>
  <c r="C13" i="1"/>
  <c r="B13" i="1"/>
  <c r="A13" i="1"/>
  <c r="M12" i="1"/>
  <c r="L12" i="1"/>
  <c r="I12" i="1"/>
  <c r="F12" i="1"/>
  <c r="E12" i="1"/>
  <c r="D12" i="1"/>
  <c r="C12" i="1"/>
  <c r="B12" i="1"/>
  <c r="A12" i="1"/>
  <c r="M11" i="1"/>
  <c r="L11" i="1"/>
  <c r="I11" i="1"/>
  <c r="F11" i="1"/>
  <c r="E11" i="1"/>
  <c r="D11" i="1"/>
  <c r="C11" i="1"/>
  <c r="B11" i="1"/>
  <c r="A11" i="1"/>
  <c r="M10" i="1"/>
  <c r="L10" i="1"/>
  <c r="I10" i="1"/>
  <c r="F10" i="1"/>
  <c r="E10" i="1"/>
  <c r="D10" i="1"/>
  <c r="C10" i="1"/>
  <c r="B10" i="1"/>
  <c r="A10" i="1"/>
  <c r="M9" i="1"/>
  <c r="L9" i="1"/>
  <c r="I9" i="1"/>
  <c r="F9" i="1"/>
  <c r="E9" i="1"/>
  <c r="D9" i="1"/>
  <c r="C9" i="1"/>
  <c r="B9" i="1"/>
  <c r="A9" i="1"/>
  <c r="M8" i="1"/>
  <c r="L8" i="1"/>
  <c r="I8" i="1"/>
  <c r="F8" i="1"/>
  <c r="E8" i="1"/>
  <c r="D8" i="1"/>
  <c r="C8" i="1"/>
  <c r="B8" i="1"/>
  <c r="A8" i="1"/>
  <c r="M7" i="1"/>
  <c r="L7" i="1"/>
  <c r="I7" i="1"/>
  <c r="F7" i="1"/>
  <c r="E7" i="1"/>
  <c r="D7" i="1"/>
  <c r="C7" i="1"/>
  <c r="B7" i="1"/>
  <c r="A7" i="1"/>
  <c r="M6" i="1"/>
  <c r="L6" i="1"/>
  <c r="I6" i="1"/>
  <c r="F6" i="1"/>
  <c r="E6" i="1"/>
  <c r="D6" i="1"/>
  <c r="C6" i="1"/>
  <c r="B6" i="1"/>
  <c r="A6" i="1"/>
  <c r="M5" i="1"/>
  <c r="L5" i="1"/>
  <c r="I5" i="1"/>
  <c r="F5" i="1"/>
  <c r="E5" i="1"/>
  <c r="D5" i="1"/>
  <c r="C5" i="1"/>
  <c r="B5" i="1"/>
  <c r="A5" i="1"/>
  <c r="M4" i="1"/>
  <c r="L4" i="1"/>
  <c r="I4" i="1"/>
  <c r="F4" i="1"/>
  <c r="E4" i="1"/>
  <c r="D4" i="1"/>
  <c r="C4" i="1"/>
  <c r="B4" i="1"/>
  <c r="A4" i="1"/>
  <c r="M3" i="1"/>
  <c r="L3" i="1"/>
  <c r="I3" i="1"/>
  <c r="F3" i="1"/>
  <c r="E3" i="1"/>
  <c r="D3" i="1"/>
  <c r="C3" i="1"/>
  <c r="B3" i="1"/>
  <c r="A3" i="1"/>
  <c r="M2" i="1"/>
  <c r="L2" i="1"/>
  <c r="I2" i="1"/>
  <c r="F2" i="1"/>
  <c r="E2" i="1"/>
  <c r="D2" i="1"/>
  <c r="C2" i="1"/>
  <c r="B2" i="1"/>
  <c r="A2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<sst xmlns="http://schemas.openxmlformats.org/spreadsheetml/2006/main" count="44" uniqueCount="2">
  <si>
    <t>交易类别</t>
    <phoneticPr fontId="1" type="noConversion"/>
  </si>
  <si>
    <t>日内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</si>
</sst>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D23" sqref="D23"/>
    </sheetView>
  </sheetViews>
  <sheetFormatPr defaultRowHeight="13.5" x14ac:dyDescent="0.15"/>
  <sheetData>
    <row r="1" spans="1:14" x14ac:dyDescent="0.15">
      <c r="A1" s="1" t="str">
        <f>"委托时间"</f>
        <v>委托时间</v>
      </c>
      <c r="B1" s="1" t="str">
        <f>"证券代码"</f>
        <v>证券代码</v>
      </c>
      <c r="C1" s="1" t="str">
        <f>"证券名称"</f>
        <v>证券名称</v>
      </c>
      <c r="D1" s="1" t="str">
        <f>"买卖标志"</f>
        <v>买卖标志</v>
      </c>
      <c r="E1" s="1" t="str">
        <f>"委托类别"</f>
        <v>委托类别</v>
      </c>
      <c r="F1" s="1" t="str">
        <f>"状态说明"</f>
        <v>状态说明</v>
      </c>
      <c r="G1" s="1" t="str">
        <f>"委托价格"</f>
        <v>委托价格</v>
      </c>
      <c r="H1" s="1" t="str">
        <f>"委托数量"</f>
        <v>委托数量</v>
      </c>
      <c r="I1" s="1" t="str">
        <f>"委托编号"</f>
        <v>委托编号</v>
      </c>
      <c r="J1" s="1" t="str">
        <f>"成交价格"</f>
        <v>成交价格</v>
      </c>
      <c r="K1" s="1" t="str">
        <f>"成交数量"</f>
        <v>成交数量</v>
      </c>
      <c r="L1" s="1" t="str">
        <f>"报价方式"</f>
        <v>报价方式</v>
      </c>
      <c r="M1" s="1" t="str">
        <f>"股东代码"</f>
        <v>股东代码</v>
      </c>
      <c r="N1" t="s">
        <v>0</v>
      </c>
    </row>
    <row r="2" spans="1:14" x14ac:dyDescent="0.15">
      <c r="A2" s="1" t="str">
        <f>"09:15:52"</f>
        <v>09:15:52</v>
      </c>
      <c r="B2" s="1" t="str">
        <f>"300177"</f>
        <v>300177</v>
      </c>
      <c r="C2" s="1" t="str">
        <f>"中海达"</f>
        <v>中海达</v>
      </c>
      <c r="D2" s="1" t="str">
        <f t="shared" ref="D2:D8" si="0">"买入"</f>
        <v>买入</v>
      </c>
      <c r="E2" s="1" t="str">
        <f t="shared" ref="E2:E38" si="1">"信用交易"</f>
        <v>信用交易</v>
      </c>
      <c r="F2" s="1" t="str">
        <f>"已撤"</f>
        <v>已撤</v>
      </c>
      <c r="G2" s="1">
        <v>16.309999999999999</v>
      </c>
      <c r="H2" s="1">
        <v>213200</v>
      </c>
      <c r="I2" s="1" t="str">
        <f>"12"</f>
        <v>12</v>
      </c>
      <c r="J2" s="1">
        <v>0</v>
      </c>
      <c r="K2" s="1">
        <v>0</v>
      </c>
      <c r="L2" s="1" t="str">
        <f t="shared" ref="L2:L38" si="2">"买卖"</f>
        <v>买卖</v>
      </c>
      <c r="M2" s="1" t="str">
        <f t="shared" ref="M2:M38" si="3">"0602813665"</f>
        <v>0602813665</v>
      </c>
      <c r="N2" t="s">
        <v>1</v>
      </c>
    </row>
    <row r="3" spans="1:14" x14ac:dyDescent="0.15">
      <c r="A3" s="1" t="str">
        <f>"09:24:48"</f>
        <v>09:24:48</v>
      </c>
      <c r="B3" s="1" t="str">
        <f>"300306"</f>
        <v>300306</v>
      </c>
      <c r="C3" s="1" t="str">
        <f>"远方光电"</f>
        <v>远方光电</v>
      </c>
      <c r="D3" s="1" t="str">
        <f t="shared" si="0"/>
        <v>买入</v>
      </c>
      <c r="E3" s="1" t="str">
        <f t="shared" si="1"/>
        <v>信用交易</v>
      </c>
      <c r="F3" s="1" t="str">
        <f>"已撤"</f>
        <v>已撤</v>
      </c>
      <c r="G3" s="1">
        <v>20.48</v>
      </c>
      <c r="H3" s="1">
        <v>10000</v>
      </c>
      <c r="I3" s="1" t="str">
        <f>"33"</f>
        <v>33</v>
      </c>
      <c r="J3" s="1">
        <v>0</v>
      </c>
      <c r="K3" s="1">
        <v>0</v>
      </c>
      <c r="L3" s="1" t="str">
        <f t="shared" si="2"/>
        <v>买卖</v>
      </c>
      <c r="M3" s="1" t="str">
        <f t="shared" si="3"/>
        <v>0602813665</v>
      </c>
      <c r="N3" t="s">
        <v>1</v>
      </c>
    </row>
    <row r="4" spans="1:14" x14ac:dyDescent="0.15">
      <c r="A4" s="1" t="str">
        <f>"09:26:47"</f>
        <v>09:26:47</v>
      </c>
      <c r="B4" s="1" t="str">
        <f>"300177"</f>
        <v>300177</v>
      </c>
      <c r="C4" s="1" t="str">
        <f>"中海达"</f>
        <v>中海达</v>
      </c>
      <c r="D4" s="1" t="str">
        <f t="shared" si="0"/>
        <v>买入</v>
      </c>
      <c r="E4" s="1" t="str">
        <f t="shared" si="1"/>
        <v>信用交易</v>
      </c>
      <c r="F4" s="1" t="str">
        <f>"已撤"</f>
        <v>已撤</v>
      </c>
      <c r="G4" s="1">
        <v>14.78</v>
      </c>
      <c r="H4" s="1">
        <v>15000</v>
      </c>
      <c r="I4" s="1" t="str">
        <f>"49"</f>
        <v>49</v>
      </c>
      <c r="J4" s="1">
        <v>0</v>
      </c>
      <c r="K4" s="1">
        <v>0</v>
      </c>
      <c r="L4" s="1" t="str">
        <f t="shared" si="2"/>
        <v>买卖</v>
      </c>
      <c r="M4" s="1" t="str">
        <f t="shared" si="3"/>
        <v>0602813665</v>
      </c>
      <c r="N4" t="s">
        <v>1</v>
      </c>
    </row>
    <row r="5" spans="1:14" x14ac:dyDescent="0.15">
      <c r="A5" s="1" t="str">
        <f>"09:30:28"</f>
        <v>09:30:28</v>
      </c>
      <c r="B5" s="1" t="str">
        <f>"300177"</f>
        <v>300177</v>
      </c>
      <c r="C5" s="1" t="str">
        <f>"中海达"</f>
        <v>中海达</v>
      </c>
      <c r="D5" s="1" t="str">
        <f t="shared" si="0"/>
        <v>买入</v>
      </c>
      <c r="E5" s="1" t="str">
        <f t="shared" si="1"/>
        <v>信用交易</v>
      </c>
      <c r="F5" s="1" t="str">
        <f t="shared" ref="F5:F11" si="4">"已成"</f>
        <v>已成</v>
      </c>
      <c r="G5" s="1">
        <v>14.76</v>
      </c>
      <c r="H5" s="1">
        <v>15000</v>
      </c>
      <c r="I5" s="1" t="str">
        <f>"78"</f>
        <v>78</v>
      </c>
      <c r="J5" s="1">
        <v>14.757999999999999</v>
      </c>
      <c r="K5" s="1">
        <v>15000</v>
      </c>
      <c r="L5" s="1" t="str">
        <f t="shared" si="2"/>
        <v>买卖</v>
      </c>
      <c r="M5" s="1" t="str">
        <f t="shared" si="3"/>
        <v>0602813665</v>
      </c>
      <c r="N5" t="s">
        <v>1</v>
      </c>
    </row>
    <row r="6" spans="1:14" x14ac:dyDescent="0.15">
      <c r="A6" s="1" t="str">
        <f>"09:53:29"</f>
        <v>09:53:29</v>
      </c>
      <c r="B6" s="1" t="str">
        <f>"300177"</f>
        <v>300177</v>
      </c>
      <c r="C6" s="1" t="str">
        <f>"中海达"</f>
        <v>中海达</v>
      </c>
      <c r="D6" s="1" t="str">
        <f t="shared" si="0"/>
        <v>买入</v>
      </c>
      <c r="E6" s="1" t="str">
        <f t="shared" si="1"/>
        <v>信用交易</v>
      </c>
      <c r="F6" s="1" t="str">
        <f t="shared" si="4"/>
        <v>已成</v>
      </c>
      <c r="G6" s="1">
        <v>14.66</v>
      </c>
      <c r="H6" s="1">
        <v>20000</v>
      </c>
      <c r="I6" s="1" t="str">
        <f>"394"</f>
        <v>394</v>
      </c>
      <c r="J6" s="1">
        <v>14.654999999999999</v>
      </c>
      <c r="K6" s="1">
        <v>20000</v>
      </c>
      <c r="L6" s="1" t="str">
        <f t="shared" si="2"/>
        <v>买卖</v>
      </c>
      <c r="M6" s="1" t="str">
        <f t="shared" si="3"/>
        <v>0602813665</v>
      </c>
      <c r="N6" t="s">
        <v>1</v>
      </c>
    </row>
    <row r="7" spans="1:14" x14ac:dyDescent="0.15">
      <c r="A7" s="1" t="str">
        <f>"09:54:07"</f>
        <v>09:54:07</v>
      </c>
      <c r="B7" s="1" t="str">
        <f>"300177"</f>
        <v>300177</v>
      </c>
      <c r="C7" s="1" t="str">
        <f>"中海达"</f>
        <v>中海达</v>
      </c>
      <c r="D7" s="1" t="str">
        <f t="shared" si="0"/>
        <v>买入</v>
      </c>
      <c r="E7" s="1" t="str">
        <f t="shared" si="1"/>
        <v>信用交易</v>
      </c>
      <c r="F7" s="1" t="str">
        <f t="shared" si="4"/>
        <v>已成</v>
      </c>
      <c r="G7" s="1">
        <v>14.62</v>
      </c>
      <c r="H7" s="1">
        <v>5000</v>
      </c>
      <c r="I7" s="1" t="str">
        <f>"404"</f>
        <v>404</v>
      </c>
      <c r="J7" s="1">
        <v>14.62</v>
      </c>
      <c r="K7" s="1">
        <v>5000</v>
      </c>
      <c r="L7" s="1" t="str">
        <f t="shared" si="2"/>
        <v>买卖</v>
      </c>
      <c r="M7" s="1" t="str">
        <f t="shared" si="3"/>
        <v>0602813665</v>
      </c>
      <c r="N7" t="s">
        <v>1</v>
      </c>
    </row>
    <row r="8" spans="1:14" x14ac:dyDescent="0.15">
      <c r="A8" s="1" t="str">
        <f>"10:05:23"</f>
        <v>10:05:23</v>
      </c>
      <c r="B8" s="1" t="str">
        <f>"300306"</f>
        <v>300306</v>
      </c>
      <c r="C8" s="1" t="str">
        <f>"远方光电"</f>
        <v>远方光电</v>
      </c>
      <c r="D8" s="1" t="str">
        <f t="shared" si="0"/>
        <v>买入</v>
      </c>
      <c r="E8" s="1" t="str">
        <f t="shared" si="1"/>
        <v>信用交易</v>
      </c>
      <c r="F8" s="1" t="str">
        <f t="shared" si="4"/>
        <v>已成</v>
      </c>
      <c r="G8" s="1">
        <v>20.65</v>
      </c>
      <c r="H8" s="1">
        <v>10000</v>
      </c>
      <c r="I8" s="1" t="str">
        <f>"529"</f>
        <v>529</v>
      </c>
      <c r="J8" s="1">
        <v>20.65</v>
      </c>
      <c r="K8" s="1">
        <v>10000</v>
      </c>
      <c r="L8" s="1" t="str">
        <f t="shared" si="2"/>
        <v>买卖</v>
      </c>
      <c r="M8" s="1" t="str">
        <f t="shared" si="3"/>
        <v>0602813665</v>
      </c>
      <c r="N8" t="s">
        <v>1</v>
      </c>
    </row>
    <row r="9" spans="1:14" x14ac:dyDescent="0.15">
      <c r="A9" s="1" t="str">
        <f>"10:58:18"</f>
        <v>10:58:18</v>
      </c>
      <c r="B9" s="1" t="str">
        <f t="shared" ref="B9:B18" si="5">"300177"</f>
        <v>300177</v>
      </c>
      <c r="C9" s="1" t="str">
        <f t="shared" ref="C9:C18" si="6">"中海达"</f>
        <v>中海达</v>
      </c>
      <c r="D9" s="1" t="str">
        <f t="shared" ref="D9:D18" si="7">"卖出"</f>
        <v>卖出</v>
      </c>
      <c r="E9" s="1" t="str">
        <f t="shared" si="1"/>
        <v>信用交易</v>
      </c>
      <c r="F9" s="1" t="str">
        <f t="shared" si="4"/>
        <v>已成</v>
      </c>
      <c r="G9" s="1">
        <v>15.03</v>
      </c>
      <c r="H9" s="1">
        <v>12500</v>
      </c>
      <c r="I9" s="1" t="str">
        <f>"862"</f>
        <v>862</v>
      </c>
      <c r="J9" s="1">
        <v>15.2</v>
      </c>
      <c r="K9" s="1">
        <v>12500</v>
      </c>
      <c r="L9" s="1" t="str">
        <f t="shared" si="2"/>
        <v>买卖</v>
      </c>
      <c r="M9" s="1" t="str">
        <f t="shared" si="3"/>
        <v>0602813665</v>
      </c>
      <c r="N9" t="s">
        <v>1</v>
      </c>
    </row>
    <row r="10" spans="1:14" x14ac:dyDescent="0.15">
      <c r="A10" s="1" t="str">
        <f>"10:58:28"</f>
        <v>10:58:28</v>
      </c>
      <c r="B10" s="1" t="str">
        <f t="shared" si="5"/>
        <v>300177</v>
      </c>
      <c r="C10" s="1" t="str">
        <f t="shared" si="6"/>
        <v>中海达</v>
      </c>
      <c r="D10" s="1" t="str">
        <f t="shared" si="7"/>
        <v>卖出</v>
      </c>
      <c r="E10" s="1" t="str">
        <f t="shared" si="1"/>
        <v>信用交易</v>
      </c>
      <c r="F10" s="1" t="str">
        <f t="shared" si="4"/>
        <v>已成</v>
      </c>
      <c r="G10" s="1">
        <v>15.2</v>
      </c>
      <c r="H10" s="1">
        <v>9300</v>
      </c>
      <c r="I10" s="1" t="str">
        <f>"863"</f>
        <v>863</v>
      </c>
      <c r="J10" s="1">
        <v>15.2</v>
      </c>
      <c r="K10" s="1">
        <v>9300</v>
      </c>
      <c r="L10" s="1" t="str">
        <f t="shared" si="2"/>
        <v>买卖</v>
      </c>
      <c r="M10" s="1" t="str">
        <f t="shared" si="3"/>
        <v>0602813665</v>
      </c>
      <c r="N10" t="s">
        <v>1</v>
      </c>
    </row>
    <row r="11" spans="1:14" x14ac:dyDescent="0.15">
      <c r="A11" s="1" t="str">
        <f>"10:58:58"</f>
        <v>10:58:58</v>
      </c>
      <c r="B11" s="1" t="str">
        <f t="shared" si="5"/>
        <v>300177</v>
      </c>
      <c r="C11" s="1" t="str">
        <f t="shared" si="6"/>
        <v>中海达</v>
      </c>
      <c r="D11" s="1" t="str">
        <f t="shared" si="7"/>
        <v>卖出</v>
      </c>
      <c r="E11" s="1" t="str">
        <f t="shared" si="1"/>
        <v>信用交易</v>
      </c>
      <c r="F11" s="1" t="str">
        <f t="shared" si="4"/>
        <v>已成</v>
      </c>
      <c r="G11" s="1">
        <v>15.27</v>
      </c>
      <c r="H11" s="1">
        <v>9400</v>
      </c>
      <c r="I11" s="1" t="str">
        <f>"864"</f>
        <v>864</v>
      </c>
      <c r="J11" s="1">
        <v>15.27</v>
      </c>
      <c r="K11" s="1">
        <v>9400</v>
      </c>
      <c r="L11" s="1" t="str">
        <f t="shared" si="2"/>
        <v>买卖</v>
      </c>
      <c r="M11" s="1" t="str">
        <f t="shared" si="3"/>
        <v>0602813665</v>
      </c>
      <c r="N11" t="s">
        <v>1</v>
      </c>
    </row>
    <row r="12" spans="1:14" x14ac:dyDescent="0.15">
      <c r="A12" s="1" t="str">
        <f>"10:59:31"</f>
        <v>10:59:31</v>
      </c>
      <c r="B12" s="1" t="str">
        <f t="shared" si="5"/>
        <v>300177</v>
      </c>
      <c r="C12" s="1" t="str">
        <f t="shared" si="6"/>
        <v>中海达</v>
      </c>
      <c r="D12" s="1" t="str">
        <f t="shared" si="7"/>
        <v>卖出</v>
      </c>
      <c r="E12" s="1" t="str">
        <f t="shared" si="1"/>
        <v>信用交易</v>
      </c>
      <c r="F12" s="1" t="str">
        <f>"已撤"</f>
        <v>已撤</v>
      </c>
      <c r="G12" s="1">
        <v>15.28</v>
      </c>
      <c r="H12" s="1">
        <v>6200</v>
      </c>
      <c r="I12" s="1" t="str">
        <f>"868"</f>
        <v>868</v>
      </c>
      <c r="J12" s="1">
        <v>0</v>
      </c>
      <c r="K12" s="1">
        <v>0</v>
      </c>
      <c r="L12" s="1" t="str">
        <f t="shared" si="2"/>
        <v>买卖</v>
      </c>
      <c r="M12" s="1" t="str">
        <f t="shared" si="3"/>
        <v>0602813665</v>
      </c>
      <c r="N12" t="s">
        <v>1</v>
      </c>
    </row>
    <row r="13" spans="1:14" x14ac:dyDescent="0.15">
      <c r="A13" s="1" t="str">
        <f>"10:59:49"</f>
        <v>10:59:49</v>
      </c>
      <c r="B13" s="1" t="str">
        <f t="shared" si="5"/>
        <v>300177</v>
      </c>
      <c r="C13" s="1" t="str">
        <f t="shared" si="6"/>
        <v>中海达</v>
      </c>
      <c r="D13" s="1" t="str">
        <f t="shared" si="7"/>
        <v>卖出</v>
      </c>
      <c r="E13" s="1" t="str">
        <f t="shared" si="1"/>
        <v>信用交易</v>
      </c>
      <c r="F13" s="1" t="str">
        <f>"已撤"</f>
        <v>已撤</v>
      </c>
      <c r="G13" s="1">
        <v>15.24</v>
      </c>
      <c r="H13" s="1">
        <v>6300</v>
      </c>
      <c r="I13" s="1" t="str">
        <f>"869"</f>
        <v>869</v>
      </c>
      <c r="J13" s="1">
        <v>0</v>
      </c>
      <c r="K13" s="1">
        <v>0</v>
      </c>
      <c r="L13" s="1" t="str">
        <f t="shared" si="2"/>
        <v>买卖</v>
      </c>
      <c r="M13" s="1" t="str">
        <f t="shared" si="3"/>
        <v>0602813665</v>
      </c>
      <c r="N13" t="s">
        <v>1</v>
      </c>
    </row>
    <row r="14" spans="1:14" x14ac:dyDescent="0.15">
      <c r="A14" s="1" t="str">
        <f>"11:00:10"</f>
        <v>11:00:10</v>
      </c>
      <c r="B14" s="1" t="str">
        <f t="shared" si="5"/>
        <v>300177</v>
      </c>
      <c r="C14" s="1" t="str">
        <f t="shared" si="6"/>
        <v>中海达</v>
      </c>
      <c r="D14" s="1" t="str">
        <f t="shared" si="7"/>
        <v>卖出</v>
      </c>
      <c r="E14" s="1" t="str">
        <f t="shared" si="1"/>
        <v>信用交易</v>
      </c>
      <c r="F14" s="1" t="str">
        <f>"已成"</f>
        <v>已成</v>
      </c>
      <c r="G14" s="1">
        <v>15.19</v>
      </c>
      <c r="H14" s="1">
        <v>6300</v>
      </c>
      <c r="I14" s="1" t="str">
        <f>"870"</f>
        <v>870</v>
      </c>
      <c r="J14" s="1">
        <v>15.19</v>
      </c>
      <c r="K14" s="1">
        <v>6300</v>
      </c>
      <c r="L14" s="1" t="str">
        <f t="shared" si="2"/>
        <v>买卖</v>
      </c>
      <c r="M14" s="1" t="str">
        <f t="shared" si="3"/>
        <v>0602813665</v>
      </c>
      <c r="N14" t="s">
        <v>1</v>
      </c>
    </row>
    <row r="15" spans="1:14" x14ac:dyDescent="0.15">
      <c r="A15" s="1" t="str">
        <f>"11:03:06"</f>
        <v>11:03:06</v>
      </c>
      <c r="B15" s="1" t="str">
        <f t="shared" si="5"/>
        <v>300177</v>
      </c>
      <c r="C15" s="1" t="str">
        <f t="shared" si="6"/>
        <v>中海达</v>
      </c>
      <c r="D15" s="1" t="str">
        <f t="shared" si="7"/>
        <v>卖出</v>
      </c>
      <c r="E15" s="1" t="str">
        <f t="shared" si="1"/>
        <v>信用交易</v>
      </c>
      <c r="F15" s="1" t="str">
        <f>"已成"</f>
        <v>已成</v>
      </c>
      <c r="G15" s="1">
        <v>15.19</v>
      </c>
      <c r="H15" s="1">
        <v>6300</v>
      </c>
      <c r="I15" s="1" t="str">
        <f>"884"</f>
        <v>884</v>
      </c>
      <c r="J15" s="1">
        <v>15.2</v>
      </c>
      <c r="K15" s="1">
        <v>6300</v>
      </c>
      <c r="L15" s="1" t="str">
        <f t="shared" si="2"/>
        <v>买卖</v>
      </c>
      <c r="M15" s="1" t="str">
        <f t="shared" si="3"/>
        <v>0602813665</v>
      </c>
      <c r="N15" t="s">
        <v>1</v>
      </c>
    </row>
    <row r="16" spans="1:14" x14ac:dyDescent="0.15">
      <c r="A16" s="1" t="str">
        <f>"11:05:41"</f>
        <v>11:05:41</v>
      </c>
      <c r="B16" s="1" t="str">
        <f t="shared" si="5"/>
        <v>300177</v>
      </c>
      <c r="C16" s="1" t="str">
        <f t="shared" si="6"/>
        <v>中海达</v>
      </c>
      <c r="D16" s="1" t="str">
        <f t="shared" si="7"/>
        <v>卖出</v>
      </c>
      <c r="E16" s="1" t="str">
        <f t="shared" si="1"/>
        <v>信用交易</v>
      </c>
      <c r="F16" s="1" t="str">
        <f>"已撤"</f>
        <v>已撤</v>
      </c>
      <c r="G16" s="1">
        <v>15.15</v>
      </c>
      <c r="H16" s="1">
        <v>6200</v>
      </c>
      <c r="I16" s="1" t="str">
        <f>"901"</f>
        <v>901</v>
      </c>
      <c r="J16" s="1">
        <v>0</v>
      </c>
      <c r="K16" s="1">
        <v>0</v>
      </c>
      <c r="L16" s="1" t="str">
        <f t="shared" si="2"/>
        <v>买卖</v>
      </c>
      <c r="M16" s="1" t="str">
        <f t="shared" si="3"/>
        <v>0602813665</v>
      </c>
      <c r="N16" t="s">
        <v>1</v>
      </c>
    </row>
    <row r="17" spans="1:14" x14ac:dyDescent="0.15">
      <c r="A17" s="1" t="str">
        <f>"11:06:29"</f>
        <v>11:06:29</v>
      </c>
      <c r="B17" s="1" t="str">
        <f t="shared" si="5"/>
        <v>300177</v>
      </c>
      <c r="C17" s="1" t="str">
        <f t="shared" si="6"/>
        <v>中海达</v>
      </c>
      <c r="D17" s="1" t="str">
        <f t="shared" si="7"/>
        <v>卖出</v>
      </c>
      <c r="E17" s="1" t="str">
        <f t="shared" si="1"/>
        <v>信用交易</v>
      </c>
      <c r="F17" s="1" t="str">
        <f>"已撤"</f>
        <v>已撤</v>
      </c>
      <c r="G17" s="1">
        <v>15.14</v>
      </c>
      <c r="H17" s="1">
        <v>6200</v>
      </c>
      <c r="I17" s="1" t="str">
        <f>"912"</f>
        <v>912</v>
      </c>
      <c r="J17" s="1">
        <v>0</v>
      </c>
      <c r="K17" s="1">
        <v>0</v>
      </c>
      <c r="L17" s="1" t="str">
        <f t="shared" si="2"/>
        <v>买卖</v>
      </c>
      <c r="M17" s="1" t="str">
        <f t="shared" si="3"/>
        <v>0602813665</v>
      </c>
      <c r="N17" t="s">
        <v>1</v>
      </c>
    </row>
    <row r="18" spans="1:14" x14ac:dyDescent="0.15">
      <c r="A18" s="1" t="str">
        <f>"11:07:42"</f>
        <v>11:07:42</v>
      </c>
      <c r="B18" s="1" t="str">
        <f t="shared" si="5"/>
        <v>300177</v>
      </c>
      <c r="C18" s="1" t="str">
        <f t="shared" si="6"/>
        <v>中海达</v>
      </c>
      <c r="D18" s="1" t="str">
        <f t="shared" si="7"/>
        <v>卖出</v>
      </c>
      <c r="E18" s="1" t="str">
        <f t="shared" si="1"/>
        <v>信用交易</v>
      </c>
      <c r="F18" s="1" t="str">
        <f>"已成"</f>
        <v>已成</v>
      </c>
      <c r="G18" s="1">
        <v>15.13</v>
      </c>
      <c r="H18" s="1">
        <v>6200</v>
      </c>
      <c r="I18" s="1" t="str">
        <f>"923"</f>
        <v>923</v>
      </c>
      <c r="J18" s="1">
        <v>15.13</v>
      </c>
      <c r="K18" s="1">
        <v>6200</v>
      </c>
      <c r="L18" s="1" t="str">
        <f t="shared" si="2"/>
        <v>买卖</v>
      </c>
      <c r="M18" s="1" t="str">
        <f t="shared" si="3"/>
        <v>0602813665</v>
      </c>
      <c r="N18" t="s">
        <v>1</v>
      </c>
    </row>
    <row r="19" spans="1:14" x14ac:dyDescent="0.15">
      <c r="A19" s="1" t="str">
        <f>"13:32:58"</f>
        <v>13:32:58</v>
      </c>
      <c r="B19" s="1" t="str">
        <f t="shared" ref="B19:B38" si="8">"300306"</f>
        <v>300306</v>
      </c>
      <c r="C19" s="1" t="str">
        <f t="shared" ref="C19:C38" si="9">"远方光电"</f>
        <v>远方光电</v>
      </c>
      <c r="D19" s="1" t="str">
        <f t="shared" ref="D19:D25" si="10">"买入"</f>
        <v>买入</v>
      </c>
      <c r="E19" s="1" t="str">
        <f t="shared" si="1"/>
        <v>信用交易</v>
      </c>
      <c r="F19" s="1" t="str">
        <f>"已成"</f>
        <v>已成</v>
      </c>
      <c r="G19" s="1">
        <v>20.36</v>
      </c>
      <c r="H19" s="1">
        <v>5000</v>
      </c>
      <c r="I19" s="1" t="str">
        <f>"1229"</f>
        <v>1229</v>
      </c>
      <c r="J19" s="1">
        <v>20.36</v>
      </c>
      <c r="K19" s="1">
        <v>5000</v>
      </c>
      <c r="L19" s="1" t="str">
        <f t="shared" si="2"/>
        <v>买卖</v>
      </c>
      <c r="M19" s="1" t="str">
        <f t="shared" si="3"/>
        <v>0602813665</v>
      </c>
      <c r="N19" t="s">
        <v>1</v>
      </c>
    </row>
    <row r="20" spans="1:14" x14ac:dyDescent="0.15">
      <c r="A20" s="1" t="str">
        <f>"13:34:54"</f>
        <v>13:34:54</v>
      </c>
      <c r="B20" s="1" t="str">
        <f t="shared" si="8"/>
        <v>300306</v>
      </c>
      <c r="C20" s="1" t="str">
        <f t="shared" si="9"/>
        <v>远方光电</v>
      </c>
      <c r="D20" s="1" t="str">
        <f t="shared" si="10"/>
        <v>买入</v>
      </c>
      <c r="E20" s="1" t="str">
        <f t="shared" si="1"/>
        <v>信用交易</v>
      </c>
      <c r="F20" s="1" t="str">
        <f>"已成"</f>
        <v>已成</v>
      </c>
      <c r="G20" s="1">
        <v>20.36</v>
      </c>
      <c r="H20" s="1">
        <v>5000</v>
      </c>
      <c r="I20" s="1" t="str">
        <f>"1242"</f>
        <v>1242</v>
      </c>
      <c r="J20" s="1">
        <v>20.36</v>
      </c>
      <c r="K20" s="1">
        <v>5000</v>
      </c>
      <c r="L20" s="1" t="str">
        <f t="shared" si="2"/>
        <v>买卖</v>
      </c>
      <c r="M20" s="1" t="str">
        <f t="shared" si="3"/>
        <v>0602813665</v>
      </c>
      <c r="N20" t="s">
        <v>1</v>
      </c>
    </row>
    <row r="21" spans="1:14" x14ac:dyDescent="0.15">
      <c r="A21" s="1" t="str">
        <f>"13:35:21"</f>
        <v>13:35:21</v>
      </c>
      <c r="B21" s="1" t="str">
        <f t="shared" si="8"/>
        <v>300306</v>
      </c>
      <c r="C21" s="1" t="str">
        <f t="shared" si="9"/>
        <v>远方光电</v>
      </c>
      <c r="D21" s="1" t="str">
        <f t="shared" si="10"/>
        <v>买入</v>
      </c>
      <c r="E21" s="1" t="str">
        <f t="shared" si="1"/>
        <v>信用交易</v>
      </c>
      <c r="F21" s="1" t="str">
        <f>"已成"</f>
        <v>已成</v>
      </c>
      <c r="G21" s="1">
        <v>20.36</v>
      </c>
      <c r="H21" s="1">
        <v>5000</v>
      </c>
      <c r="I21" s="1" t="str">
        <f>"1244"</f>
        <v>1244</v>
      </c>
      <c r="J21" s="1">
        <v>20.36</v>
      </c>
      <c r="K21" s="1">
        <v>5000</v>
      </c>
      <c r="L21" s="1" t="str">
        <f t="shared" si="2"/>
        <v>买卖</v>
      </c>
      <c r="M21" s="1" t="str">
        <f t="shared" si="3"/>
        <v>0602813665</v>
      </c>
      <c r="N21" t="s">
        <v>1</v>
      </c>
    </row>
    <row r="22" spans="1:14" x14ac:dyDescent="0.15">
      <c r="A22" s="1" t="str">
        <f>"14:01:25"</f>
        <v>14:01:25</v>
      </c>
      <c r="B22" s="1" t="str">
        <f t="shared" si="8"/>
        <v>300306</v>
      </c>
      <c r="C22" s="1" t="str">
        <f t="shared" si="9"/>
        <v>远方光电</v>
      </c>
      <c r="D22" s="1" t="str">
        <f t="shared" si="10"/>
        <v>买入</v>
      </c>
      <c r="E22" s="1" t="str">
        <f t="shared" si="1"/>
        <v>信用交易</v>
      </c>
      <c r="F22" s="1" t="str">
        <f>"已撤"</f>
        <v>已撤</v>
      </c>
      <c r="G22" s="1">
        <v>20.27</v>
      </c>
      <c r="H22" s="1">
        <v>5000</v>
      </c>
      <c r="I22" s="1" t="str">
        <f>"1340"</f>
        <v>1340</v>
      </c>
      <c r="J22" s="1">
        <v>0</v>
      </c>
      <c r="K22" s="1">
        <v>0</v>
      </c>
      <c r="L22" s="1" t="str">
        <f t="shared" si="2"/>
        <v>买卖</v>
      </c>
      <c r="M22" s="1" t="str">
        <f t="shared" si="3"/>
        <v>0602813665</v>
      </c>
      <c r="N22" t="s">
        <v>1</v>
      </c>
    </row>
    <row r="23" spans="1:14" x14ac:dyDescent="0.15">
      <c r="A23" s="1" t="str">
        <f>"14:05:10"</f>
        <v>14:05:10</v>
      </c>
      <c r="B23" s="1" t="str">
        <f t="shared" si="8"/>
        <v>300306</v>
      </c>
      <c r="C23" s="1" t="str">
        <f t="shared" si="9"/>
        <v>远方光电</v>
      </c>
      <c r="D23" s="1" t="str">
        <f t="shared" si="10"/>
        <v>买入</v>
      </c>
      <c r="E23" s="1" t="str">
        <f t="shared" si="1"/>
        <v>信用交易</v>
      </c>
      <c r="F23" s="1" t="str">
        <f t="shared" ref="F23:F32" si="11">"已成"</f>
        <v>已成</v>
      </c>
      <c r="G23" s="1">
        <v>20.3</v>
      </c>
      <c r="H23" s="1">
        <v>5000</v>
      </c>
      <c r="I23" s="1" t="str">
        <f>"1358"</f>
        <v>1358</v>
      </c>
      <c r="J23" s="1">
        <v>20.3</v>
      </c>
      <c r="K23" s="1">
        <v>5000</v>
      </c>
      <c r="L23" s="1" t="str">
        <f t="shared" si="2"/>
        <v>买卖</v>
      </c>
      <c r="M23" s="1" t="str">
        <f t="shared" si="3"/>
        <v>0602813665</v>
      </c>
      <c r="N23" t="s">
        <v>1</v>
      </c>
    </row>
    <row r="24" spans="1:14" x14ac:dyDescent="0.15">
      <c r="A24" s="1" t="str">
        <f>"14:08:54"</f>
        <v>14:08:54</v>
      </c>
      <c r="B24" s="1" t="str">
        <f t="shared" si="8"/>
        <v>300306</v>
      </c>
      <c r="C24" s="1" t="str">
        <f t="shared" si="9"/>
        <v>远方光电</v>
      </c>
      <c r="D24" s="1" t="str">
        <f t="shared" si="10"/>
        <v>买入</v>
      </c>
      <c r="E24" s="1" t="str">
        <f t="shared" si="1"/>
        <v>信用交易</v>
      </c>
      <c r="F24" s="1" t="str">
        <f t="shared" si="11"/>
        <v>已成</v>
      </c>
      <c r="G24" s="1">
        <v>20.29</v>
      </c>
      <c r="H24" s="1">
        <v>5000</v>
      </c>
      <c r="I24" s="1" t="str">
        <f>"1373"</f>
        <v>1373</v>
      </c>
      <c r="J24" s="1">
        <v>20.29</v>
      </c>
      <c r="K24" s="1">
        <v>5000</v>
      </c>
      <c r="L24" s="1" t="str">
        <f t="shared" si="2"/>
        <v>买卖</v>
      </c>
      <c r="M24" s="1" t="str">
        <f t="shared" si="3"/>
        <v>0602813665</v>
      </c>
      <c r="N24" t="s">
        <v>1</v>
      </c>
    </row>
    <row r="25" spans="1:14" x14ac:dyDescent="0.15">
      <c r="A25" s="1" t="str">
        <f>"14:09:22"</f>
        <v>14:09:22</v>
      </c>
      <c r="B25" s="1" t="str">
        <f t="shared" si="8"/>
        <v>300306</v>
      </c>
      <c r="C25" s="1" t="str">
        <f t="shared" si="9"/>
        <v>远方光电</v>
      </c>
      <c r="D25" s="1" t="str">
        <f t="shared" si="10"/>
        <v>买入</v>
      </c>
      <c r="E25" s="1" t="str">
        <f t="shared" si="1"/>
        <v>信用交易</v>
      </c>
      <c r="F25" s="1" t="str">
        <f t="shared" si="11"/>
        <v>已成</v>
      </c>
      <c r="G25" s="1">
        <v>20.3</v>
      </c>
      <c r="H25" s="1">
        <v>10000</v>
      </c>
      <c r="I25" s="1" t="str">
        <f>"1374"</f>
        <v>1374</v>
      </c>
      <c r="J25" s="1">
        <v>20.3</v>
      </c>
      <c r="K25" s="1">
        <v>10000</v>
      </c>
      <c r="L25" s="1" t="str">
        <f t="shared" si="2"/>
        <v>买卖</v>
      </c>
      <c r="M25" s="1" t="str">
        <f t="shared" si="3"/>
        <v>0602813665</v>
      </c>
      <c r="N25" t="s">
        <v>1</v>
      </c>
    </row>
    <row r="26" spans="1:14" x14ac:dyDescent="0.15">
      <c r="A26" s="1" t="str">
        <f>"14:13:39"</f>
        <v>14:13:39</v>
      </c>
      <c r="B26" s="1" t="str">
        <f t="shared" si="8"/>
        <v>300306</v>
      </c>
      <c r="C26" s="1" t="str">
        <f t="shared" si="9"/>
        <v>远方光电</v>
      </c>
      <c r="D26" s="1" t="str">
        <f t="shared" ref="D26:D38" si="12">"卖出"</f>
        <v>卖出</v>
      </c>
      <c r="E26" s="1" t="str">
        <f t="shared" si="1"/>
        <v>信用交易</v>
      </c>
      <c r="F26" s="1" t="str">
        <f t="shared" si="11"/>
        <v>已成</v>
      </c>
      <c r="G26" s="1">
        <v>20.57</v>
      </c>
      <c r="H26" s="1">
        <v>8000</v>
      </c>
      <c r="I26" s="1" t="str">
        <f>"1398"</f>
        <v>1398</v>
      </c>
      <c r="J26" s="1">
        <v>20.57</v>
      </c>
      <c r="K26" s="1">
        <v>8000</v>
      </c>
      <c r="L26" s="1" t="str">
        <f t="shared" si="2"/>
        <v>买卖</v>
      </c>
      <c r="M26" s="1" t="str">
        <f t="shared" si="3"/>
        <v>0602813665</v>
      </c>
      <c r="N26" t="s">
        <v>1</v>
      </c>
    </row>
    <row r="27" spans="1:14" x14ac:dyDescent="0.15">
      <c r="A27" s="1" t="str">
        <f>"14:14:02"</f>
        <v>14:14:02</v>
      </c>
      <c r="B27" s="1" t="str">
        <f t="shared" si="8"/>
        <v>300306</v>
      </c>
      <c r="C27" s="1" t="str">
        <f t="shared" si="9"/>
        <v>远方光电</v>
      </c>
      <c r="D27" s="1" t="str">
        <f t="shared" si="12"/>
        <v>卖出</v>
      </c>
      <c r="E27" s="1" t="str">
        <f t="shared" si="1"/>
        <v>信用交易</v>
      </c>
      <c r="F27" s="1" t="str">
        <f t="shared" si="11"/>
        <v>已成</v>
      </c>
      <c r="G27" s="1">
        <v>20.6</v>
      </c>
      <c r="H27" s="1">
        <v>4000</v>
      </c>
      <c r="I27" s="1" t="str">
        <f>"1403"</f>
        <v>1403</v>
      </c>
      <c r="J27" s="1">
        <v>20.6</v>
      </c>
      <c r="K27" s="1">
        <v>4000</v>
      </c>
      <c r="L27" s="1" t="str">
        <f t="shared" si="2"/>
        <v>买卖</v>
      </c>
      <c r="M27" s="1" t="str">
        <f t="shared" si="3"/>
        <v>0602813665</v>
      </c>
      <c r="N27" t="s">
        <v>1</v>
      </c>
    </row>
    <row r="28" spans="1:14" x14ac:dyDescent="0.15">
      <c r="A28" s="1" t="str">
        <f>"14:14:28"</f>
        <v>14:14:28</v>
      </c>
      <c r="B28" s="1" t="str">
        <f t="shared" si="8"/>
        <v>300306</v>
      </c>
      <c r="C28" s="1" t="str">
        <f t="shared" si="9"/>
        <v>远方光电</v>
      </c>
      <c r="D28" s="1" t="str">
        <f t="shared" si="12"/>
        <v>卖出</v>
      </c>
      <c r="E28" s="1" t="str">
        <f t="shared" si="1"/>
        <v>信用交易</v>
      </c>
      <c r="F28" s="1" t="str">
        <f t="shared" si="11"/>
        <v>已成</v>
      </c>
      <c r="G28" s="1">
        <v>20.56</v>
      </c>
      <c r="H28" s="1">
        <v>3000</v>
      </c>
      <c r="I28" s="1" t="str">
        <f>"1404"</f>
        <v>1404</v>
      </c>
      <c r="J28" s="1">
        <v>20.56</v>
      </c>
      <c r="K28" s="1">
        <v>3000</v>
      </c>
      <c r="L28" s="1" t="str">
        <f t="shared" si="2"/>
        <v>买卖</v>
      </c>
      <c r="M28" s="1" t="str">
        <f t="shared" si="3"/>
        <v>0602813665</v>
      </c>
      <c r="N28" t="s">
        <v>1</v>
      </c>
    </row>
    <row r="29" spans="1:14" x14ac:dyDescent="0.15">
      <c r="A29" s="1" t="str">
        <f>"14:16:14"</f>
        <v>14:16:14</v>
      </c>
      <c r="B29" s="1" t="str">
        <f t="shared" si="8"/>
        <v>300306</v>
      </c>
      <c r="C29" s="1" t="str">
        <f t="shared" si="9"/>
        <v>远方光电</v>
      </c>
      <c r="D29" s="1" t="str">
        <f t="shared" si="12"/>
        <v>卖出</v>
      </c>
      <c r="E29" s="1" t="str">
        <f t="shared" si="1"/>
        <v>信用交易</v>
      </c>
      <c r="F29" s="1" t="str">
        <f t="shared" si="11"/>
        <v>已成</v>
      </c>
      <c r="G29" s="1">
        <v>20.6</v>
      </c>
      <c r="H29" s="1">
        <v>4500</v>
      </c>
      <c r="I29" s="1" t="str">
        <f>"1413"</f>
        <v>1413</v>
      </c>
      <c r="J29" s="1">
        <v>20.6</v>
      </c>
      <c r="K29" s="1">
        <v>4500</v>
      </c>
      <c r="L29" s="1" t="str">
        <f t="shared" si="2"/>
        <v>买卖</v>
      </c>
      <c r="M29" s="1" t="str">
        <f t="shared" si="3"/>
        <v>0602813665</v>
      </c>
      <c r="N29" t="s">
        <v>1</v>
      </c>
    </row>
    <row r="30" spans="1:14" x14ac:dyDescent="0.15">
      <c r="A30" s="1" t="str">
        <f>"14:18:00"</f>
        <v>14:18:00</v>
      </c>
      <c r="B30" s="1" t="str">
        <f t="shared" si="8"/>
        <v>300306</v>
      </c>
      <c r="C30" s="1" t="str">
        <f t="shared" si="9"/>
        <v>远方光电</v>
      </c>
      <c r="D30" s="1" t="str">
        <f t="shared" si="12"/>
        <v>卖出</v>
      </c>
      <c r="E30" s="1" t="str">
        <f t="shared" si="1"/>
        <v>信用交易</v>
      </c>
      <c r="F30" s="1" t="str">
        <f t="shared" si="11"/>
        <v>已成</v>
      </c>
      <c r="G30" s="1">
        <v>20.62</v>
      </c>
      <c r="H30" s="1">
        <v>500</v>
      </c>
      <c r="I30" s="1" t="str">
        <f>"1424"</f>
        <v>1424</v>
      </c>
      <c r="J30" s="1">
        <v>20.62</v>
      </c>
      <c r="K30" s="1">
        <v>500</v>
      </c>
      <c r="L30" s="1" t="str">
        <f t="shared" si="2"/>
        <v>买卖</v>
      </c>
      <c r="M30" s="1" t="str">
        <f t="shared" si="3"/>
        <v>0602813665</v>
      </c>
      <c r="N30" t="s">
        <v>1</v>
      </c>
    </row>
    <row r="31" spans="1:14" x14ac:dyDescent="0.15">
      <c r="A31" s="1" t="str">
        <f>"14:38:49"</f>
        <v>14:38:49</v>
      </c>
      <c r="B31" s="1" t="str">
        <f t="shared" si="8"/>
        <v>300306</v>
      </c>
      <c r="C31" s="1" t="str">
        <f t="shared" si="9"/>
        <v>远方光电</v>
      </c>
      <c r="D31" s="1" t="str">
        <f t="shared" si="12"/>
        <v>卖出</v>
      </c>
      <c r="E31" s="1" t="str">
        <f t="shared" si="1"/>
        <v>信用交易</v>
      </c>
      <c r="F31" s="1" t="str">
        <f t="shared" si="11"/>
        <v>已成</v>
      </c>
      <c r="G31" s="1">
        <v>20.45</v>
      </c>
      <c r="H31" s="1">
        <v>5000</v>
      </c>
      <c r="I31" s="1" t="str">
        <f>"1567"</f>
        <v>1567</v>
      </c>
      <c r="J31" s="1">
        <v>20.45</v>
      </c>
      <c r="K31" s="1">
        <v>5000</v>
      </c>
      <c r="L31" s="1" t="str">
        <f t="shared" si="2"/>
        <v>买卖</v>
      </c>
      <c r="M31" s="1" t="str">
        <f t="shared" si="3"/>
        <v>0602813665</v>
      </c>
      <c r="N31" t="s">
        <v>1</v>
      </c>
    </row>
    <row r="32" spans="1:14" x14ac:dyDescent="0.15">
      <c r="A32" s="1" t="str">
        <f>"14:45:57"</f>
        <v>14:45:57</v>
      </c>
      <c r="B32" s="1" t="str">
        <f t="shared" si="8"/>
        <v>300306</v>
      </c>
      <c r="C32" s="1" t="str">
        <f t="shared" si="9"/>
        <v>远方光电</v>
      </c>
      <c r="D32" s="1" t="str">
        <f t="shared" si="12"/>
        <v>卖出</v>
      </c>
      <c r="E32" s="1" t="str">
        <f t="shared" si="1"/>
        <v>信用交易</v>
      </c>
      <c r="F32" s="1" t="str">
        <f t="shared" si="11"/>
        <v>已成</v>
      </c>
      <c r="G32" s="1">
        <v>20.69</v>
      </c>
      <c r="H32" s="1">
        <v>5000</v>
      </c>
      <c r="I32" s="1" t="str">
        <f>"1615"</f>
        <v>1615</v>
      </c>
      <c r="J32" s="1">
        <v>20.69</v>
      </c>
      <c r="K32" s="1">
        <v>5000</v>
      </c>
      <c r="L32" s="1" t="str">
        <f t="shared" si="2"/>
        <v>买卖</v>
      </c>
      <c r="M32" s="1" t="str">
        <f t="shared" si="3"/>
        <v>0602813665</v>
      </c>
      <c r="N32" t="s">
        <v>1</v>
      </c>
    </row>
    <row r="33" spans="1:14" x14ac:dyDescent="0.15">
      <c r="A33" s="1" t="str">
        <f>"14:46:28"</f>
        <v>14:46:28</v>
      </c>
      <c r="B33" s="1" t="str">
        <f t="shared" si="8"/>
        <v>300306</v>
      </c>
      <c r="C33" s="1" t="str">
        <f t="shared" si="9"/>
        <v>远方光电</v>
      </c>
      <c r="D33" s="1" t="str">
        <f t="shared" si="12"/>
        <v>卖出</v>
      </c>
      <c r="E33" s="1" t="str">
        <f t="shared" si="1"/>
        <v>信用交易</v>
      </c>
      <c r="F33" s="1" t="str">
        <f>"部撤"</f>
        <v>部撤</v>
      </c>
      <c r="G33" s="1">
        <v>20.77</v>
      </c>
      <c r="H33" s="1">
        <v>5000</v>
      </c>
      <c r="I33" s="1" t="str">
        <f>"1621"</f>
        <v>1621</v>
      </c>
      <c r="J33" s="1">
        <v>20.77</v>
      </c>
      <c r="K33" s="1">
        <v>100</v>
      </c>
      <c r="L33" s="1" t="str">
        <f t="shared" si="2"/>
        <v>买卖</v>
      </c>
      <c r="M33" s="1" t="str">
        <f t="shared" si="3"/>
        <v>0602813665</v>
      </c>
      <c r="N33" t="s">
        <v>1</v>
      </c>
    </row>
    <row r="34" spans="1:14" x14ac:dyDescent="0.15">
      <c r="A34" s="1" t="str">
        <f>"14:47:15"</f>
        <v>14:47:15</v>
      </c>
      <c r="B34" s="1" t="str">
        <f t="shared" si="8"/>
        <v>300306</v>
      </c>
      <c r="C34" s="1" t="str">
        <f t="shared" si="9"/>
        <v>远方光电</v>
      </c>
      <c r="D34" s="1" t="str">
        <f t="shared" si="12"/>
        <v>卖出</v>
      </c>
      <c r="E34" s="1" t="str">
        <f t="shared" si="1"/>
        <v>信用交易</v>
      </c>
      <c r="F34" s="1" t="str">
        <f>"已成"</f>
        <v>已成</v>
      </c>
      <c r="G34" s="1">
        <v>20.79</v>
      </c>
      <c r="H34" s="1">
        <v>4900</v>
      </c>
      <c r="I34" s="1" t="str">
        <f>"1628"</f>
        <v>1628</v>
      </c>
      <c r="J34" s="1">
        <v>20.79</v>
      </c>
      <c r="K34" s="1">
        <v>4900</v>
      </c>
      <c r="L34" s="1" t="str">
        <f t="shared" si="2"/>
        <v>买卖</v>
      </c>
      <c r="M34" s="1" t="str">
        <f t="shared" si="3"/>
        <v>0602813665</v>
      </c>
      <c r="N34" t="s">
        <v>1</v>
      </c>
    </row>
    <row r="35" spans="1:14" x14ac:dyDescent="0.15">
      <c r="A35" s="1" t="str">
        <f>"14:47:51"</f>
        <v>14:47:51</v>
      </c>
      <c r="B35" s="1" t="str">
        <f t="shared" si="8"/>
        <v>300306</v>
      </c>
      <c r="C35" s="1" t="str">
        <f t="shared" si="9"/>
        <v>远方光电</v>
      </c>
      <c r="D35" s="1" t="str">
        <f t="shared" si="12"/>
        <v>卖出</v>
      </c>
      <c r="E35" s="1" t="str">
        <f t="shared" si="1"/>
        <v>信用交易</v>
      </c>
      <c r="F35" s="1" t="str">
        <f>"已成"</f>
        <v>已成</v>
      </c>
      <c r="G35" s="1">
        <v>20.7</v>
      </c>
      <c r="H35" s="1">
        <v>5000</v>
      </c>
      <c r="I35" s="1" t="str">
        <f>"1638"</f>
        <v>1638</v>
      </c>
      <c r="J35" s="1">
        <v>20.7</v>
      </c>
      <c r="K35" s="1">
        <v>5000</v>
      </c>
      <c r="L35" s="1" t="str">
        <f t="shared" si="2"/>
        <v>买卖</v>
      </c>
      <c r="M35" s="1" t="str">
        <f t="shared" si="3"/>
        <v>0602813665</v>
      </c>
      <c r="N35" t="s">
        <v>1</v>
      </c>
    </row>
    <row r="36" spans="1:14" x14ac:dyDescent="0.15">
      <c r="A36" s="1" t="str">
        <f>"14:49:10"</f>
        <v>14:49:10</v>
      </c>
      <c r="B36" s="1" t="str">
        <f t="shared" si="8"/>
        <v>300306</v>
      </c>
      <c r="C36" s="1" t="str">
        <f t="shared" si="9"/>
        <v>远方光电</v>
      </c>
      <c r="D36" s="1" t="str">
        <f t="shared" si="12"/>
        <v>卖出</v>
      </c>
      <c r="E36" s="1" t="str">
        <f t="shared" si="1"/>
        <v>信用交易</v>
      </c>
      <c r="F36" s="1" t="str">
        <f>"已撤"</f>
        <v>已撤</v>
      </c>
      <c r="G36" s="1">
        <v>20.7</v>
      </c>
      <c r="H36" s="1">
        <v>5000</v>
      </c>
      <c r="I36" s="1" t="str">
        <f>"1651"</f>
        <v>1651</v>
      </c>
      <c r="J36" s="1">
        <v>0</v>
      </c>
      <c r="K36" s="1">
        <v>0</v>
      </c>
      <c r="L36" s="1" t="str">
        <f t="shared" si="2"/>
        <v>买卖</v>
      </c>
      <c r="M36" s="1" t="str">
        <f t="shared" si="3"/>
        <v>0602813665</v>
      </c>
      <c r="N36" t="s">
        <v>1</v>
      </c>
    </row>
    <row r="37" spans="1:14" x14ac:dyDescent="0.15">
      <c r="A37" s="1" t="str">
        <f>"14:49:31"</f>
        <v>14:49:31</v>
      </c>
      <c r="B37" s="1" t="str">
        <f t="shared" si="8"/>
        <v>300306</v>
      </c>
      <c r="C37" s="1" t="str">
        <f t="shared" si="9"/>
        <v>远方光电</v>
      </c>
      <c r="D37" s="1" t="str">
        <f t="shared" si="12"/>
        <v>卖出</v>
      </c>
      <c r="E37" s="1" t="str">
        <f t="shared" si="1"/>
        <v>信用交易</v>
      </c>
      <c r="F37" s="1" t="str">
        <f>"已成"</f>
        <v>已成</v>
      </c>
      <c r="G37" s="1">
        <v>20.68</v>
      </c>
      <c r="H37" s="1">
        <v>5000</v>
      </c>
      <c r="I37" s="1" t="str">
        <f>"1660"</f>
        <v>1660</v>
      </c>
      <c r="J37" s="1">
        <v>20.68</v>
      </c>
      <c r="K37" s="1">
        <v>5000</v>
      </c>
      <c r="L37" s="1" t="str">
        <f t="shared" si="2"/>
        <v>买卖</v>
      </c>
      <c r="M37" s="1" t="str">
        <f t="shared" si="3"/>
        <v>0602813665</v>
      </c>
      <c r="N37" t="s">
        <v>1</v>
      </c>
    </row>
    <row r="38" spans="1:14" x14ac:dyDescent="0.15">
      <c r="A38" s="1" t="str">
        <f>"15:00:00"</f>
        <v>15:00:00</v>
      </c>
      <c r="B38" s="1" t="str">
        <f t="shared" si="8"/>
        <v>300306</v>
      </c>
      <c r="C38" s="1" t="str">
        <f t="shared" si="9"/>
        <v>远方光电</v>
      </c>
      <c r="D38" s="1" t="str">
        <f t="shared" si="12"/>
        <v>卖出</v>
      </c>
      <c r="E38" s="1" t="str">
        <f t="shared" si="1"/>
        <v>信用交易</v>
      </c>
      <c r="F38" s="1" t="str">
        <f>"已报待撤"</f>
        <v>已报待撤</v>
      </c>
      <c r="G38" s="1">
        <v>20.76</v>
      </c>
      <c r="H38" s="1">
        <v>10000</v>
      </c>
      <c r="I38" s="1" t="str">
        <f>"1755"</f>
        <v>1755</v>
      </c>
      <c r="J38" s="1">
        <v>0</v>
      </c>
      <c r="K38" s="1">
        <v>0</v>
      </c>
      <c r="L38" s="1" t="str">
        <f t="shared" si="2"/>
        <v>买卖</v>
      </c>
      <c r="M38" s="1" t="str">
        <f t="shared" si="3"/>
        <v>0602813665</v>
      </c>
      <c r="N38" t="s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7"/>
  <sheetViews>
    <sheetView workbookViewId="0">
      <selection activeCell="A4" sqref="A4:XFD4"/>
    </sheetView>
  </sheetViews>
  <sheetFormatPr defaultRowHeight="13.5" x14ac:dyDescent="0.15"/>
  <sheetData>
    <row r="3" spans="1:14" x14ac:dyDescent="0.15">
      <c r="A3" s="1" t="str">
        <f>"委托时间"</f>
        <v>委托时间</v>
      </c>
      <c r="B3" s="1" t="str">
        <f>"证券代码"</f>
        <v>证券代码</v>
      </c>
      <c r="C3" s="1" t="str">
        <f>"证券名称"</f>
        <v>证券名称</v>
      </c>
      <c r="D3" s="1" t="str">
        <f>"买卖标志"</f>
        <v>买卖标志</v>
      </c>
      <c r="E3" s="1" t="str">
        <f>"委托类别"</f>
        <v>委托类别</v>
      </c>
      <c r="F3" s="1" t="str">
        <f>"状态说明"</f>
        <v>状态说明</v>
      </c>
      <c r="G3" s="1" t="str">
        <f>"委托价格"</f>
        <v>委托价格</v>
      </c>
      <c r="H3" s="1" t="str">
        <f>"委托数量"</f>
        <v>委托数量</v>
      </c>
      <c r="I3" s="1" t="str">
        <f>"委托编号"</f>
        <v>委托编号</v>
      </c>
      <c r="J3" s="1" t="str">
        <f>"成交价格"</f>
        <v>成交价格</v>
      </c>
      <c r="K3" s="1" t="str">
        <f>"成交数量"</f>
        <v>成交数量</v>
      </c>
      <c r="L3" s="1" t="str">
        <f>"报价方式"</f>
        <v>报价方式</v>
      </c>
      <c r="M3" s="1" t="str">
        <f>"股东代码"</f>
        <v>股东代码</v>
      </c>
      <c r="N3" t="s">
        <v>0</v>
      </c>
    </row>
    <row r="4" spans="1:14" x14ac:dyDescent="0.15">
      <c r="A4" s="1" t="str">
        <f>"09:15:52"</f>
        <v>09:15:52</v>
      </c>
      <c r="B4" s="1" t="str">
        <f>"300177"</f>
        <v>300177</v>
      </c>
      <c r="C4" s="1" t="str">
        <f>"中海达"</f>
        <v>中海达</v>
      </c>
      <c r="D4" s="1" t="str">
        <f t="shared" ref="D4:D7" si="0">"买入"</f>
        <v>买入</v>
      </c>
      <c r="E4" s="1" t="str">
        <f t="shared" ref="E4:E7" si="1">"信用交易"</f>
        <v>信用交易</v>
      </c>
      <c r="F4" s="1" t="str">
        <f>"已撤"</f>
        <v>已撤</v>
      </c>
      <c r="G4" s="1">
        <v>16.309999999999999</v>
      </c>
      <c r="H4" s="1">
        <v>213200</v>
      </c>
      <c r="I4" s="1" t="str">
        <f>"12"</f>
        <v>12</v>
      </c>
      <c r="J4" s="1">
        <v>0</v>
      </c>
      <c r="K4" s="1">
        <v>0</v>
      </c>
      <c r="L4" s="1" t="str">
        <f t="shared" ref="L4:L7" si="2">"买卖"</f>
        <v>买卖</v>
      </c>
      <c r="M4" s="1" t="str">
        <f t="shared" ref="M4:M7" si="3">"0602813665"</f>
        <v>0602813665</v>
      </c>
      <c r="N4" t="s">
        <v>1</v>
      </c>
    </row>
    <row r="5" spans="1:14" x14ac:dyDescent="0.15">
      <c r="A5" s="1" t="str">
        <f>"09:24:48"</f>
        <v>09:24:48</v>
      </c>
      <c r="B5" s="1" t="str">
        <f>"300306"</f>
        <v>300306</v>
      </c>
      <c r="C5" s="1" t="str">
        <f>"远方光电"</f>
        <v>远方光电</v>
      </c>
      <c r="D5" s="1" t="str">
        <f t="shared" si="0"/>
        <v>买入</v>
      </c>
      <c r="E5" s="1" t="str">
        <f t="shared" si="1"/>
        <v>信用交易</v>
      </c>
      <c r="F5" s="1" t="str">
        <f>"已撤"</f>
        <v>已撤</v>
      </c>
      <c r="G5" s="1">
        <v>20.48</v>
      </c>
      <c r="H5" s="1">
        <v>10000</v>
      </c>
      <c r="I5" s="1" t="str">
        <f>"33"</f>
        <v>33</v>
      </c>
      <c r="J5" s="1">
        <v>0</v>
      </c>
      <c r="K5" s="1">
        <v>0</v>
      </c>
      <c r="L5" s="1" t="str">
        <f t="shared" si="2"/>
        <v>买卖</v>
      </c>
      <c r="M5" s="1" t="str">
        <f t="shared" si="3"/>
        <v>0602813665</v>
      </c>
      <c r="N5" t="s">
        <v>1</v>
      </c>
    </row>
    <row r="6" spans="1:14" x14ac:dyDescent="0.15">
      <c r="A6" s="1" t="str">
        <f>"09:26:47"</f>
        <v>09:26:47</v>
      </c>
      <c r="B6" s="1" t="str">
        <f>"300177"</f>
        <v>300177</v>
      </c>
      <c r="C6" s="1" t="str">
        <f>"中海达"</f>
        <v>中海达</v>
      </c>
      <c r="D6" s="1" t="str">
        <f t="shared" si="0"/>
        <v>买入</v>
      </c>
      <c r="E6" s="1" t="str">
        <f t="shared" si="1"/>
        <v>信用交易</v>
      </c>
      <c r="F6" s="1" t="str">
        <f>"已撤"</f>
        <v>已撤</v>
      </c>
      <c r="G6" s="1">
        <v>14.78</v>
      </c>
      <c r="H6" s="1">
        <v>15000</v>
      </c>
      <c r="I6" s="1" t="str">
        <f>"49"</f>
        <v>49</v>
      </c>
      <c r="J6" s="1">
        <v>0</v>
      </c>
      <c r="K6" s="1">
        <v>0</v>
      </c>
      <c r="L6" s="1" t="str">
        <f t="shared" si="2"/>
        <v>买卖</v>
      </c>
      <c r="M6" s="1" t="str">
        <f t="shared" si="3"/>
        <v>0602813665</v>
      </c>
      <c r="N6" t="s">
        <v>1</v>
      </c>
    </row>
    <row r="7" spans="1:14" x14ac:dyDescent="0.15">
      <c r="A7" s="1" t="str">
        <f>"09:30:28"</f>
        <v>09:30:28</v>
      </c>
      <c r="B7" s="1" t="str">
        <f>"300177"</f>
        <v>300177</v>
      </c>
      <c r="C7" s="1" t="str">
        <f>"中海达"</f>
        <v>中海达</v>
      </c>
      <c r="D7" s="1" t="str">
        <f t="shared" si="0"/>
        <v>买入</v>
      </c>
      <c r="E7" s="1" t="str">
        <f t="shared" si="1"/>
        <v>信用交易</v>
      </c>
      <c r="F7" s="1" t="str">
        <f t="shared" ref="F7" si="4">"已成"</f>
        <v>已成</v>
      </c>
      <c r="G7" s="1">
        <v>14.76</v>
      </c>
      <c r="H7" s="1">
        <v>15000</v>
      </c>
      <c r="I7" s="1" t="str">
        <f>"78"</f>
        <v>78</v>
      </c>
      <c r="J7" s="1">
        <v>14.757999999999999</v>
      </c>
      <c r="K7" s="1">
        <v>15000</v>
      </c>
      <c r="L7" s="1" t="str">
        <f t="shared" si="2"/>
        <v>买卖</v>
      </c>
      <c r="M7" s="1" t="str">
        <f t="shared" si="3"/>
        <v>0602813665</v>
      </c>
      <c r="N7" t="s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N12"/>
  <sheetViews>
    <sheetView workbookViewId="0">
      <selection activeCell="A12" sqref="A12:XFD12"/>
    </sheetView>
  </sheetViews>
  <sheetFormatPr defaultRowHeight="13.5" x14ac:dyDescent="0.15"/>
  <sheetData>
    <row r="12" spans="1:14" x14ac:dyDescent="0.15">
      <c r="A12" s="1" t="str">
        <f>"09:15:52"</f>
        <v>09:15:52</v>
      </c>
      <c r="B12" s="1" t="str">
        <f>"300177"</f>
        <v>300177</v>
      </c>
      <c r="C12" s="1" t="str">
        <f>"中海达"</f>
        <v>中海达</v>
      </c>
      <c r="D12" s="1" t="str">
        <f t="shared" ref="D12" si="0">"买入"</f>
        <v>买入</v>
      </c>
      <c r="E12" s="1" t="str">
        <f t="shared" ref="E12" si="1">"信用交易"</f>
        <v>信用交易</v>
      </c>
      <c r="F12" s="1" t="str">
        <f>"已撤"</f>
        <v>已撤</v>
      </c>
      <c r="G12" s="1">
        <v>16.309999999999999</v>
      </c>
      <c r="H12" s="1">
        <v>213200</v>
      </c>
      <c r="I12" s="1" t="str">
        <f>"12"</f>
        <v>12</v>
      </c>
      <c r="J12" s="1">
        <v>0</v>
      </c>
      <c r="K12" s="1">
        <v>0</v>
      </c>
      <c r="L12" s="1" t="str">
        <f t="shared" ref="L12" si="2">"买卖"</f>
        <v>买卖</v>
      </c>
      <c r="M12" s="1" t="str">
        <f t="shared" ref="M12" si="3">"0602813665"</f>
        <v>0602813665</v>
      </c>
      <c r="N12" t="s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2016-04-26T01:38:28Z</dcterms:modified>
</cp:coreProperties>
</file>