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725" yWindow="1800" windowWidth="20475" windowHeight="1008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H4" i="1" l="1"/>
  <c r="W8" i="1" l="1"/>
  <c r="J7" i="1"/>
  <c r="F7" i="1"/>
  <c r="K7" i="1"/>
  <c r="E7" i="1"/>
  <c r="M7" i="1" l="1"/>
  <c r="H7" i="1" s="1"/>
  <c r="B7" i="1"/>
  <c r="R7" i="1"/>
  <c r="T11" i="1"/>
  <c r="T10" i="1"/>
  <c r="R11" i="1"/>
  <c r="X11" i="1" s="1"/>
  <c r="R10" i="1"/>
  <c r="X10" i="1" s="1"/>
  <c r="A1" i="1"/>
  <c r="E3" i="1"/>
  <c r="E5" i="1"/>
  <c r="K4" i="1"/>
  <c r="S3" i="1"/>
  <c r="K3" i="1"/>
  <c r="S5" i="1"/>
  <c r="E6" i="1"/>
  <c r="S6" i="1"/>
  <c r="F6" i="1"/>
  <c r="J3" i="1"/>
  <c r="J4" i="1"/>
  <c r="S4" i="1"/>
  <c r="K5" i="1"/>
  <c r="K6" i="1"/>
  <c r="E4" i="1"/>
  <c r="J5" i="1"/>
  <c r="J6" i="1"/>
  <c r="F4" i="1"/>
  <c r="S7" i="1"/>
  <c r="F3" i="1"/>
  <c r="F5" i="1"/>
  <c r="G7" i="1" l="1"/>
  <c r="U10" i="1"/>
  <c r="V10" i="1" s="1"/>
  <c r="Y10" i="1" s="1"/>
  <c r="U11" i="1"/>
  <c r="V11" i="1" s="1"/>
  <c r="Y11" i="1" s="1"/>
  <c r="T4" i="1"/>
  <c r="T5" i="1"/>
  <c r="T6" i="1"/>
  <c r="T7" i="1"/>
  <c r="T3" i="1"/>
  <c r="R5" i="1"/>
  <c r="X5" i="1" s="1"/>
  <c r="R6" i="1"/>
  <c r="X6" i="1" s="1"/>
  <c r="R4" i="1"/>
  <c r="X4" i="1" s="1"/>
  <c r="X7" i="1"/>
  <c r="R3" i="1"/>
  <c r="X3" i="1" s="1"/>
  <c r="B3" i="1"/>
  <c r="B5" i="1"/>
  <c r="B4" i="1"/>
  <c r="B6" i="1"/>
  <c r="M6" i="1"/>
  <c r="H6" i="1" s="1"/>
  <c r="M5" i="1"/>
  <c r="H5" i="1" s="1"/>
  <c r="M4" i="1"/>
  <c r="M3" i="1"/>
  <c r="H3" i="1" s="1"/>
  <c r="I5" i="1"/>
  <c r="I4" i="1"/>
  <c r="I6" i="1"/>
  <c r="I7" i="1"/>
  <c r="I3" i="1"/>
  <c r="I8" i="1" l="1"/>
  <c r="B8" i="1"/>
  <c r="N7" i="1" s="1"/>
  <c r="O7" i="1" s="1"/>
  <c r="X8" i="1"/>
  <c r="R8" i="1" s="1"/>
  <c r="G3" i="1"/>
  <c r="U5" i="1"/>
  <c r="V5" i="1" s="1"/>
  <c r="Y5" i="1" s="1"/>
  <c r="U4" i="1"/>
  <c r="V4" i="1" s="1"/>
  <c r="Y4" i="1" s="1"/>
  <c r="U6" i="1"/>
  <c r="V6" i="1" s="1"/>
  <c r="Y6" i="1" s="1"/>
  <c r="U7" i="1"/>
  <c r="V7" i="1" s="1"/>
  <c r="Y7" i="1" s="1"/>
  <c r="B17" i="1" s="1"/>
  <c r="U3" i="1"/>
  <c r="V3" i="1" s="1"/>
  <c r="Y3" i="1" s="1"/>
  <c r="G6" i="1"/>
  <c r="G4" i="1"/>
  <c r="G5" i="1"/>
  <c r="G8" i="1" l="1"/>
  <c r="B14" i="1"/>
  <c r="B16" i="1"/>
  <c r="Y8" i="1"/>
  <c r="V8" i="1" s="1"/>
  <c r="B15" i="1"/>
  <c r="B13" i="1"/>
  <c r="N4" i="1"/>
  <c r="O4" i="1" s="1"/>
  <c r="N3" i="1"/>
  <c r="O3" i="1" s="1"/>
  <c r="N5" i="1"/>
  <c r="O5" i="1" s="1"/>
  <c r="N6" i="1"/>
  <c r="O6" i="1" s="1"/>
  <c r="H8" i="1" l="1"/>
  <c r="B18" i="1" s="1"/>
</calcChain>
</file>

<file path=xl/sharedStrings.xml><?xml version="1.0" encoding="utf-8"?>
<sst xmlns="http://schemas.openxmlformats.org/spreadsheetml/2006/main" count="48" uniqueCount="40">
  <si>
    <t>股票名称</t>
  </si>
  <si>
    <t>今日涨跌</t>
  </si>
  <si>
    <t>今日中证500涨跌/沪深300</t>
  </si>
  <si>
    <t>今日目标收益</t>
  </si>
  <si>
    <t>今日收益率</t>
  </si>
  <si>
    <t>今日股价</t>
  </si>
  <si>
    <t>持股数量</t>
  </si>
  <si>
    <t>相对指数涨幅</t>
  </si>
  <si>
    <t>比重</t>
  </si>
  <si>
    <t>今日率权重</t>
  </si>
  <si>
    <t>目标投资部</t>
  </si>
  <si>
    <t>中航光电</t>
  </si>
  <si>
    <t>东方国信</t>
  </si>
  <si>
    <t>积成电子</t>
  </si>
  <si>
    <t>洲际油气</t>
  </si>
  <si>
    <t>老板电器</t>
  </si>
  <si>
    <t>合计</t>
  </si>
  <si>
    <t>持仓金额</t>
    <phoneticPr fontId="1" type="noConversion"/>
  </si>
  <si>
    <t>今日持股金额</t>
    <phoneticPr fontId="1" type="noConversion"/>
  </si>
  <si>
    <t>前收盘价</t>
    <phoneticPr fontId="1" type="noConversion"/>
  </si>
  <si>
    <t>股票代码</t>
    <phoneticPr fontId="1" type="noConversion"/>
  </si>
  <si>
    <t>002179</t>
    <phoneticPr fontId="1" type="noConversion"/>
  </si>
  <si>
    <t>300166</t>
    <phoneticPr fontId="1" type="noConversion"/>
  </si>
  <si>
    <t>600759</t>
    <phoneticPr fontId="1" type="noConversion"/>
  </si>
  <si>
    <t>002508</t>
    <phoneticPr fontId="1" type="noConversion"/>
  </si>
  <si>
    <t>002339</t>
    <phoneticPr fontId="1" type="noConversion"/>
  </si>
  <si>
    <t>部门</t>
    <phoneticPr fontId="1" type="noConversion"/>
  </si>
  <si>
    <t>德润电子</t>
  </si>
  <si>
    <t>股票成本</t>
    <phoneticPr fontId="1" type="noConversion"/>
  </si>
  <si>
    <t>指数成本</t>
    <phoneticPr fontId="1" type="noConversion"/>
  </si>
  <si>
    <t>绝对收益率</t>
    <phoneticPr fontId="1" type="noConversion"/>
  </si>
  <si>
    <t>指数涨幅</t>
    <phoneticPr fontId="1" type="noConversion"/>
  </si>
  <si>
    <t>相对收益率</t>
    <phoneticPr fontId="1" type="noConversion"/>
  </si>
  <si>
    <t>最新价格</t>
    <phoneticPr fontId="1" type="noConversion"/>
  </si>
  <si>
    <t>相对指数涨幅(不套保)</t>
    <phoneticPr fontId="1" type="noConversion"/>
  </si>
  <si>
    <t>初始建仓金额</t>
    <phoneticPr fontId="1" type="noConversion"/>
  </si>
  <si>
    <t>绝对收益</t>
    <phoneticPr fontId="1" type="noConversion"/>
  </si>
  <si>
    <t>相对收益</t>
    <phoneticPr fontId="1" type="noConversion"/>
  </si>
  <si>
    <t>002055</t>
    <phoneticPr fontId="1" type="noConversion"/>
  </si>
  <si>
    <t>已卖出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</si>
</sst>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##,###,##0.0000"/>
    <numFmt numFmtId="177" formatCode="#,##0.00_ "/>
  </numFmts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color rgb="FF000000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2" borderId="0" xfId="0" applyFill="1">
      <alignment vertical="center"/>
    </xf>
    <xf numFmtId="22" fontId="0" fillId="0" borderId="1" xfId="0" applyNumberFormat="1" applyBorder="1">
      <alignment vertical="center"/>
    </xf>
    <xf numFmtId="0" fontId="0" fillId="0" borderId="1" xfId="0" applyBorder="1">
      <alignment vertical="center"/>
    </xf>
    <xf numFmtId="0" fontId="2" fillId="0" borderId="1" xfId="0" applyFont="1" applyBorder="1" applyAlignment="1">
      <alignment vertical="center" wrapText="1"/>
    </xf>
    <xf numFmtId="49" fontId="2" fillId="0" borderId="1" xfId="0" applyNumberFormat="1" applyFont="1" applyBorder="1" applyAlignment="1">
      <alignment vertical="center" wrapText="1"/>
    </xf>
    <xf numFmtId="176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0" fillId="2" borderId="1" xfId="0" applyFill="1" applyBorder="1">
      <alignment vertical="center"/>
    </xf>
    <xf numFmtId="10" fontId="2" fillId="0" borderId="1" xfId="0" applyNumberFormat="1" applyFont="1" applyBorder="1" applyAlignment="1">
      <alignment vertical="center" wrapText="1"/>
    </xf>
    <xf numFmtId="10" fontId="0" fillId="0" borderId="1" xfId="0" applyNumberFormat="1" applyBorder="1">
      <alignment vertical="center"/>
    </xf>
    <xf numFmtId="49" fontId="0" fillId="0" borderId="1" xfId="0" applyNumberFormat="1" applyBorder="1">
      <alignment vertical="center"/>
    </xf>
    <xf numFmtId="0" fontId="3" fillId="0" borderId="0" xfId="0" applyFont="1" applyAlignment="1">
      <alignment wrapText="1"/>
    </xf>
    <xf numFmtId="0" fontId="3" fillId="0" borderId="1" xfId="0" applyFont="1" applyFill="1" applyBorder="1" applyAlignment="1">
      <alignment vertical="center" wrapText="1"/>
    </xf>
    <xf numFmtId="0" fontId="3" fillId="0" borderId="0" xfId="0" applyFont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volatileDependencies.xml><?xml version="1.0" encoding="utf-8"?>
<volTypes xmlns="http://schemas.openxmlformats.org/spreadsheetml/2006/main">
  <volType type="realTimeData">
    <main first="wdf.rtq">
      <tp>
        <v>5812.54</v>
        <stp/>
        <stp>399905</stp>
        <stp>LastPrice</stp>
        <tr r="S4" s="1"/>
        <tr r="S5" s="1"/>
        <tr r="S3" s="1"/>
      </tp>
      <tp>
        <v>22.3</v>
        <stp/>
        <stp>300166</stp>
        <stp>PreClose</stp>
        <tr r="J4" s="1"/>
      </tp>
      <tp>
        <v>22.61</v>
        <stp/>
        <stp>300166</stp>
        <stp>Rt_Price</stp>
        <tr r="K4" s="1"/>
      </tp>
      <tp>
        <v>37.980000000000004</v>
        <stp/>
        <stp>002179</stp>
        <stp>PreClose</stp>
        <tr r="J3" s="1"/>
      </tp>
      <tp>
        <v>39.56</v>
        <stp/>
        <stp>002179</stp>
        <stp>Rt_Price</stp>
        <tr r="K3" s="1"/>
      </tp>
      <tp>
        <v>52.02</v>
        <stp/>
        <stp>002508</stp>
        <stp>PreClose</stp>
        <tr r="J7" s="1"/>
      </tp>
      <tp>
        <v>52.29</v>
        <stp/>
        <stp>002508</stp>
        <stp>Rt_Price</stp>
        <tr r="K7" s="1"/>
      </tp>
      <tp>
        <v>14.73</v>
        <stp/>
        <stp>002339</stp>
        <stp>PreClose</stp>
        <tr r="J5" s="1"/>
      </tp>
      <tp>
        <v>7.76</v>
        <stp/>
        <stp>600759</stp>
        <stp>PreClose</stp>
        <tr r="J6" s="1"/>
      </tp>
      <tp>
        <v>7.86</v>
        <stp/>
        <stp>600759</stp>
        <stp>Rt_Price</stp>
        <tr r="K6" s="1"/>
      </tp>
      <tp>
        <v>14.98</v>
        <stp/>
        <stp>002339</stp>
        <stp>Rt_Price</stp>
        <tr r="K5" s="1"/>
      </tp>
      <tp>
        <v>3095.31</v>
        <stp/>
        <stp>399300</stp>
        <stp>Rt_Price</stp>
        <tr r="S7" s="1"/>
        <tr r="S6" s="1"/>
      </tp>
      <tp>
        <v>1.72</v>
        <stp/>
        <stp>399905</stp>
        <stp>PctChg</stp>
        <tr r="F5" s="1"/>
        <tr r="F3" s="1"/>
        <tr r="F4" s="1"/>
      </tp>
      <tp>
        <v>0.66</v>
        <stp/>
        <stp>399300</stp>
        <stp>PctChg</stp>
        <tr r="F6" s="1"/>
        <tr r="F7" s="1"/>
      </tp>
      <tp>
        <v>1.3900000000000001</v>
        <stp/>
        <stp>300166</stp>
        <stp>PctChg</stp>
        <tr r="E4" s="1"/>
      </tp>
      <tp>
        <v>1.29</v>
        <stp/>
        <stp>600759</stp>
        <stp>PctChg</stp>
        <tr r="E6" s="1"/>
      </tp>
      <tp>
        <v>1.7000000000000002</v>
        <stp/>
        <stp>002339</stp>
        <stp>PctChg</stp>
        <tr r="E5" s="1"/>
      </tp>
      <tp>
        <v>4.16</v>
        <stp/>
        <stp>002179</stp>
        <stp>PctChg</stp>
        <tr r="E3" s="1"/>
      </tp>
      <tp>
        <v>0.52</v>
        <stp/>
        <stp>002508</stp>
        <stp>PctChg</stp>
        <tr r="E7" s="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volatileDependencies" Target="volatileDependencie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8"/>
  <sheetViews>
    <sheetView tabSelected="1" topLeftCell="A13" workbookViewId="0">
      <selection activeCell="B13" sqref="B13:B18"/>
    </sheetView>
  </sheetViews>
  <sheetFormatPr defaultRowHeight="13.5" x14ac:dyDescent="0.15"/>
  <cols>
    <col min="1" max="1" width="14.875" customWidth="1"/>
    <col min="2" max="2" width="33.125" customWidth="1"/>
    <col min="6" max="6" width="11.625" bestFit="1" customWidth="1"/>
    <col min="16" max="17" width="9.5" bestFit="1" customWidth="1"/>
    <col min="19" max="19" width="12.75" customWidth="1"/>
  </cols>
  <sheetData>
    <row r="1" spans="1:25" x14ac:dyDescent="0.15">
      <c r="A1" s="2">
        <f ca="1">TODAY()</f>
        <v>42506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spans="1:25" ht="42.75" x14ac:dyDescent="0.15">
      <c r="A2" s="4" t="s">
        <v>26</v>
      </c>
      <c r="B2" s="4" t="s">
        <v>17</v>
      </c>
      <c r="C2" s="4" t="s">
        <v>0</v>
      </c>
      <c r="D2" s="4" t="s">
        <v>20</v>
      </c>
      <c r="E2" s="4" t="s">
        <v>1</v>
      </c>
      <c r="F2" s="4" t="s">
        <v>2</v>
      </c>
      <c r="G2" s="4" t="s">
        <v>3</v>
      </c>
      <c r="H2" s="4" t="s">
        <v>4</v>
      </c>
      <c r="I2" s="4" t="s">
        <v>18</v>
      </c>
      <c r="J2" s="4" t="s">
        <v>19</v>
      </c>
      <c r="K2" s="4" t="s">
        <v>5</v>
      </c>
      <c r="L2" s="4" t="s">
        <v>6</v>
      </c>
      <c r="M2" s="4" t="s">
        <v>7</v>
      </c>
      <c r="N2" s="4" t="s">
        <v>8</v>
      </c>
      <c r="O2" s="4" t="s">
        <v>9</v>
      </c>
      <c r="P2" s="4" t="s">
        <v>28</v>
      </c>
      <c r="Q2" s="4" t="s">
        <v>29</v>
      </c>
      <c r="R2" s="4" t="s">
        <v>30</v>
      </c>
      <c r="S2" s="4" t="s">
        <v>33</v>
      </c>
      <c r="T2" s="4" t="s">
        <v>31</v>
      </c>
      <c r="U2" s="4" t="s">
        <v>34</v>
      </c>
      <c r="V2" s="4" t="s">
        <v>32</v>
      </c>
      <c r="W2" s="4" t="s">
        <v>35</v>
      </c>
      <c r="X2" s="4" t="s">
        <v>36</v>
      </c>
      <c r="Y2" s="4" t="s">
        <v>37</v>
      </c>
    </row>
    <row r="3" spans="1:25" ht="14.25" x14ac:dyDescent="0.15">
      <c r="A3" s="4" t="s">
        <v>10</v>
      </c>
      <c r="B3" s="3">
        <f>J3*L3</f>
        <v>1192572.0000000002</v>
      </c>
      <c r="C3" s="4" t="s">
        <v>11</v>
      </c>
      <c r="D3" s="5" t="s">
        <v>21</v>
      </c>
      <c r="E3" s="6">
        <f>RTD("wdf.rtq",,D3,"PctChg")</f>
        <v>4.16</v>
      </c>
      <c r="F3" s="6">
        <f>RTD("wdf.rtq",,"399905","PctChg")</f>
        <v>1.72</v>
      </c>
      <c r="G3" s="3">
        <f t="shared" ref="G3:G7" si="0">B3*H3/100</f>
        <v>29098.75680000001</v>
      </c>
      <c r="H3" s="7">
        <f>M3</f>
        <v>2.4400000000000004</v>
      </c>
      <c r="I3" s="3">
        <f>K3*L3</f>
        <v>1242184</v>
      </c>
      <c r="J3" s="6">
        <f>RTD("wdf.rtq",,"002179","PreClose")</f>
        <v>37.980000000000004</v>
      </c>
      <c r="K3" s="6">
        <f>RTD("wdf.rtq",,"002179","Rt_Price")</f>
        <v>39.56</v>
      </c>
      <c r="L3" s="4">
        <v>31400</v>
      </c>
      <c r="M3" s="7">
        <f t="shared" ref="M3:M7" si="1">E3-F3</f>
        <v>2.4400000000000004</v>
      </c>
      <c r="N3" s="3">
        <f>B3/$B$8</f>
        <v>0.15562045336295882</v>
      </c>
      <c r="O3" s="3">
        <f t="shared" ref="O3:O7" si="2">H3*N3</f>
        <v>0.37971390620561957</v>
      </c>
      <c r="P3" s="8">
        <v>33.71</v>
      </c>
      <c r="Q3" s="4">
        <v>5908.9473998488302</v>
      </c>
      <c r="R3" s="3">
        <f>(K3-P3)/P3</f>
        <v>0.17353900919608428</v>
      </c>
      <c r="S3" s="6">
        <f>RTD("wdf.rtq",,"399905","LastPrice")</f>
        <v>5812.54</v>
      </c>
      <c r="T3" s="3">
        <f>(S3-Q3)/Q3</f>
        <v>-1.6315494676987074E-2</v>
      </c>
      <c r="U3" s="3">
        <f>R3-T3</f>
        <v>0.18985450387307135</v>
      </c>
      <c r="V3" s="3">
        <f>U3</f>
        <v>0.18985450387307135</v>
      </c>
      <c r="W3" s="4">
        <v>1058400</v>
      </c>
      <c r="X3" s="3">
        <f>W3*R3</f>
        <v>183673.6873331356</v>
      </c>
      <c r="Y3" s="3">
        <f>W3*V3</f>
        <v>200942.0068992587</v>
      </c>
    </row>
    <row r="4" spans="1:25" ht="14.25" x14ac:dyDescent="0.15">
      <c r="A4" s="4" t="s">
        <v>10</v>
      </c>
      <c r="B4" s="3">
        <f>J4*L4</f>
        <v>856320</v>
      </c>
      <c r="C4" s="4" t="s">
        <v>12</v>
      </c>
      <c r="D4" s="5" t="s">
        <v>22</v>
      </c>
      <c r="E4" s="6">
        <f>RTD("wdf.rtq",,D4,"PctChg")</f>
        <v>1.3900000000000001</v>
      </c>
      <c r="F4" s="6">
        <f>RTD("wdf.rtq",,"399905","PctChg")</f>
        <v>1.72</v>
      </c>
      <c r="G4" s="3">
        <f t="shared" si="0"/>
        <v>1592.7552000000014</v>
      </c>
      <c r="H4" s="3">
        <f>M4*0.7+E4*0.3</f>
        <v>0.18600000000000017</v>
      </c>
      <c r="I4" s="3">
        <f t="shared" ref="I4:I7" si="3">K4*L4</f>
        <v>868224</v>
      </c>
      <c r="J4" s="6">
        <f>RTD("wdf.rtq",,"300166","PreClose")</f>
        <v>22.3</v>
      </c>
      <c r="K4" s="6">
        <f>RTD("wdf.rtq",,"300166","Rt_Price")</f>
        <v>22.61</v>
      </c>
      <c r="L4" s="4">
        <v>38400</v>
      </c>
      <c r="M4" s="7">
        <f t="shared" si="1"/>
        <v>-0.32999999999999985</v>
      </c>
      <c r="N4" s="3">
        <f>B4/$B$8</f>
        <v>0.11174244123102745</v>
      </c>
      <c r="O4" s="3">
        <f t="shared" si="2"/>
        <v>2.0784094068971123E-2</v>
      </c>
      <c r="P4" s="8">
        <v>21.37</v>
      </c>
      <c r="Q4" s="4">
        <v>5508.4613921785603</v>
      </c>
      <c r="R4" s="3">
        <f t="shared" ref="R4:R6" si="4">(K4-P4)/P4</f>
        <v>5.8025269068787945E-2</v>
      </c>
      <c r="S4" s="6">
        <f>RTD("wdf.rtq",,"399905","LastPrice")</f>
        <v>5812.54</v>
      </c>
      <c r="T4" s="3">
        <f t="shared" ref="T4:T7" si="5">(S4-Q4)/Q4</f>
        <v>5.520209477245306E-2</v>
      </c>
      <c r="U4" s="3">
        <f t="shared" ref="U4:U7" si="6">R4-T4</f>
        <v>2.8231742963348849E-3</v>
      </c>
      <c r="V4" s="3">
        <f>U4*0.7+R4*0.3</f>
        <v>1.9383802728070804E-2</v>
      </c>
      <c r="W4" s="4">
        <v>820608</v>
      </c>
      <c r="X4" s="3">
        <f t="shared" ref="X4:X7" si="7">W4*R4</f>
        <v>47615.999999999935</v>
      </c>
      <c r="Y4" s="3">
        <f t="shared" ref="Y4:Y7" si="8">W4*V4</f>
        <v>15906.503589076727</v>
      </c>
    </row>
    <row r="5" spans="1:25" ht="14.25" x14ac:dyDescent="0.15">
      <c r="A5" s="4" t="s">
        <v>10</v>
      </c>
      <c r="B5" s="3">
        <f>J5*L5</f>
        <v>911787</v>
      </c>
      <c r="C5" s="4" t="s">
        <v>13</v>
      </c>
      <c r="D5" s="5" t="s">
        <v>25</v>
      </c>
      <c r="E5" s="6">
        <f>RTD("wdf.rtq",,D5,"PctChg")</f>
        <v>1.7000000000000002</v>
      </c>
      <c r="F5" s="6">
        <f>RTD("wdf.rtq",,"399905","PctChg")</f>
        <v>1.72</v>
      </c>
      <c r="G5" s="3">
        <f t="shared" si="0"/>
        <v>4522.4635200000012</v>
      </c>
      <c r="H5" s="3">
        <f>E5*0.3+M5*0.7</f>
        <v>0.49600000000000016</v>
      </c>
      <c r="I5" s="3">
        <f t="shared" si="3"/>
        <v>927262</v>
      </c>
      <c r="J5" s="6">
        <f>RTD("wdf.rtq",,"002339","PreClose")</f>
        <v>14.73</v>
      </c>
      <c r="K5" s="6">
        <f>RTD("wdf.rtq",,"002339","Rt_Price")</f>
        <v>14.98</v>
      </c>
      <c r="L5" s="4">
        <v>61900</v>
      </c>
      <c r="M5" s="7">
        <f t="shared" si="1"/>
        <v>-1.9999999999999796E-2</v>
      </c>
      <c r="N5" s="3">
        <f>B5/$B$8</f>
        <v>0.118980410667408</v>
      </c>
      <c r="O5" s="3">
        <f t="shared" si="2"/>
        <v>5.901428369103439E-2</v>
      </c>
      <c r="P5" s="8">
        <v>16.28</v>
      </c>
      <c r="Q5" s="4">
        <v>5982.19</v>
      </c>
      <c r="R5" s="3">
        <f t="shared" si="4"/>
        <v>-7.9852579852579889E-2</v>
      </c>
      <c r="S5" s="6">
        <f>RTD("wdf.rtq",,"399905","LastPrice")</f>
        <v>5812.54</v>
      </c>
      <c r="T5" s="3">
        <f t="shared" si="5"/>
        <v>-2.8359179497809271E-2</v>
      </c>
      <c r="U5" s="3">
        <f t="shared" si="6"/>
        <v>-5.1493400354770617E-2</v>
      </c>
      <c r="V5" s="3">
        <f>U5*0.7+R5*0.3</f>
        <v>-6.0001154204113394E-2</v>
      </c>
      <c r="W5" s="4">
        <v>1007732</v>
      </c>
      <c r="X5" s="3">
        <f t="shared" si="7"/>
        <v>-80470.000000000029</v>
      </c>
      <c r="Y5" s="3">
        <f t="shared" si="8"/>
        <v>-60465.083128419596</v>
      </c>
    </row>
    <row r="6" spans="1:25" ht="14.25" x14ac:dyDescent="0.15">
      <c r="A6" s="4" t="s">
        <v>10</v>
      </c>
      <c r="B6" s="3">
        <f>J6*L6</f>
        <v>2168920</v>
      </c>
      <c r="C6" s="4" t="s">
        <v>14</v>
      </c>
      <c r="D6" s="5" t="s">
        <v>23</v>
      </c>
      <c r="E6" s="6">
        <f>RTD("wdf.rtq",,D6,"PctChg")</f>
        <v>1.29</v>
      </c>
      <c r="F6" s="6">
        <f>RTD("wdf.rtq",,"399300","PctChg")</f>
        <v>0.66</v>
      </c>
      <c r="G6" s="3">
        <f t="shared" si="0"/>
        <v>13664.196000000002</v>
      </c>
      <c r="H6" s="7">
        <f>M6</f>
        <v>0.63</v>
      </c>
      <c r="I6" s="3">
        <f t="shared" si="3"/>
        <v>2196870</v>
      </c>
      <c r="J6" s="6">
        <f>RTD("wdf.rtq",,"600759","PreClose")</f>
        <v>7.76</v>
      </c>
      <c r="K6" s="6">
        <f>RTD("wdf.rtq",,"600759","Rt_Price")</f>
        <v>7.86</v>
      </c>
      <c r="L6" s="4">
        <v>279500</v>
      </c>
      <c r="M6" s="7">
        <f t="shared" si="1"/>
        <v>0.63</v>
      </c>
      <c r="N6" s="3">
        <f>B6/$B$8</f>
        <v>0.28302552274243281</v>
      </c>
      <c r="O6" s="3">
        <f t="shared" si="2"/>
        <v>0.17830607932773268</v>
      </c>
      <c r="P6" s="8">
        <v>8.09</v>
      </c>
      <c r="Q6" s="4">
        <v>3153.8161992251198</v>
      </c>
      <c r="R6" s="3">
        <f t="shared" si="4"/>
        <v>-2.8430160692212551E-2</v>
      </c>
      <c r="S6" s="6">
        <f>RTD("wdf.rtq",,"399300","Rt_Price")</f>
        <v>3095.31</v>
      </c>
      <c r="T6" s="3">
        <f t="shared" si="5"/>
        <v>-1.8550922288843152E-2</v>
      </c>
      <c r="U6" s="3">
        <f t="shared" si="6"/>
        <v>-9.8792384033693989E-3</v>
      </c>
      <c r="V6" s="3">
        <f>U6</f>
        <v>-9.8792384033693989E-3</v>
      </c>
      <c r="W6" s="4">
        <v>2261155</v>
      </c>
      <c r="X6" s="3">
        <f t="shared" si="7"/>
        <v>-64284.999999999869</v>
      </c>
      <c r="Y6" s="3">
        <f t="shared" si="8"/>
        <v>-22338.489311970734</v>
      </c>
    </row>
    <row r="7" spans="1:25" ht="14.25" x14ac:dyDescent="0.15">
      <c r="A7" s="4" t="s">
        <v>10</v>
      </c>
      <c r="B7" s="3">
        <f>J7*L7</f>
        <v>2533738.14</v>
      </c>
      <c r="C7" s="4" t="s">
        <v>15</v>
      </c>
      <c r="D7" s="5" t="s">
        <v>24</v>
      </c>
      <c r="E7" s="6">
        <f>RTD("wdf.rtq",,"002508","PctChg")</f>
        <v>0.52</v>
      </c>
      <c r="F7" s="6">
        <f>RTD("wdf.rtq",,"399300","PctChg")</f>
        <v>0.66</v>
      </c>
      <c r="G7" s="3">
        <f t="shared" si="0"/>
        <v>1469.5681212</v>
      </c>
      <c r="H7" s="3">
        <f>M7*0.7+E7*0.3</f>
        <v>5.7999999999999996E-2</v>
      </c>
      <c r="I7" s="3">
        <f t="shared" si="3"/>
        <v>2546889.0299999998</v>
      </c>
      <c r="J7" s="6">
        <f>RTD("wdf.rtq",,"002508","PreClose")</f>
        <v>52.02</v>
      </c>
      <c r="K7" s="6">
        <f>RTD("wdf.rtq",,"002508","Rt_Price")</f>
        <v>52.29</v>
      </c>
      <c r="L7" s="4">
        <v>48707</v>
      </c>
      <c r="M7" s="7">
        <f t="shared" si="1"/>
        <v>-0.14000000000000001</v>
      </c>
      <c r="N7" s="3">
        <f>B7/$B$8</f>
        <v>0.33063117199617292</v>
      </c>
      <c r="O7" s="3">
        <f t="shared" si="2"/>
        <v>1.917660797577803E-2</v>
      </c>
      <c r="P7" s="17">
        <v>52.10051</v>
      </c>
      <c r="Q7" s="17">
        <v>3170.91</v>
      </c>
      <c r="R7" s="3">
        <f>(K7-P7)/P7</f>
        <v>3.637008543678349E-3</v>
      </c>
      <c r="S7" s="6">
        <f>RTD("wdf.rtq",,"399300","Rt_Price")</f>
        <v>3095.31</v>
      </c>
      <c r="T7" s="3">
        <f t="shared" si="5"/>
        <v>-2.3841736283905856E-2</v>
      </c>
      <c r="U7" s="3">
        <f t="shared" si="6"/>
        <v>2.7478744827584205E-2</v>
      </c>
      <c r="V7" s="3">
        <f>U7*0.7+R7*0.3</f>
        <v>2.0326223942412448E-2</v>
      </c>
      <c r="W7" s="9">
        <v>2034659.56</v>
      </c>
      <c r="X7" s="3">
        <f t="shared" si="7"/>
        <v>7400.0742031968302</v>
      </c>
      <c r="Y7" s="3">
        <f t="shared" si="8"/>
        <v>41356.945863130379</v>
      </c>
    </row>
    <row r="8" spans="1:25" ht="14.25" x14ac:dyDescent="0.15">
      <c r="A8" s="4" t="s">
        <v>10</v>
      </c>
      <c r="B8" s="3">
        <f>SUM(B3:B7)</f>
        <v>7663337.1400000006</v>
      </c>
      <c r="C8" s="4" t="s">
        <v>16</v>
      </c>
      <c r="D8" s="4"/>
      <c r="E8" s="3"/>
      <c r="F8" s="3"/>
      <c r="G8" s="3">
        <f>SUM(G3:G7)</f>
        <v>50347.739641200009</v>
      </c>
      <c r="H8" s="3">
        <f>SUM(O3:O7)</f>
        <v>0.65699497126913586</v>
      </c>
      <c r="I8" s="3">
        <f>SUM(I3:I7)</f>
        <v>7781429.0299999993</v>
      </c>
      <c r="J8" s="3"/>
      <c r="K8" s="3"/>
      <c r="L8" s="3"/>
      <c r="M8" s="3"/>
      <c r="N8" s="3"/>
      <c r="O8" s="3"/>
      <c r="P8" s="3"/>
      <c r="Q8" s="3"/>
      <c r="R8" s="3">
        <f>X8/W8</f>
        <v>2.977527303421694E-2</v>
      </c>
      <c r="S8" s="3"/>
      <c r="T8" s="3"/>
      <c r="U8" s="3"/>
      <c r="V8" s="3">
        <f>Y8/W8</f>
        <v>3.4615154738599885E-2</v>
      </c>
      <c r="W8" s="3">
        <f>SUM(W3:W7)</f>
        <v>7182554.5600000005</v>
      </c>
      <c r="X8" s="3">
        <f>SUM(X3:X7)+X10+X11</f>
        <v>213862.52310715994</v>
      </c>
      <c r="Y8" s="3">
        <f>SUM(Y3:Y7)+Y10+Y11</f>
        <v>248625.2375128362</v>
      </c>
    </row>
    <row r="9" spans="1:25" s="1" customFormat="1" ht="14.25" x14ac:dyDescent="0.15">
      <c r="A9" s="10" t="s">
        <v>39</v>
      </c>
      <c r="B9" s="11"/>
      <c r="C9" s="10"/>
      <c r="D9" s="10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</row>
    <row r="10" spans="1:25" ht="14.25" x14ac:dyDescent="0.15">
      <c r="A10" s="4" t="s">
        <v>10</v>
      </c>
      <c r="B10" s="4">
        <v>698820</v>
      </c>
      <c r="C10" s="4" t="s">
        <v>27</v>
      </c>
      <c r="D10" s="5" t="s">
        <v>38</v>
      </c>
      <c r="E10" s="3"/>
      <c r="F10" s="3"/>
      <c r="G10" s="3"/>
      <c r="H10" s="3"/>
      <c r="I10" s="3"/>
      <c r="J10" s="3"/>
      <c r="K10" s="3">
        <v>32</v>
      </c>
      <c r="L10" s="4">
        <v>24500</v>
      </c>
      <c r="M10" s="3"/>
      <c r="N10" s="3"/>
      <c r="O10" s="3"/>
      <c r="P10" s="4">
        <v>28.52</v>
      </c>
      <c r="Q10" s="9">
        <v>5865.9853368964796</v>
      </c>
      <c r="R10" s="3">
        <f>(K10-P10)/P10</f>
        <v>0.12201963534361852</v>
      </c>
      <c r="S10" s="16">
        <v>6283.08</v>
      </c>
      <c r="T10" s="12">
        <f>(S10-Q10)/Q10</f>
        <v>7.110393892054849E-2</v>
      </c>
      <c r="U10" s="13">
        <f>R10-T10</f>
        <v>5.0915696423070034E-2</v>
      </c>
      <c r="V10" s="3">
        <f>U10*0.7+R10*0.3</f>
        <v>7.2246878099234579E-2</v>
      </c>
      <c r="W10" s="4">
        <v>698820</v>
      </c>
      <c r="X10" s="3">
        <f>B10*R10</f>
        <v>85269.761570827497</v>
      </c>
      <c r="Y10" s="3">
        <f>B10*V10</f>
        <v>50487.563353307109</v>
      </c>
    </row>
    <row r="11" spans="1:25" ht="14.25" x14ac:dyDescent="0.15">
      <c r="A11" s="4" t="s">
        <v>10</v>
      </c>
      <c r="B11" s="4">
        <v>183782</v>
      </c>
      <c r="C11" s="4" t="s">
        <v>12</v>
      </c>
      <c r="D11" s="14">
        <v>300166</v>
      </c>
      <c r="E11" s="3"/>
      <c r="F11" s="3"/>
      <c r="G11" s="3"/>
      <c r="H11" s="3"/>
      <c r="I11" s="3"/>
      <c r="J11" s="3"/>
      <c r="K11" s="3">
        <v>25.4</v>
      </c>
      <c r="L11" s="4">
        <v>8600</v>
      </c>
      <c r="M11" s="3"/>
      <c r="N11" s="3"/>
      <c r="O11" s="3"/>
      <c r="P11" s="4">
        <v>21.37</v>
      </c>
      <c r="Q11" s="3">
        <v>5508.4613921785603</v>
      </c>
      <c r="R11" s="3">
        <f>(K11-P11)/P11</f>
        <v>0.18858212447356096</v>
      </c>
      <c r="S11" s="9">
        <v>6018.95</v>
      </c>
      <c r="T11" s="12">
        <f>(S11-Q11)/Q11</f>
        <v>9.2673538303505221E-2</v>
      </c>
      <c r="U11" s="13">
        <f>R11-T11</f>
        <v>9.5908586170055737E-2</v>
      </c>
      <c r="V11" s="3">
        <f>U11*0.7+R11*0.3</f>
        <v>0.1237106476611073</v>
      </c>
      <c r="W11" s="4">
        <v>183782</v>
      </c>
      <c r="X11" s="3">
        <f>B11*R11</f>
        <v>34657.999999999978</v>
      </c>
      <c r="Y11" s="3">
        <f>B11*V11</f>
        <v>22735.790248453621</v>
      </c>
    </row>
    <row r="13" spans="1:25" ht="129.75" customHeight="1" x14ac:dyDescent="0.15">
      <c r="B13" s="15" t="str">
        <f ca="1">MONTH(NOW())&amp;"月"&amp;DAY(NOW())&amp;"日"&amp;CHAR(10)&amp;"今日目标收益："&amp;ROUND(G3,0)&amp;"元"&amp;CHAR(10)&amp;"累计目标收益："&amp;ROUND(Y3,0)&amp;"元"&amp;CHAR(10)&amp;"今日收益率:"&amp;ROUND(H3,2)&amp;"%"&amp;CHAR(10)&amp;"累计收益率："&amp;ROUND(V3*100,2)&amp;"%"&amp;CHAR(10)&amp;"股票名称："&amp;C3&amp;""&amp;CHAR(10)&amp;"持仓金额:"&amp;ROUND(I3/10000,0)&amp;"万"</f>
        <v>5月16日
今日目标收益：29099元
累计目标收益：200942元
今日收益率:2.44%
累计收益率：18.99%
股票名称：中航光电
持仓金额:124万</v>
      </c>
    </row>
    <row r="14" spans="1:25" ht="94.5" x14ac:dyDescent="0.15">
      <c r="B14" s="15" t="str">
        <f ca="1">MONTH(NOW())&amp;"月"&amp;DAY(NOW())&amp;"日"&amp;CHAR(10)&amp;"今日目标收益："&amp;ROUND(G4,0)&amp;"元"&amp;CHAR(10)&amp;"累计目标收益："&amp;ROUND(Y4,0)&amp;"元"&amp;CHAR(10)&amp;"今日收益率:"&amp;ROUND(H4,2)&amp;"%"&amp;CHAR(10)&amp;"累计收益率："&amp;ROUND(V4*100,2)&amp;"%"&amp;CHAR(10)&amp;"股票名称："&amp;C4&amp;""&amp;CHAR(10)&amp;"持仓金额:"&amp;ROUND(I4/10000,0)&amp;"万"</f>
        <v>5月16日
今日目标收益：1593元
累计目标收益：15907元
今日收益率:0.19%
累计收益率：1.94%
股票名称：东方国信
持仓金额:87万</v>
      </c>
    </row>
    <row r="15" spans="1:25" ht="94.5" x14ac:dyDescent="0.15">
      <c r="B15" s="15" t="str">
        <f ca="1">MONTH(NOW())&amp;"月"&amp;DAY(NOW())&amp;"日"&amp;CHAR(10)&amp;"今日目标收益："&amp;ROUND(G5,0)&amp;"元"&amp;CHAR(10)&amp;"累计目标收益："&amp;ROUND(Y5,0)&amp;"元"&amp;CHAR(10)&amp;"今日收益率:"&amp;ROUND(H5,2)&amp;"%"&amp;CHAR(10)&amp;"累计收益率："&amp;ROUND(V5*100,2)&amp;"%"&amp;CHAR(10)&amp;"股票名称："&amp;C5&amp;""&amp;CHAR(10)&amp;"持仓金额:"&amp;ROUND(I5/10000,0)&amp;"万"</f>
        <v>5月16日
今日目标收益：4522元
累计目标收益：-60465元
今日收益率:0.5%
累计收益率：-6%
股票名称：积成电子
持仓金额:93万</v>
      </c>
    </row>
    <row r="16" spans="1:25" ht="94.5" x14ac:dyDescent="0.15">
      <c r="B16" s="15" t="str">
        <f ca="1">MONTH(NOW())&amp;"月"&amp;DAY(NOW())&amp;"日"&amp;CHAR(10)&amp;"今日目标收益："&amp;ROUND(G6,0)&amp;"元"&amp;CHAR(10)&amp;"累计目标收益："&amp;ROUND(Y6,0)&amp;"元"&amp;CHAR(10)&amp;"今日收益率:"&amp;ROUND(H6,2)&amp;"%"&amp;CHAR(10)&amp;"累计收益率："&amp;ROUND(V6*100,2)&amp;"%"&amp;CHAR(10)&amp;"股票名称："&amp;C6&amp;""&amp;CHAR(10)&amp;"持仓金额:"&amp;ROUND(I6/10000,0)&amp;"万"</f>
        <v>5月16日
今日目标收益：13664元
累计目标收益：-22338元
今日收益率:0.63%
累计收益率：-0.99%
股票名称：洲际油气
持仓金额:220万</v>
      </c>
    </row>
    <row r="17" spans="2:2" ht="94.5" x14ac:dyDescent="0.15">
      <c r="B17" s="15" t="str">
        <f ca="1">MONTH(NOW())&amp;"月"&amp;DAY(NOW())&amp;"日"&amp;CHAR(10)&amp;"今日目标收益："&amp;ROUND(G7,0)&amp;"元"&amp;CHAR(10)&amp;"累计目标收益："&amp;ROUND(Y7,0)&amp;"元"&amp;CHAR(10)&amp;"今日收益率:"&amp;ROUND(H7,2)&amp;"%"&amp;CHAR(10)&amp;"累计收益率："&amp;ROUND(V7*100,2)&amp;"%"&amp;CHAR(10)&amp;"股票名称："&amp;C7&amp;""&amp;CHAR(10)&amp;"持仓金额:"&amp;ROUND(I7/10000,0)&amp;"万"</f>
        <v>5月16日
今日目标收益：1470元
累计目标收益：41357元
今日收益率:0.06%
累计收益率：2.03%
股票名称：老板电器
持仓金额:255万</v>
      </c>
    </row>
    <row r="18" spans="2:2" ht="94.5" x14ac:dyDescent="0.15">
      <c r="B18" s="15" t="str">
        <f t="shared" ref="B18" ca="1" si="9">MONTH(NOW())&amp;"月"&amp;DAY(NOW())&amp;"日"&amp;CHAR(10)&amp;"今日目标收益："&amp;ROUND(G8,0)&amp;"元"&amp;CHAR(10)&amp;"累计目标收益："&amp;ROUND(Y8,0)&amp;"元"&amp;CHAR(10)&amp;"今日收益率:"&amp;ROUND(H8,2)&amp;"%"&amp;CHAR(10)&amp;"累计收益率："&amp;ROUND(V8*100,2)&amp;"%"&amp;CHAR(10)&amp;"股票名称："&amp;C8&amp;""&amp;CHAR(10)&amp;"持仓金额:"&amp;ROUND(I8/10000,0)&amp;"万"</f>
        <v>5月16日
今日目标收益：50348元
累计目标收益：248625元
今日收益率:0.66%
累计收益率：3.46%
股票名称：合计
持仓金额:778万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China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2016-05-10T05:52:29Z</dcterms:created>
  <dcterms:modified xsi:type="dcterms:W3CDTF">2016-05-16T07:07:48Z</dcterms:modified>
</cp:coreProperties>
</file>