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mportData\交割单\"/>
    </mc:Choice>
  </mc:AlternateContent>
  <bookViews>
    <workbookView xWindow="0" yWindow="0" windowWidth="28800" windowHeight="12585"/>
  </bookViews>
  <sheets>
    <sheet name="交割单--中银信用" sheetId="1" r:id="rId1"/>
  </sheets>
  <calcPr calcId="152511"/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A2" i="1"/>
  <c r="B2" i="1"/>
  <c r="C2" i="1"/>
  <c r="D2" i="1"/>
  <c r="E2" i="1"/>
  <c r="K2" i="1"/>
  <c r="L2" i="1"/>
  <c r="M2" i="1"/>
  <c r="N2" i="1"/>
  <c r="O2" i="1"/>
  <c r="V2" i="1"/>
  <c r="A3" i="1"/>
  <c r="B3" i="1"/>
  <c r="C3" i="1"/>
  <c r="D3" i="1"/>
  <c r="E3" i="1"/>
  <c r="K3" i="1"/>
  <c r="L3" i="1"/>
  <c r="M3" i="1"/>
  <c r="N3" i="1"/>
  <c r="O3" i="1"/>
  <c r="V3" i="1"/>
  <c r="A4" i="1"/>
  <c r="B4" i="1"/>
  <c r="C4" i="1"/>
  <c r="D4" i="1"/>
  <c r="E4" i="1"/>
  <c r="K4" i="1"/>
  <c r="L4" i="1"/>
  <c r="M4" i="1"/>
  <c r="N4" i="1"/>
  <c r="O4" i="1"/>
  <c r="V4" i="1"/>
  <c r="A5" i="1"/>
  <c r="B5" i="1"/>
  <c r="C5" i="1"/>
  <c r="D5" i="1"/>
  <c r="E5" i="1"/>
  <c r="K5" i="1"/>
  <c r="L5" i="1"/>
  <c r="M5" i="1"/>
  <c r="N5" i="1"/>
  <c r="O5" i="1"/>
  <c r="V5" i="1"/>
  <c r="A6" i="1"/>
  <c r="B6" i="1"/>
  <c r="C6" i="1"/>
  <c r="D6" i="1"/>
  <c r="E6" i="1"/>
  <c r="K6" i="1"/>
  <c r="L6" i="1"/>
  <c r="M6" i="1"/>
  <c r="N6" i="1"/>
  <c r="O6" i="1"/>
  <c r="V6" i="1"/>
  <c r="A7" i="1"/>
  <c r="B7" i="1"/>
  <c r="C7" i="1"/>
  <c r="D7" i="1"/>
  <c r="E7" i="1"/>
  <c r="K7" i="1"/>
  <c r="L7" i="1"/>
  <c r="M7" i="1"/>
  <c r="N7" i="1"/>
  <c r="O7" i="1"/>
  <c r="V7" i="1"/>
  <c r="A8" i="1"/>
  <c r="B8" i="1"/>
  <c r="C8" i="1"/>
  <c r="D8" i="1"/>
  <c r="E8" i="1"/>
  <c r="K8" i="1"/>
  <c r="L8" i="1"/>
  <c r="M8" i="1"/>
  <c r="N8" i="1"/>
  <c r="O8" i="1"/>
  <c r="V8" i="1"/>
  <c r="A9" i="1"/>
  <c r="B9" i="1"/>
  <c r="C9" i="1"/>
  <c r="D9" i="1"/>
  <c r="E9" i="1"/>
  <c r="K9" i="1"/>
  <c r="L9" i="1"/>
  <c r="M9" i="1"/>
  <c r="N9" i="1"/>
  <c r="O9" i="1"/>
  <c r="V9" i="1"/>
  <c r="A10" i="1"/>
  <c r="B10" i="1"/>
  <c r="C10" i="1"/>
  <c r="D10" i="1"/>
  <c r="E10" i="1"/>
  <c r="K10" i="1"/>
  <c r="L10" i="1"/>
  <c r="M10" i="1"/>
  <c r="N10" i="1"/>
  <c r="O10" i="1"/>
  <c r="V10" i="1"/>
  <c r="A11" i="1"/>
  <c r="B11" i="1"/>
  <c r="C11" i="1"/>
  <c r="D11" i="1"/>
  <c r="E11" i="1"/>
  <c r="K11" i="1"/>
  <c r="L11" i="1"/>
  <c r="M11" i="1"/>
  <c r="N11" i="1"/>
  <c r="O11" i="1"/>
  <c r="V11" i="1"/>
  <c r="A12" i="1"/>
  <c r="B12" i="1"/>
  <c r="C12" i="1"/>
  <c r="D12" i="1"/>
  <c r="E12" i="1"/>
  <c r="K12" i="1"/>
  <c r="L12" i="1"/>
  <c r="M12" i="1"/>
  <c r="N12" i="1"/>
  <c r="O12" i="1"/>
  <c r="V12" i="1"/>
  <c r="A13" i="1"/>
  <c r="B13" i="1"/>
  <c r="C13" i="1"/>
  <c r="D13" i="1"/>
  <c r="E13" i="1"/>
  <c r="K13" i="1"/>
  <c r="L13" i="1"/>
  <c r="M13" i="1"/>
  <c r="N13" i="1"/>
  <c r="O13" i="1"/>
  <c r="V13" i="1"/>
  <c r="A14" i="1"/>
  <c r="B14" i="1"/>
  <c r="C14" i="1"/>
  <c r="D14" i="1"/>
  <c r="E14" i="1"/>
  <c r="K14" i="1"/>
  <c r="L14" i="1"/>
  <c r="M14" i="1"/>
  <c r="N14" i="1"/>
  <c r="O14" i="1"/>
  <c r="V14" i="1"/>
  <c r="A15" i="1"/>
  <c r="B15" i="1"/>
  <c r="C15" i="1"/>
  <c r="D15" i="1"/>
  <c r="E15" i="1"/>
  <c r="K15" i="1"/>
  <c r="L15" i="1"/>
  <c r="M15" i="1"/>
  <c r="N15" i="1"/>
  <c r="O15" i="1"/>
  <c r="V15" i="1"/>
  <c r="A16" i="1"/>
  <c r="B16" i="1"/>
  <c r="C16" i="1"/>
  <c r="D16" i="1"/>
  <c r="E16" i="1"/>
  <c r="K16" i="1"/>
  <c r="L16" i="1"/>
  <c r="M16" i="1"/>
  <c r="N16" i="1"/>
  <c r="O16" i="1"/>
  <c r="V16" i="1"/>
  <c r="A17" i="1"/>
  <c r="B17" i="1"/>
  <c r="C17" i="1"/>
  <c r="D17" i="1"/>
  <c r="E17" i="1"/>
  <c r="K17" i="1"/>
  <c r="L17" i="1"/>
  <c r="M17" i="1"/>
  <c r="N17" i="1"/>
  <c r="O17" i="1"/>
  <c r="V17" i="1"/>
  <c r="A18" i="1"/>
  <c r="B18" i="1"/>
  <c r="C18" i="1"/>
  <c r="D18" i="1"/>
  <c r="E18" i="1"/>
  <c r="K18" i="1"/>
  <c r="L18" i="1"/>
  <c r="M18" i="1"/>
  <c r="N18" i="1"/>
  <c r="O18" i="1"/>
  <c r="V18" i="1"/>
  <c r="A19" i="1"/>
  <c r="B19" i="1"/>
  <c r="C19" i="1"/>
  <c r="D19" i="1"/>
  <c r="E19" i="1"/>
  <c r="K19" i="1"/>
  <c r="L19" i="1"/>
  <c r="M19" i="1"/>
  <c r="N19" i="1"/>
  <c r="O19" i="1"/>
  <c r="V19" i="1"/>
  <c r="A20" i="1"/>
  <c r="B20" i="1"/>
  <c r="C20" i="1"/>
  <c r="D20" i="1"/>
  <c r="E20" i="1"/>
  <c r="K20" i="1"/>
  <c r="L20" i="1"/>
  <c r="M20" i="1"/>
  <c r="N20" i="1"/>
  <c r="O20" i="1"/>
  <c r="V20" i="1"/>
  <c r="A21" i="1"/>
  <c r="B21" i="1"/>
  <c r="C21" i="1"/>
  <c r="D21" i="1"/>
  <c r="E21" i="1"/>
  <c r="K21" i="1"/>
  <c r="L21" i="1"/>
  <c r="M21" i="1"/>
  <c r="N21" i="1"/>
  <c r="O21" i="1"/>
  <c r="V21" i="1"/>
  <c r="A22" i="1"/>
  <c r="B22" i="1"/>
  <c r="C22" i="1"/>
  <c r="D22" i="1"/>
  <c r="E22" i="1"/>
  <c r="K22" i="1"/>
  <c r="L22" i="1"/>
  <c r="M22" i="1"/>
  <c r="N22" i="1"/>
  <c r="O22" i="1"/>
  <c r="V22" i="1"/>
  <c r="A23" i="1"/>
  <c r="B23" i="1"/>
  <c r="C23" i="1"/>
  <c r="D23" i="1"/>
  <c r="E23" i="1"/>
  <c r="K23" i="1"/>
  <c r="L23" i="1"/>
  <c r="M23" i="1"/>
  <c r="N23" i="1"/>
  <c r="O23" i="1"/>
  <c r="V23" i="1"/>
  <c r="A24" i="1"/>
  <c r="B24" i="1"/>
  <c r="C24" i="1"/>
  <c r="D24" i="1"/>
  <c r="E24" i="1"/>
  <c r="K24" i="1"/>
  <c r="L24" i="1"/>
  <c r="M24" i="1"/>
  <c r="N24" i="1"/>
  <c r="O24" i="1"/>
  <c r="V24" i="1"/>
  <c r="A25" i="1"/>
  <c r="B25" i="1"/>
  <c r="C25" i="1"/>
  <c r="D25" i="1"/>
  <c r="E25" i="1"/>
  <c r="K25" i="1"/>
  <c r="L25" i="1"/>
  <c r="M25" i="1"/>
  <c r="N25" i="1"/>
  <c r="O25" i="1"/>
  <c r="V25" i="1"/>
  <c r="A26" i="1"/>
  <c r="B26" i="1"/>
  <c r="C26" i="1"/>
  <c r="D26" i="1"/>
  <c r="E26" i="1"/>
  <c r="K26" i="1"/>
  <c r="L26" i="1"/>
  <c r="M26" i="1"/>
  <c r="N26" i="1"/>
  <c r="O26" i="1"/>
  <c r="V26" i="1"/>
  <c r="A27" i="1"/>
  <c r="B27" i="1"/>
  <c r="C27" i="1"/>
  <c r="D27" i="1"/>
  <c r="E27" i="1"/>
  <c r="K27" i="1"/>
  <c r="L27" i="1"/>
  <c r="M27" i="1"/>
  <c r="N27" i="1"/>
  <c r="O27" i="1"/>
  <c r="V27" i="1"/>
  <c r="A28" i="1"/>
  <c r="B28" i="1"/>
  <c r="C28" i="1"/>
  <c r="D28" i="1"/>
  <c r="E28" i="1"/>
  <c r="K28" i="1"/>
  <c r="L28" i="1"/>
  <c r="M28" i="1"/>
  <c r="N28" i="1"/>
  <c r="O28" i="1"/>
  <c r="V28" i="1"/>
  <c r="A29" i="1"/>
  <c r="B29" i="1"/>
  <c r="C29" i="1"/>
  <c r="D29" i="1"/>
  <c r="E29" i="1"/>
  <c r="K29" i="1"/>
  <c r="L29" i="1"/>
  <c r="M29" i="1"/>
  <c r="N29" i="1"/>
  <c r="O29" i="1"/>
  <c r="V29" i="1"/>
  <c r="A30" i="1"/>
  <c r="B30" i="1"/>
  <c r="C30" i="1"/>
  <c r="D30" i="1"/>
  <c r="E30" i="1"/>
  <c r="K30" i="1"/>
  <c r="L30" i="1"/>
  <c r="M30" i="1"/>
  <c r="N30" i="1"/>
  <c r="O30" i="1"/>
  <c r="V30" i="1"/>
  <c r="A31" i="1"/>
  <c r="B31" i="1"/>
  <c r="C31" i="1"/>
  <c r="D31" i="1"/>
  <c r="E31" i="1"/>
  <c r="K31" i="1"/>
  <c r="L31" i="1"/>
  <c r="M31" i="1"/>
  <c r="N31" i="1"/>
  <c r="O31" i="1"/>
  <c r="V31" i="1"/>
  <c r="A32" i="1"/>
  <c r="B32" i="1"/>
  <c r="C32" i="1"/>
  <c r="D32" i="1"/>
  <c r="E32" i="1"/>
  <c r="K32" i="1"/>
  <c r="L32" i="1"/>
  <c r="M32" i="1"/>
  <c r="N32" i="1"/>
  <c r="O32" i="1"/>
  <c r="V32" i="1"/>
  <c r="A33" i="1"/>
  <c r="B33" i="1"/>
  <c r="C33" i="1"/>
  <c r="D33" i="1"/>
  <c r="E33" i="1"/>
  <c r="K33" i="1"/>
  <c r="L33" i="1"/>
  <c r="M33" i="1"/>
  <c r="N33" i="1"/>
  <c r="O33" i="1"/>
  <c r="V33" i="1"/>
  <c r="A34" i="1"/>
  <c r="B34" i="1"/>
  <c r="C34" i="1"/>
  <c r="D34" i="1"/>
  <c r="E34" i="1"/>
  <c r="K34" i="1"/>
  <c r="L34" i="1"/>
  <c r="M34" i="1"/>
  <c r="N34" i="1"/>
  <c r="O34" i="1"/>
  <c r="V34" i="1"/>
  <c r="A35" i="1"/>
  <c r="B35" i="1"/>
  <c r="C35" i="1"/>
  <c r="D35" i="1"/>
  <c r="E35" i="1"/>
  <c r="K35" i="1"/>
  <c r="L35" i="1"/>
  <c r="M35" i="1"/>
  <c r="N35" i="1"/>
  <c r="O35" i="1"/>
  <c r="V35" i="1"/>
  <c r="A36" i="1"/>
  <c r="B36" i="1"/>
  <c r="C36" i="1"/>
  <c r="D36" i="1"/>
  <c r="E36" i="1"/>
  <c r="K36" i="1"/>
  <c r="L36" i="1"/>
  <c r="M36" i="1"/>
  <c r="N36" i="1"/>
  <c r="O36" i="1"/>
  <c r="V36" i="1"/>
  <c r="A37" i="1"/>
  <c r="B37" i="1"/>
  <c r="C37" i="1"/>
  <c r="D37" i="1"/>
  <c r="E37" i="1"/>
  <c r="K37" i="1"/>
  <c r="L37" i="1"/>
  <c r="M37" i="1"/>
  <c r="N37" i="1"/>
  <c r="O37" i="1"/>
  <c r="V37" i="1"/>
  <c r="A38" i="1"/>
  <c r="B38" i="1"/>
  <c r="C38" i="1"/>
  <c r="D38" i="1"/>
  <c r="E38" i="1"/>
  <c r="K38" i="1"/>
  <c r="L38" i="1"/>
  <c r="M38" i="1"/>
  <c r="N38" i="1"/>
  <c r="O38" i="1"/>
  <c r="V38" i="1"/>
  <c r="A39" i="1"/>
  <c r="B39" i="1"/>
  <c r="C39" i="1"/>
  <c r="D39" i="1"/>
  <c r="E39" i="1"/>
  <c r="K39" i="1"/>
  <c r="L39" i="1"/>
  <c r="M39" i="1"/>
  <c r="N39" i="1"/>
  <c r="O39" i="1"/>
  <c r="V39" i="1"/>
  <c r="A40" i="1"/>
  <c r="B40" i="1"/>
  <c r="C40" i="1"/>
  <c r="D40" i="1"/>
  <c r="E40" i="1"/>
  <c r="K40" i="1"/>
  <c r="L40" i="1"/>
  <c r="M40" i="1"/>
  <c r="N40" i="1"/>
  <c r="O40" i="1"/>
  <c r="V40" i="1"/>
  <c r="A41" i="1"/>
  <c r="B41" i="1"/>
  <c r="C41" i="1"/>
  <c r="D41" i="1"/>
  <c r="E41" i="1"/>
  <c r="K41" i="1"/>
  <c r="L41" i="1"/>
  <c r="M41" i="1"/>
  <c r="N41" i="1"/>
  <c r="O41" i="1"/>
  <c r="V41" i="1"/>
  <c r="A42" i="1"/>
  <c r="B42" i="1"/>
  <c r="C42" i="1"/>
  <c r="D42" i="1"/>
  <c r="E42" i="1"/>
  <c r="K42" i="1"/>
  <c r="L42" i="1"/>
  <c r="M42" i="1"/>
  <c r="N42" i="1"/>
  <c r="O42" i="1"/>
  <c r="V42" i="1"/>
  <c r="A43" i="1"/>
  <c r="B43" i="1"/>
  <c r="C43" i="1"/>
  <c r="D43" i="1"/>
  <c r="E43" i="1"/>
  <c r="K43" i="1"/>
  <c r="L43" i="1"/>
  <c r="M43" i="1"/>
  <c r="N43" i="1"/>
  <c r="O43" i="1"/>
  <c r="V43" i="1"/>
  <c r="A44" i="1"/>
  <c r="B44" i="1"/>
  <c r="C44" i="1"/>
  <c r="D44" i="1"/>
  <c r="E44" i="1"/>
  <c r="K44" i="1"/>
  <c r="L44" i="1"/>
  <c r="M44" i="1"/>
  <c r="N44" i="1"/>
  <c r="O44" i="1"/>
  <c r="V44" i="1"/>
  <c r="A45" i="1"/>
  <c r="B45" i="1"/>
  <c r="C45" i="1"/>
  <c r="D45" i="1"/>
  <c r="E45" i="1"/>
  <c r="K45" i="1"/>
  <c r="L45" i="1"/>
  <c r="M45" i="1"/>
  <c r="N45" i="1"/>
  <c r="O45" i="1"/>
  <c r="V45" i="1"/>
  <c r="A46" i="1"/>
  <c r="B46" i="1"/>
  <c r="C46" i="1"/>
  <c r="D46" i="1"/>
  <c r="E46" i="1"/>
  <c r="K46" i="1"/>
  <c r="L46" i="1"/>
  <c r="M46" i="1"/>
  <c r="N46" i="1"/>
  <c r="O46" i="1"/>
  <c r="V46" i="1"/>
  <c r="A47" i="1"/>
  <c r="B47" i="1"/>
  <c r="C47" i="1"/>
  <c r="D47" i="1"/>
  <c r="E47" i="1"/>
  <c r="K47" i="1"/>
  <c r="L47" i="1"/>
  <c r="M47" i="1"/>
  <c r="N47" i="1"/>
  <c r="O47" i="1"/>
  <c r="V47" i="1"/>
  <c r="A48" i="1"/>
  <c r="B48" i="1"/>
  <c r="C48" i="1"/>
  <c r="D48" i="1"/>
  <c r="E48" i="1"/>
  <c r="K48" i="1"/>
  <c r="L48" i="1"/>
  <c r="M48" i="1"/>
  <c r="N48" i="1"/>
  <c r="O48" i="1"/>
  <c r="V48" i="1"/>
  <c r="A49" i="1"/>
  <c r="B49" i="1"/>
  <c r="C49" i="1"/>
  <c r="D49" i="1"/>
  <c r="E49" i="1"/>
  <c r="K49" i="1"/>
  <c r="L49" i="1"/>
  <c r="M49" i="1"/>
  <c r="N49" i="1"/>
  <c r="O49" i="1"/>
  <c r="V49" i="1"/>
  <c r="A50" i="1"/>
  <c r="B50" i="1"/>
  <c r="C50" i="1"/>
  <c r="D50" i="1"/>
  <c r="E50" i="1"/>
  <c r="K50" i="1"/>
  <c r="L50" i="1"/>
  <c r="M50" i="1"/>
  <c r="N50" i="1"/>
  <c r="O50" i="1"/>
  <c r="V50" i="1"/>
  <c r="A51" i="1"/>
  <c r="B51" i="1"/>
  <c r="C51" i="1"/>
  <c r="D51" i="1"/>
  <c r="E51" i="1"/>
  <c r="K51" i="1"/>
  <c r="L51" i="1"/>
  <c r="M51" i="1"/>
  <c r="N51" i="1"/>
  <c r="O51" i="1"/>
  <c r="V51" i="1"/>
  <c r="A52" i="1"/>
  <c r="B52" i="1"/>
  <c r="C52" i="1"/>
  <c r="D52" i="1"/>
  <c r="E52" i="1"/>
  <c r="K52" i="1"/>
  <c r="L52" i="1"/>
  <c r="M52" i="1"/>
  <c r="N52" i="1"/>
  <c r="O52" i="1"/>
  <c r="V52" i="1"/>
  <c r="A53" i="1"/>
  <c r="B53" i="1"/>
  <c r="C53" i="1"/>
  <c r="D53" i="1"/>
  <c r="E53" i="1"/>
  <c r="K53" i="1"/>
  <c r="L53" i="1"/>
  <c r="M53" i="1"/>
  <c r="N53" i="1"/>
  <c r="O53" i="1"/>
  <c r="V53" i="1"/>
  <c r="A54" i="1"/>
  <c r="B54" i="1"/>
  <c r="C54" i="1"/>
  <c r="D54" i="1"/>
  <c r="E54" i="1"/>
  <c r="K54" i="1"/>
  <c r="L54" i="1"/>
  <c r="M54" i="1"/>
  <c r="N54" i="1"/>
  <c r="O54" i="1"/>
  <c r="V54" i="1"/>
  <c r="A55" i="1"/>
  <c r="B55" i="1"/>
  <c r="C55" i="1"/>
  <c r="D55" i="1"/>
  <c r="E55" i="1"/>
  <c r="K55" i="1"/>
  <c r="L55" i="1"/>
  <c r="M55" i="1"/>
  <c r="N55" i="1"/>
  <c r="O55" i="1"/>
  <c r="V55" i="1"/>
  <c r="A56" i="1"/>
  <c r="B56" i="1"/>
  <c r="C56" i="1"/>
  <c r="D56" i="1"/>
  <c r="E56" i="1"/>
  <c r="K56" i="1"/>
  <c r="L56" i="1"/>
  <c r="M56" i="1"/>
  <c r="N56" i="1"/>
  <c r="O56" i="1"/>
  <c r="V56" i="1"/>
  <c r="A57" i="1"/>
  <c r="B57" i="1"/>
  <c r="C57" i="1"/>
  <c r="D57" i="1"/>
  <c r="E57" i="1"/>
  <c r="K57" i="1"/>
  <c r="L57" i="1"/>
  <c r="M57" i="1"/>
  <c r="N57" i="1"/>
  <c r="O57" i="1"/>
  <c r="V57" i="1"/>
  <c r="A58" i="1"/>
  <c r="B58" i="1"/>
  <c r="C58" i="1"/>
  <c r="D58" i="1"/>
  <c r="E58" i="1"/>
  <c r="K58" i="1"/>
  <c r="L58" i="1"/>
  <c r="M58" i="1"/>
  <c r="N58" i="1"/>
  <c r="O58" i="1"/>
  <c r="V58" i="1"/>
  <c r="A59" i="1"/>
  <c r="B59" i="1"/>
  <c r="C59" i="1"/>
  <c r="D59" i="1"/>
  <c r="E59" i="1"/>
  <c r="K59" i="1"/>
  <c r="L59" i="1"/>
  <c r="M59" i="1"/>
  <c r="N59" i="1"/>
  <c r="O59" i="1"/>
  <c r="V59" i="1"/>
  <c r="A60" i="1"/>
  <c r="B60" i="1"/>
  <c r="C60" i="1"/>
  <c r="D60" i="1"/>
  <c r="E60" i="1"/>
  <c r="K60" i="1"/>
  <c r="L60" i="1"/>
  <c r="M60" i="1"/>
  <c r="N60" i="1"/>
  <c r="O60" i="1"/>
  <c r="V60" i="1"/>
  <c r="A61" i="1"/>
  <c r="B61" i="1"/>
  <c r="C61" i="1"/>
  <c r="D61" i="1"/>
  <c r="E61" i="1"/>
  <c r="K61" i="1"/>
  <c r="L61" i="1"/>
  <c r="M61" i="1"/>
  <c r="N61" i="1"/>
  <c r="O61" i="1"/>
  <c r="V61" i="1"/>
  <c r="A62" i="1"/>
  <c r="B62" i="1"/>
  <c r="C62" i="1"/>
  <c r="D62" i="1"/>
  <c r="E62" i="1"/>
  <c r="K62" i="1"/>
  <c r="L62" i="1"/>
  <c r="M62" i="1"/>
  <c r="N62" i="1"/>
  <c r="O62" i="1"/>
  <c r="V62" i="1"/>
  <c r="A63" i="1"/>
  <c r="B63" i="1"/>
  <c r="C63" i="1"/>
  <c r="D63" i="1"/>
  <c r="E63" i="1"/>
  <c r="K63" i="1"/>
  <c r="L63" i="1"/>
  <c r="M63" i="1"/>
  <c r="N63" i="1"/>
  <c r="O63" i="1"/>
  <c r="V63" i="1"/>
  <c r="A64" i="1"/>
  <c r="B64" i="1"/>
  <c r="C64" i="1"/>
  <c r="D64" i="1"/>
  <c r="E64" i="1"/>
  <c r="K64" i="1"/>
  <c r="L64" i="1"/>
  <c r="M64" i="1"/>
  <c r="N64" i="1"/>
  <c r="O64" i="1"/>
  <c r="V64" i="1"/>
  <c r="A65" i="1"/>
  <c r="B65" i="1"/>
  <c r="C65" i="1"/>
  <c r="D65" i="1"/>
  <c r="E65" i="1"/>
  <c r="K65" i="1"/>
  <c r="L65" i="1"/>
  <c r="M65" i="1"/>
  <c r="N65" i="1"/>
  <c r="O65" i="1"/>
  <c r="V65" i="1"/>
  <c r="A66" i="1"/>
  <c r="B66" i="1"/>
  <c r="C66" i="1"/>
  <c r="D66" i="1"/>
  <c r="E66" i="1"/>
  <c r="K66" i="1"/>
  <c r="L66" i="1"/>
  <c r="M66" i="1"/>
  <c r="N66" i="1"/>
  <c r="O66" i="1"/>
  <c r="V66" i="1"/>
  <c r="A67" i="1"/>
  <c r="B67" i="1"/>
  <c r="C67" i="1"/>
  <c r="D67" i="1"/>
  <c r="E67" i="1"/>
  <c r="K67" i="1"/>
  <c r="L67" i="1"/>
  <c r="M67" i="1"/>
  <c r="N67" i="1"/>
  <c r="O67" i="1"/>
  <c r="V67" i="1"/>
  <c r="A68" i="1"/>
  <c r="B68" i="1"/>
  <c r="C68" i="1"/>
  <c r="D68" i="1"/>
  <c r="E68" i="1"/>
  <c r="K68" i="1"/>
  <c r="L68" i="1"/>
  <c r="M68" i="1"/>
  <c r="N68" i="1"/>
  <c r="O68" i="1"/>
  <c r="V68" i="1"/>
  <c r="A69" i="1"/>
  <c r="B69" i="1"/>
  <c r="C69" i="1"/>
  <c r="D69" i="1"/>
  <c r="E69" i="1"/>
  <c r="K69" i="1"/>
  <c r="L69" i="1"/>
  <c r="M69" i="1"/>
  <c r="N69" i="1"/>
  <c r="O69" i="1"/>
  <c r="V69" i="1"/>
  <c r="A70" i="1"/>
  <c r="B70" i="1"/>
  <c r="C70" i="1"/>
  <c r="D70" i="1"/>
  <c r="E70" i="1"/>
  <c r="K70" i="1"/>
  <c r="L70" i="1"/>
  <c r="M70" i="1"/>
  <c r="N70" i="1"/>
  <c r="O70" i="1"/>
  <c r="V70" i="1"/>
  <c r="A71" i="1"/>
  <c r="B71" i="1"/>
  <c r="C71" i="1"/>
  <c r="D71" i="1"/>
  <c r="E71" i="1"/>
  <c r="K71" i="1"/>
  <c r="L71" i="1"/>
  <c r="M71" i="1"/>
  <c r="N71" i="1"/>
  <c r="O71" i="1"/>
  <c r="V71" i="1"/>
  <c r="A72" i="1"/>
  <c r="B72" i="1"/>
  <c r="C72" i="1"/>
  <c r="D72" i="1"/>
  <c r="E72" i="1"/>
  <c r="K72" i="1"/>
  <c r="L72" i="1"/>
  <c r="M72" i="1"/>
  <c r="N72" i="1"/>
  <c r="O72" i="1"/>
  <c r="V72" i="1"/>
  <c r="A73" i="1"/>
  <c r="B73" i="1"/>
  <c r="C73" i="1"/>
  <c r="D73" i="1"/>
  <c r="E73" i="1"/>
  <c r="K73" i="1"/>
  <c r="L73" i="1"/>
  <c r="M73" i="1"/>
  <c r="N73" i="1"/>
  <c r="O73" i="1"/>
  <c r="V73" i="1"/>
  <c r="A74" i="1"/>
  <c r="B74" i="1"/>
  <c r="C74" i="1"/>
  <c r="D74" i="1"/>
  <c r="E74" i="1"/>
  <c r="K74" i="1"/>
  <c r="L74" i="1"/>
  <c r="M74" i="1"/>
  <c r="N74" i="1"/>
  <c r="O74" i="1"/>
  <c r="V74" i="1"/>
  <c r="A75" i="1"/>
  <c r="B75" i="1"/>
  <c r="C75" i="1"/>
  <c r="D75" i="1"/>
  <c r="E75" i="1"/>
  <c r="K75" i="1"/>
  <c r="L75" i="1"/>
  <c r="M75" i="1"/>
  <c r="N75" i="1"/>
  <c r="O75" i="1"/>
  <c r="V75" i="1"/>
  <c r="A76" i="1"/>
  <c r="B76" i="1"/>
  <c r="C76" i="1"/>
  <c r="D76" i="1"/>
  <c r="E76" i="1"/>
  <c r="K76" i="1"/>
  <c r="L76" i="1"/>
  <c r="M76" i="1"/>
  <c r="N76" i="1"/>
  <c r="O76" i="1"/>
  <c r="V76" i="1"/>
  <c r="A77" i="1"/>
  <c r="B77" i="1"/>
  <c r="C77" i="1"/>
  <c r="D77" i="1"/>
  <c r="E77" i="1"/>
  <c r="K77" i="1"/>
  <c r="L77" i="1"/>
  <c r="M77" i="1"/>
  <c r="N77" i="1"/>
  <c r="O77" i="1"/>
  <c r="V77" i="1"/>
  <c r="A78" i="1"/>
  <c r="B78" i="1"/>
  <c r="C78" i="1"/>
  <c r="D78" i="1"/>
  <c r="E78" i="1"/>
  <c r="K78" i="1"/>
  <c r="L78" i="1"/>
  <c r="M78" i="1"/>
  <c r="N78" i="1"/>
  <c r="O78" i="1"/>
  <c r="V78" i="1"/>
  <c r="A79" i="1"/>
  <c r="B79" i="1"/>
  <c r="C79" i="1"/>
  <c r="D79" i="1"/>
  <c r="E79" i="1"/>
  <c r="K79" i="1"/>
  <c r="L79" i="1"/>
  <c r="M79" i="1"/>
  <c r="N79" i="1"/>
  <c r="O79" i="1"/>
  <c r="V79" i="1"/>
  <c r="A80" i="1"/>
  <c r="B80" i="1"/>
  <c r="C80" i="1"/>
  <c r="D80" i="1"/>
  <c r="E80" i="1"/>
  <c r="K80" i="1"/>
  <c r="L80" i="1"/>
  <c r="M80" i="1"/>
  <c r="N80" i="1"/>
  <c r="O80" i="1"/>
  <c r="V80" i="1"/>
  <c r="A81" i="1"/>
  <c r="B81" i="1"/>
  <c r="C81" i="1"/>
  <c r="D81" i="1"/>
  <c r="E81" i="1"/>
  <c r="K81" i="1"/>
  <c r="L81" i="1"/>
  <c r="M81" i="1"/>
  <c r="N81" i="1"/>
  <c r="O81" i="1"/>
  <c r="V81" i="1"/>
  <c r="A82" i="1"/>
  <c r="B82" i="1"/>
  <c r="C82" i="1"/>
  <c r="D82" i="1"/>
  <c r="E82" i="1"/>
  <c r="K82" i="1"/>
  <c r="L82" i="1"/>
  <c r="M82" i="1"/>
  <c r="N82" i="1"/>
  <c r="O82" i="1"/>
  <c r="V82" i="1"/>
  <c r="A83" i="1"/>
  <c r="B83" i="1"/>
  <c r="C83" i="1"/>
  <c r="D83" i="1"/>
  <c r="E83" i="1"/>
  <c r="K83" i="1"/>
  <c r="L83" i="1"/>
  <c r="M83" i="1"/>
  <c r="N83" i="1"/>
  <c r="O83" i="1"/>
  <c r="V83" i="1"/>
  <c r="A84" i="1"/>
  <c r="B84" i="1"/>
  <c r="C84" i="1"/>
  <c r="D84" i="1"/>
  <c r="E84" i="1"/>
  <c r="K84" i="1"/>
  <c r="L84" i="1"/>
  <c r="M84" i="1"/>
  <c r="N84" i="1"/>
  <c r="O84" i="1"/>
  <c r="V84" i="1"/>
  <c r="A85" i="1"/>
  <c r="B85" i="1"/>
  <c r="C85" i="1"/>
  <c r="D85" i="1"/>
  <c r="E85" i="1"/>
  <c r="K85" i="1"/>
  <c r="L85" i="1"/>
  <c r="M85" i="1"/>
  <c r="N85" i="1"/>
  <c r="O85" i="1"/>
  <c r="V85" i="1"/>
  <c r="A86" i="1"/>
  <c r="B86" i="1"/>
  <c r="C86" i="1"/>
  <c r="D86" i="1"/>
  <c r="E86" i="1"/>
  <c r="K86" i="1"/>
  <c r="L86" i="1"/>
  <c r="M86" i="1"/>
  <c r="N86" i="1"/>
  <c r="O86" i="1"/>
  <c r="V86" i="1"/>
  <c r="A87" i="1"/>
  <c r="B87" i="1"/>
  <c r="C87" i="1"/>
  <c r="D87" i="1"/>
  <c r="E87" i="1"/>
  <c r="K87" i="1"/>
  <c r="L87" i="1"/>
  <c r="M87" i="1"/>
  <c r="N87" i="1"/>
  <c r="O87" i="1"/>
  <c r="V87" i="1"/>
  <c r="A88" i="1"/>
  <c r="B88" i="1"/>
  <c r="C88" i="1"/>
  <c r="D88" i="1"/>
  <c r="E88" i="1"/>
  <c r="K88" i="1"/>
  <c r="L88" i="1"/>
  <c r="M88" i="1"/>
  <c r="N88" i="1"/>
  <c r="O88" i="1"/>
  <c r="V88" i="1"/>
  <c r="A89" i="1"/>
  <c r="B89" i="1"/>
  <c r="C89" i="1"/>
  <c r="D89" i="1"/>
  <c r="E89" i="1"/>
  <c r="K89" i="1"/>
  <c r="L89" i="1"/>
  <c r="M89" i="1"/>
  <c r="N89" i="1"/>
  <c r="O89" i="1"/>
  <c r="V89" i="1"/>
  <c r="A90" i="1"/>
  <c r="B90" i="1"/>
  <c r="C90" i="1"/>
  <c r="D90" i="1"/>
  <c r="E90" i="1"/>
  <c r="K90" i="1"/>
  <c r="L90" i="1"/>
  <c r="M90" i="1"/>
  <c r="N90" i="1"/>
  <c r="O90" i="1"/>
  <c r="V90" i="1"/>
  <c r="A91" i="1"/>
  <c r="B91" i="1"/>
  <c r="C91" i="1"/>
  <c r="D91" i="1"/>
  <c r="E91" i="1"/>
  <c r="K91" i="1"/>
  <c r="L91" i="1"/>
  <c r="M91" i="1"/>
  <c r="N91" i="1"/>
  <c r="O91" i="1"/>
  <c r="V91" i="1"/>
  <c r="A92" i="1"/>
  <c r="B92" i="1"/>
  <c r="C92" i="1"/>
  <c r="D92" i="1"/>
  <c r="E92" i="1"/>
  <c r="K92" i="1"/>
  <c r="L92" i="1"/>
  <c r="M92" i="1"/>
  <c r="N92" i="1"/>
  <c r="O92" i="1"/>
  <c r="V92" i="1"/>
  <c r="A93" i="1"/>
  <c r="B93" i="1"/>
  <c r="C93" i="1"/>
  <c r="D93" i="1"/>
  <c r="E93" i="1"/>
  <c r="K93" i="1"/>
  <c r="L93" i="1"/>
  <c r="M93" i="1"/>
  <c r="N93" i="1"/>
  <c r="O93" i="1"/>
  <c r="V93" i="1"/>
  <c r="A94" i="1"/>
  <c r="B94" i="1"/>
  <c r="C94" i="1"/>
  <c r="D94" i="1"/>
  <c r="E94" i="1"/>
  <c r="K94" i="1"/>
  <c r="L94" i="1"/>
  <c r="M94" i="1"/>
  <c r="N94" i="1"/>
  <c r="O94" i="1"/>
  <c r="V94" i="1"/>
  <c r="A95" i="1"/>
  <c r="B95" i="1"/>
  <c r="C95" i="1"/>
  <c r="D95" i="1"/>
  <c r="E95" i="1"/>
  <c r="K95" i="1"/>
  <c r="L95" i="1"/>
  <c r="M95" i="1"/>
  <c r="N95" i="1"/>
  <c r="O95" i="1"/>
  <c r="V95" i="1"/>
  <c r="A96" i="1"/>
  <c r="B96" i="1"/>
  <c r="C96" i="1"/>
  <c r="D96" i="1"/>
  <c r="E96" i="1"/>
  <c r="K96" i="1"/>
  <c r="L96" i="1"/>
  <c r="M96" i="1"/>
  <c r="N96" i="1"/>
  <c r="O96" i="1"/>
  <c r="V96" i="1"/>
  <c r="A97" i="1"/>
  <c r="B97" i="1"/>
  <c r="C97" i="1"/>
  <c r="D97" i="1"/>
  <c r="E97" i="1"/>
  <c r="K97" i="1"/>
  <c r="L97" i="1"/>
  <c r="M97" i="1"/>
  <c r="N97" i="1"/>
  <c r="O97" i="1"/>
  <c r="V97" i="1"/>
  <c r="A98" i="1"/>
  <c r="B98" i="1"/>
  <c r="C98" i="1"/>
  <c r="D98" i="1"/>
  <c r="E98" i="1"/>
  <c r="K98" i="1"/>
  <c r="L98" i="1"/>
  <c r="M98" i="1"/>
  <c r="N98" i="1"/>
  <c r="O98" i="1"/>
  <c r="V98" i="1"/>
  <c r="A99" i="1"/>
  <c r="B99" i="1"/>
  <c r="C99" i="1"/>
  <c r="D99" i="1"/>
  <c r="E99" i="1"/>
  <c r="K99" i="1"/>
  <c r="L99" i="1"/>
  <c r="M99" i="1"/>
  <c r="N99" i="1"/>
  <c r="O99" i="1"/>
  <c r="V99" i="1"/>
  <c r="A100" i="1"/>
  <c r="B100" i="1"/>
  <c r="C100" i="1"/>
  <c r="D100" i="1"/>
  <c r="E100" i="1"/>
  <c r="K100" i="1"/>
  <c r="L100" i="1"/>
  <c r="M100" i="1"/>
  <c r="N100" i="1"/>
  <c r="O100" i="1"/>
  <c r="V100" i="1"/>
  <c r="A101" i="1"/>
  <c r="B101" i="1"/>
  <c r="C101" i="1"/>
  <c r="D101" i="1"/>
  <c r="E101" i="1"/>
  <c r="K101" i="1"/>
  <c r="L101" i="1"/>
  <c r="M101" i="1"/>
  <c r="N101" i="1"/>
  <c r="O101" i="1"/>
  <c r="V101" i="1"/>
  <c r="A102" i="1"/>
  <c r="B102" i="1"/>
  <c r="C102" i="1"/>
  <c r="D102" i="1"/>
  <c r="E102" i="1"/>
  <c r="K102" i="1"/>
  <c r="L102" i="1"/>
  <c r="M102" i="1"/>
  <c r="N102" i="1"/>
  <c r="O102" i="1"/>
  <c r="V102" i="1"/>
  <c r="A103" i="1"/>
  <c r="B103" i="1"/>
  <c r="C103" i="1"/>
  <c r="D103" i="1"/>
  <c r="E103" i="1"/>
  <c r="K103" i="1"/>
  <c r="L103" i="1"/>
  <c r="M103" i="1"/>
  <c r="N103" i="1"/>
  <c r="O103" i="1"/>
  <c r="V103" i="1"/>
  <c r="A104" i="1"/>
  <c r="B104" i="1"/>
  <c r="C104" i="1"/>
  <c r="D104" i="1"/>
  <c r="E104" i="1"/>
  <c r="K104" i="1"/>
  <c r="L104" i="1"/>
  <c r="M104" i="1"/>
  <c r="N104" i="1"/>
  <c r="O104" i="1"/>
  <c r="V104" i="1"/>
  <c r="A105" i="1"/>
  <c r="B105" i="1"/>
  <c r="C105" i="1"/>
  <c r="D105" i="1"/>
  <c r="E105" i="1"/>
  <c r="K105" i="1"/>
  <c r="L105" i="1"/>
  <c r="M105" i="1"/>
  <c r="N105" i="1"/>
  <c r="O105" i="1"/>
  <c r="V105" i="1"/>
  <c r="A106" i="1"/>
  <c r="B106" i="1"/>
  <c r="C106" i="1"/>
  <c r="D106" i="1"/>
  <c r="E106" i="1"/>
  <c r="K106" i="1"/>
  <c r="L106" i="1"/>
  <c r="M106" i="1"/>
  <c r="N106" i="1"/>
  <c r="O106" i="1"/>
  <c r="V106" i="1"/>
  <c r="A107" i="1"/>
  <c r="B107" i="1"/>
  <c r="C107" i="1"/>
  <c r="D107" i="1"/>
  <c r="E107" i="1"/>
  <c r="K107" i="1"/>
  <c r="L107" i="1"/>
  <c r="M107" i="1"/>
  <c r="N107" i="1"/>
  <c r="O107" i="1"/>
  <c r="V10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/>
  </sheetViews>
  <sheetFormatPr defaultRowHeight="13.5" x14ac:dyDescent="0.15"/>
  <sheetData>
    <row r="1" spans="1:22" x14ac:dyDescent="0.15">
      <c r="A1" t="str">
        <f>"发生日期"</f>
        <v>发生日期</v>
      </c>
      <c r="B1" t="str">
        <f>"成交时间"</f>
        <v>成交时间</v>
      </c>
      <c r="C1" t="str">
        <f>"证券代码"</f>
        <v>证券代码</v>
      </c>
      <c r="D1" t="str">
        <f>"证券名称"</f>
        <v>证券名称</v>
      </c>
      <c r="E1" t="str">
        <f>"买卖标志"</f>
        <v>买卖标志</v>
      </c>
      <c r="F1" t="str">
        <f>"成交数量"</f>
        <v>成交数量</v>
      </c>
      <c r="G1" t="str">
        <f>"成交价格"</f>
        <v>成交价格</v>
      </c>
      <c r="H1" t="str">
        <f>"成交金额"</f>
        <v>成交金额</v>
      </c>
      <c r="I1" t="str">
        <f>"发生金额"</f>
        <v>发生金额</v>
      </c>
      <c r="J1" t="str">
        <f>"剩余金额"</f>
        <v>剩余金额</v>
      </c>
      <c r="K1" t="str">
        <f>"申报序号"</f>
        <v>申报序号</v>
      </c>
      <c r="L1" t="str">
        <f>"股东代码"</f>
        <v>股东代码</v>
      </c>
      <c r="M1" t="str">
        <f>"席位代码"</f>
        <v>席位代码</v>
      </c>
      <c r="N1" t="str">
        <f>"委托编号"</f>
        <v>委托编号</v>
      </c>
      <c r="O1" t="str">
        <f>"成交编号"</f>
        <v>成交编号</v>
      </c>
      <c r="P1" t="str">
        <f>"证券数量"</f>
        <v>证券数量</v>
      </c>
      <c r="Q1" t="str">
        <f>"佣金"</f>
        <v>佣金</v>
      </c>
      <c r="R1" t="str">
        <f>"印花税"</f>
        <v>印花税</v>
      </c>
      <c r="S1" t="str">
        <f>"过户费"</f>
        <v>过户费</v>
      </c>
      <c r="T1" t="str">
        <f>"交易征费"</f>
        <v>交易征费</v>
      </c>
      <c r="U1" t="str">
        <f>"交易规费"</f>
        <v>交易规费</v>
      </c>
      <c r="V1" t="str">
        <f>"备注"</f>
        <v>备注</v>
      </c>
    </row>
    <row r="2" spans="1:22" x14ac:dyDescent="0.15">
      <c r="A2" t="str">
        <f t="shared" ref="A2:A12" si="0">"20160401"</f>
        <v>20160401</v>
      </c>
      <c r="B2" t="str">
        <f>"09:58:51"</f>
        <v>09:58:51</v>
      </c>
      <c r="C2" t="str">
        <f t="shared" ref="C2:C38" si="1">"300306"</f>
        <v>300306</v>
      </c>
      <c r="D2" t="str">
        <f t="shared" ref="D2:D38" si="2">"远方光电"</f>
        <v>远方光电</v>
      </c>
      <c r="E2" t="str">
        <f>"卖出"</f>
        <v>卖出</v>
      </c>
      <c r="F2">
        <v>-13500</v>
      </c>
      <c r="G2">
        <v>20.84</v>
      </c>
      <c r="H2">
        <v>281340</v>
      </c>
      <c r="I2">
        <v>280974.25</v>
      </c>
      <c r="J2">
        <v>283225.88</v>
      </c>
      <c r="K2" t="str">
        <f>"344"</f>
        <v>344</v>
      </c>
      <c r="L2" t="str">
        <f t="shared" ref="L2:L38" si="3">"0602813665"</f>
        <v>0602813665</v>
      </c>
      <c r="M2" t="str">
        <f t="shared" ref="M2:M38" si="4">"391448"</f>
        <v>391448</v>
      </c>
      <c r="N2" t="str">
        <f>"344"</f>
        <v>344</v>
      </c>
      <c r="O2" t="str">
        <f>"5656171"</f>
        <v>5656171</v>
      </c>
      <c r="P2">
        <v>301474</v>
      </c>
      <c r="Q2">
        <v>84.4</v>
      </c>
      <c r="R2">
        <v>281.35000000000002</v>
      </c>
      <c r="S2">
        <v>0</v>
      </c>
      <c r="T2">
        <v>0</v>
      </c>
      <c r="U2">
        <v>0</v>
      </c>
      <c r="V2" t="str">
        <f>"证券卖出"</f>
        <v>证券卖出</v>
      </c>
    </row>
    <row r="3" spans="1:22" x14ac:dyDescent="0.15">
      <c r="A3" t="str">
        <f t="shared" si="0"/>
        <v>20160401</v>
      </c>
      <c r="B3" t="str">
        <f>"10:12:06"</f>
        <v>10:12:06</v>
      </c>
      <c r="C3" t="str">
        <f t="shared" si="1"/>
        <v>300306</v>
      </c>
      <c r="D3" t="str">
        <f t="shared" si="2"/>
        <v>远方光电</v>
      </c>
      <c r="E3" t="str">
        <f>"卖出"</f>
        <v>卖出</v>
      </c>
      <c r="F3">
        <v>-20200</v>
      </c>
      <c r="G3">
        <v>21.306000000000001</v>
      </c>
      <c r="H3">
        <v>430380</v>
      </c>
      <c r="I3">
        <v>429820.51</v>
      </c>
      <c r="J3">
        <v>713046.39</v>
      </c>
      <c r="K3" t="str">
        <f>"436"</f>
        <v>436</v>
      </c>
      <c r="L3" t="str">
        <f t="shared" si="3"/>
        <v>0602813665</v>
      </c>
      <c r="M3" t="str">
        <f t="shared" si="4"/>
        <v>391448</v>
      </c>
      <c r="N3" t="str">
        <f>"436"</f>
        <v>436</v>
      </c>
      <c r="O3" t="str">
        <f>"7421398"</f>
        <v>7421398</v>
      </c>
      <c r="P3">
        <v>281274</v>
      </c>
      <c r="Q3">
        <v>129.11000000000001</v>
      </c>
      <c r="R3">
        <v>430.38</v>
      </c>
      <c r="S3">
        <v>0</v>
      </c>
      <c r="T3">
        <v>0</v>
      </c>
      <c r="U3">
        <v>0</v>
      </c>
      <c r="V3" t="str">
        <f>"证券卖出"</f>
        <v>证券卖出</v>
      </c>
    </row>
    <row r="4" spans="1:22" x14ac:dyDescent="0.15">
      <c r="A4" t="str">
        <f t="shared" si="0"/>
        <v>20160401</v>
      </c>
      <c r="B4" t="str">
        <f>"10:24:00"</f>
        <v>10:24:00</v>
      </c>
      <c r="C4" t="str">
        <f t="shared" si="1"/>
        <v>300306</v>
      </c>
      <c r="D4" t="str">
        <f t="shared" si="2"/>
        <v>远方光电</v>
      </c>
      <c r="E4" t="str">
        <f>"买入"</f>
        <v>买入</v>
      </c>
      <c r="F4">
        <v>13700</v>
      </c>
      <c r="G4">
        <v>21.137</v>
      </c>
      <c r="H4">
        <v>289582</v>
      </c>
      <c r="I4">
        <v>-289668.87</v>
      </c>
      <c r="J4">
        <v>423377.52</v>
      </c>
      <c r="K4" t="str">
        <f>"513"</f>
        <v>513</v>
      </c>
      <c r="L4" t="str">
        <f t="shared" si="3"/>
        <v>0602813665</v>
      </c>
      <c r="M4" t="str">
        <f t="shared" si="4"/>
        <v>391448</v>
      </c>
      <c r="N4" t="str">
        <f>"513"</f>
        <v>513</v>
      </c>
      <c r="O4" t="str">
        <f>"8632901"</f>
        <v>8632901</v>
      </c>
      <c r="P4">
        <v>294974</v>
      </c>
      <c r="Q4">
        <v>86.87</v>
      </c>
      <c r="R4">
        <v>0</v>
      </c>
      <c r="S4">
        <v>0</v>
      </c>
      <c r="T4">
        <v>0</v>
      </c>
      <c r="U4">
        <v>0</v>
      </c>
      <c r="V4" t="str">
        <f>"证券买入"</f>
        <v>证券买入</v>
      </c>
    </row>
    <row r="5" spans="1:22" x14ac:dyDescent="0.15">
      <c r="A5" t="str">
        <f t="shared" si="0"/>
        <v>20160401</v>
      </c>
      <c r="B5" t="str">
        <f>"10:24:18"</f>
        <v>10:24:18</v>
      </c>
      <c r="C5" t="str">
        <f t="shared" si="1"/>
        <v>300306</v>
      </c>
      <c r="D5" t="str">
        <f t="shared" si="2"/>
        <v>远方光电</v>
      </c>
      <c r="E5" t="str">
        <f>"买入"</f>
        <v>买入</v>
      </c>
      <c r="F5">
        <v>6500</v>
      </c>
      <c r="G5">
        <v>21.11</v>
      </c>
      <c r="H5">
        <v>137215</v>
      </c>
      <c r="I5">
        <v>-137256.16</v>
      </c>
      <c r="J5">
        <v>286121.36</v>
      </c>
      <c r="K5" t="str">
        <f>"509"</f>
        <v>509</v>
      </c>
      <c r="L5" t="str">
        <f t="shared" si="3"/>
        <v>0602813665</v>
      </c>
      <c r="M5" t="str">
        <f t="shared" si="4"/>
        <v>391448</v>
      </c>
      <c r="N5" t="str">
        <f>"509"</f>
        <v>509</v>
      </c>
      <c r="O5" t="str">
        <f>"9070223"</f>
        <v>9070223</v>
      </c>
      <c r="P5">
        <v>301474</v>
      </c>
      <c r="Q5">
        <v>41.16</v>
      </c>
      <c r="R5">
        <v>0</v>
      </c>
      <c r="S5">
        <v>0</v>
      </c>
      <c r="T5">
        <v>0</v>
      </c>
      <c r="U5">
        <v>0</v>
      </c>
      <c r="V5" t="str">
        <f>"证券买入"</f>
        <v>证券买入</v>
      </c>
    </row>
    <row r="6" spans="1:22" x14ac:dyDescent="0.15">
      <c r="A6" t="str">
        <f t="shared" si="0"/>
        <v>20160401</v>
      </c>
      <c r="B6" t="str">
        <f>"11:14:35"</f>
        <v>11:14:35</v>
      </c>
      <c r="C6" t="str">
        <f t="shared" si="1"/>
        <v>300306</v>
      </c>
      <c r="D6" t="str">
        <f t="shared" si="2"/>
        <v>远方光电</v>
      </c>
      <c r="E6" t="str">
        <f>"买入"</f>
        <v>买入</v>
      </c>
      <c r="F6">
        <v>3500</v>
      </c>
      <c r="G6">
        <v>20.75</v>
      </c>
      <c r="H6">
        <v>72625</v>
      </c>
      <c r="I6">
        <v>-72646.789999999994</v>
      </c>
      <c r="J6">
        <v>213474.57</v>
      </c>
      <c r="K6" t="str">
        <f>"733"</f>
        <v>733</v>
      </c>
      <c r="L6" t="str">
        <f t="shared" si="3"/>
        <v>0602813665</v>
      </c>
      <c r="M6" t="str">
        <f t="shared" si="4"/>
        <v>391448</v>
      </c>
      <c r="N6" t="str">
        <f>"733"</f>
        <v>733</v>
      </c>
      <c r="O6" t="str">
        <f>"13396901"</f>
        <v>13396901</v>
      </c>
      <c r="P6">
        <v>304974</v>
      </c>
      <c r="Q6">
        <v>21.79</v>
      </c>
      <c r="R6">
        <v>0</v>
      </c>
      <c r="S6">
        <v>0</v>
      </c>
      <c r="T6">
        <v>0</v>
      </c>
      <c r="U6">
        <v>0</v>
      </c>
      <c r="V6" t="str">
        <f>"证券买入"</f>
        <v>证券买入</v>
      </c>
    </row>
    <row r="7" spans="1:22" x14ac:dyDescent="0.15">
      <c r="A7" t="str">
        <f t="shared" si="0"/>
        <v>20160401</v>
      </c>
      <c r="B7" t="str">
        <f>"11:15:07"</f>
        <v>11:15:07</v>
      </c>
      <c r="C7" t="str">
        <f t="shared" si="1"/>
        <v>300306</v>
      </c>
      <c r="D7" t="str">
        <f t="shared" si="2"/>
        <v>远方光电</v>
      </c>
      <c r="E7" t="str">
        <f>"买入"</f>
        <v>买入</v>
      </c>
      <c r="F7">
        <v>10000</v>
      </c>
      <c r="G7">
        <v>20.75</v>
      </c>
      <c r="H7">
        <v>207500</v>
      </c>
      <c r="I7">
        <v>-207562.25</v>
      </c>
      <c r="J7">
        <v>5912.32</v>
      </c>
      <c r="K7" t="str">
        <f>"740"</f>
        <v>740</v>
      </c>
      <c r="L7" t="str">
        <f t="shared" si="3"/>
        <v>0602813665</v>
      </c>
      <c r="M7" t="str">
        <f t="shared" si="4"/>
        <v>391448</v>
      </c>
      <c r="N7" t="str">
        <f>"740"</f>
        <v>740</v>
      </c>
      <c r="O7" t="str">
        <f>"13487972"</f>
        <v>13487972</v>
      </c>
      <c r="P7">
        <v>314974</v>
      </c>
      <c r="Q7">
        <v>62.25</v>
      </c>
      <c r="R7">
        <v>0</v>
      </c>
      <c r="S7">
        <v>0</v>
      </c>
      <c r="T7">
        <v>0</v>
      </c>
      <c r="U7">
        <v>0</v>
      </c>
      <c r="V7" t="str">
        <f>"证券买入"</f>
        <v>证券买入</v>
      </c>
    </row>
    <row r="8" spans="1:22" x14ac:dyDescent="0.15">
      <c r="A8" t="str">
        <f t="shared" si="0"/>
        <v>20160401</v>
      </c>
      <c r="B8" t="str">
        <f>"13:53:31"</f>
        <v>13:53:31</v>
      </c>
      <c r="C8" t="str">
        <f t="shared" si="1"/>
        <v>300306</v>
      </c>
      <c r="D8" t="str">
        <f t="shared" si="2"/>
        <v>远方光电</v>
      </c>
      <c r="E8" t="str">
        <f>"卖出"</f>
        <v>卖出</v>
      </c>
      <c r="F8">
        <v>-46200</v>
      </c>
      <c r="G8">
        <v>20.841999999999999</v>
      </c>
      <c r="H8">
        <v>962891</v>
      </c>
      <c r="I8">
        <v>961639.23</v>
      </c>
      <c r="J8">
        <v>967551.55</v>
      </c>
      <c r="K8" t="str">
        <f>"982"</f>
        <v>982</v>
      </c>
      <c r="L8" t="str">
        <f t="shared" si="3"/>
        <v>0602813665</v>
      </c>
      <c r="M8" t="str">
        <f t="shared" si="4"/>
        <v>391448</v>
      </c>
      <c r="N8" t="str">
        <f>"982"</f>
        <v>982</v>
      </c>
      <c r="O8" t="str">
        <f>"18928360"</f>
        <v>18928360</v>
      </c>
      <c r="P8">
        <v>268774</v>
      </c>
      <c r="Q8">
        <v>288.87</v>
      </c>
      <c r="R8">
        <v>962.9</v>
      </c>
      <c r="S8">
        <v>0</v>
      </c>
      <c r="T8">
        <v>0</v>
      </c>
      <c r="U8">
        <v>0</v>
      </c>
      <c r="V8" t="str">
        <f>"证券卖出"</f>
        <v>证券卖出</v>
      </c>
    </row>
    <row r="9" spans="1:22" x14ac:dyDescent="0.15">
      <c r="A9" t="str">
        <f t="shared" si="0"/>
        <v>20160401</v>
      </c>
      <c r="B9" t="str">
        <f>"13:59:54"</f>
        <v>13:59:54</v>
      </c>
      <c r="C9" t="str">
        <f t="shared" si="1"/>
        <v>300306</v>
      </c>
      <c r="D9" t="str">
        <f t="shared" si="2"/>
        <v>远方光电</v>
      </c>
      <c r="E9" t="str">
        <f>"卖出"</f>
        <v>卖出</v>
      </c>
      <c r="F9">
        <v>-3800</v>
      </c>
      <c r="G9">
        <v>20.84</v>
      </c>
      <c r="H9">
        <v>79192</v>
      </c>
      <c r="I9">
        <v>79089.05</v>
      </c>
      <c r="J9">
        <v>1046640.6</v>
      </c>
      <c r="K9" t="str">
        <f>"1001"</f>
        <v>1001</v>
      </c>
      <c r="L9" t="str">
        <f t="shared" si="3"/>
        <v>0602813665</v>
      </c>
      <c r="M9" t="str">
        <f t="shared" si="4"/>
        <v>391448</v>
      </c>
      <c r="N9" t="str">
        <f>"1001"</f>
        <v>1001</v>
      </c>
      <c r="O9" t="str">
        <f>"19300546"</f>
        <v>19300546</v>
      </c>
      <c r="P9">
        <v>264974</v>
      </c>
      <c r="Q9">
        <v>23.76</v>
      </c>
      <c r="R9">
        <v>79.19</v>
      </c>
      <c r="S9">
        <v>0</v>
      </c>
      <c r="T9">
        <v>0</v>
      </c>
      <c r="U9">
        <v>0</v>
      </c>
      <c r="V9" t="str">
        <f>"证券卖出"</f>
        <v>证券卖出</v>
      </c>
    </row>
    <row r="10" spans="1:22" x14ac:dyDescent="0.15">
      <c r="A10" t="str">
        <f t="shared" si="0"/>
        <v>20160401</v>
      </c>
      <c r="B10" t="str">
        <f>"14:49:48"</f>
        <v>14:49:48</v>
      </c>
      <c r="C10" t="str">
        <f t="shared" si="1"/>
        <v>300306</v>
      </c>
      <c r="D10" t="str">
        <f t="shared" si="2"/>
        <v>远方光电</v>
      </c>
      <c r="E10" t="str">
        <f>"卖出"</f>
        <v>卖出</v>
      </c>
      <c r="F10">
        <v>-20000</v>
      </c>
      <c r="G10">
        <v>20.87</v>
      </c>
      <c r="H10">
        <v>417400</v>
      </c>
      <c r="I10">
        <v>416857.38</v>
      </c>
      <c r="J10">
        <v>1463497.98</v>
      </c>
      <c r="K10" t="str">
        <f>"1234"</f>
        <v>1234</v>
      </c>
      <c r="L10" t="str">
        <f t="shared" si="3"/>
        <v>0602813665</v>
      </c>
      <c r="M10" t="str">
        <f t="shared" si="4"/>
        <v>391448</v>
      </c>
      <c r="N10" t="str">
        <f>"1234"</f>
        <v>1234</v>
      </c>
      <c r="O10" t="str">
        <f>"24610981"</f>
        <v>24610981</v>
      </c>
      <c r="P10">
        <v>244974</v>
      </c>
      <c r="Q10">
        <v>125.22</v>
      </c>
      <c r="R10">
        <v>417.4</v>
      </c>
      <c r="S10">
        <v>0</v>
      </c>
      <c r="T10">
        <v>0</v>
      </c>
      <c r="U10">
        <v>0</v>
      </c>
      <c r="V10" t="str">
        <f>"证券卖出"</f>
        <v>证券卖出</v>
      </c>
    </row>
    <row r="11" spans="1:22" x14ac:dyDescent="0.15">
      <c r="A11" t="str">
        <f t="shared" si="0"/>
        <v>20160401</v>
      </c>
      <c r="B11" t="str">
        <f>"14:52:41"</f>
        <v>14:52:41</v>
      </c>
      <c r="C11" t="str">
        <f t="shared" si="1"/>
        <v>300306</v>
      </c>
      <c r="D11" t="str">
        <f t="shared" si="2"/>
        <v>远方光电</v>
      </c>
      <c r="E11" t="str">
        <f>"卖出"</f>
        <v>卖出</v>
      </c>
      <c r="F11">
        <v>-10000</v>
      </c>
      <c r="G11">
        <v>20.87</v>
      </c>
      <c r="H11">
        <v>208700</v>
      </c>
      <c r="I11">
        <v>208428.69</v>
      </c>
      <c r="J11">
        <v>1671926.67</v>
      </c>
      <c r="K11" t="str">
        <f>"1250"</f>
        <v>1250</v>
      </c>
      <c r="L11" t="str">
        <f t="shared" si="3"/>
        <v>0602813665</v>
      </c>
      <c r="M11" t="str">
        <f t="shared" si="4"/>
        <v>391448</v>
      </c>
      <c r="N11" t="str">
        <f>"1250"</f>
        <v>1250</v>
      </c>
      <c r="O11" t="str">
        <f>"24953902"</f>
        <v>24953902</v>
      </c>
      <c r="P11">
        <v>234974</v>
      </c>
      <c r="Q11">
        <v>62.61</v>
      </c>
      <c r="R11">
        <v>208.7</v>
      </c>
      <c r="S11">
        <v>0</v>
      </c>
      <c r="T11">
        <v>0</v>
      </c>
      <c r="U11">
        <v>0</v>
      </c>
      <c r="V11" t="str">
        <f>"证券卖出"</f>
        <v>证券卖出</v>
      </c>
    </row>
    <row r="12" spans="1:22" x14ac:dyDescent="0.15">
      <c r="A12" t="str">
        <f t="shared" si="0"/>
        <v>20160401</v>
      </c>
      <c r="B12" t="str">
        <f>"14:55:29"</f>
        <v>14:55:29</v>
      </c>
      <c r="C12" t="str">
        <f t="shared" si="1"/>
        <v>300306</v>
      </c>
      <c r="D12" t="str">
        <f t="shared" si="2"/>
        <v>远方光电</v>
      </c>
      <c r="E12" t="str">
        <f>"卖出"</f>
        <v>卖出</v>
      </c>
      <c r="F12">
        <v>-20000</v>
      </c>
      <c r="G12">
        <v>20.85</v>
      </c>
      <c r="H12">
        <v>417000</v>
      </c>
      <c r="I12">
        <v>416457.86</v>
      </c>
      <c r="J12">
        <v>2088384.53</v>
      </c>
      <c r="K12" t="str">
        <f>"1260"</f>
        <v>1260</v>
      </c>
      <c r="L12" t="str">
        <f t="shared" si="3"/>
        <v>0602813665</v>
      </c>
      <c r="M12" t="str">
        <f t="shared" si="4"/>
        <v>391448</v>
      </c>
      <c r="N12" t="str">
        <f>"1260"</f>
        <v>1260</v>
      </c>
      <c r="O12" t="str">
        <f>"25624912"</f>
        <v>25624912</v>
      </c>
      <c r="P12">
        <v>214974</v>
      </c>
      <c r="Q12">
        <v>125.1</v>
      </c>
      <c r="R12">
        <v>417.04</v>
      </c>
      <c r="S12">
        <v>0</v>
      </c>
      <c r="T12">
        <v>0</v>
      </c>
      <c r="U12">
        <v>0</v>
      </c>
      <c r="V12" t="str">
        <f>"证券卖出"</f>
        <v>证券卖出</v>
      </c>
    </row>
    <row r="13" spans="1:22" x14ac:dyDescent="0.15">
      <c r="A13" t="str">
        <f t="shared" ref="A13:A39" si="5">"20160405"</f>
        <v>20160405</v>
      </c>
      <c r="B13" t="str">
        <f>"09:25:00"</f>
        <v>09:25:00</v>
      </c>
      <c r="C13" t="str">
        <f t="shared" si="1"/>
        <v>300306</v>
      </c>
      <c r="D13" t="str">
        <f t="shared" si="2"/>
        <v>远方光电</v>
      </c>
      <c r="E13" t="str">
        <f t="shared" ref="E13:E28" si="6">"买入"</f>
        <v>买入</v>
      </c>
      <c r="F13">
        <v>3100</v>
      </c>
      <c r="G13">
        <v>20.71</v>
      </c>
      <c r="H13">
        <v>64201</v>
      </c>
      <c r="I13">
        <v>-64220.26</v>
      </c>
      <c r="J13">
        <v>2024164.27</v>
      </c>
      <c r="K13" t="str">
        <f>"17"</f>
        <v>17</v>
      </c>
      <c r="L13" t="str">
        <f t="shared" si="3"/>
        <v>0602813665</v>
      </c>
      <c r="M13" t="str">
        <f t="shared" si="4"/>
        <v>391448</v>
      </c>
      <c r="N13" t="str">
        <f>"17"</f>
        <v>17</v>
      </c>
      <c r="O13" t="str">
        <f>"81222"</f>
        <v>81222</v>
      </c>
      <c r="P13">
        <v>218074</v>
      </c>
      <c r="Q13">
        <v>19.260000000000002</v>
      </c>
      <c r="R13">
        <v>0</v>
      </c>
      <c r="S13">
        <v>0</v>
      </c>
      <c r="T13">
        <v>0</v>
      </c>
      <c r="U13">
        <v>0</v>
      </c>
      <c r="V13" t="str">
        <f t="shared" ref="V13:V28" si="7">"证券买入"</f>
        <v>证券买入</v>
      </c>
    </row>
    <row r="14" spans="1:22" x14ac:dyDescent="0.15">
      <c r="A14" t="str">
        <f t="shared" si="5"/>
        <v>20160405</v>
      </c>
      <c r="B14" t="str">
        <f>"09:30:02"</f>
        <v>09:30:02</v>
      </c>
      <c r="C14" t="str">
        <f t="shared" si="1"/>
        <v>300306</v>
      </c>
      <c r="D14" t="str">
        <f t="shared" si="2"/>
        <v>远方光电</v>
      </c>
      <c r="E14" t="str">
        <f t="shared" si="6"/>
        <v>买入</v>
      </c>
      <c r="F14">
        <v>9500</v>
      </c>
      <c r="G14">
        <v>20.71</v>
      </c>
      <c r="H14">
        <v>196745</v>
      </c>
      <c r="I14">
        <v>-196804.02</v>
      </c>
      <c r="J14">
        <v>1827360.25</v>
      </c>
      <c r="K14" t="str">
        <f>"37"</f>
        <v>37</v>
      </c>
      <c r="L14" t="str">
        <f t="shared" si="3"/>
        <v>0602813665</v>
      </c>
      <c r="M14" t="str">
        <f t="shared" si="4"/>
        <v>391448</v>
      </c>
      <c r="N14" t="str">
        <f>"37"</f>
        <v>37</v>
      </c>
      <c r="O14" t="str">
        <f>"2081201"</f>
        <v>2081201</v>
      </c>
      <c r="P14">
        <v>227574</v>
      </c>
      <c r="Q14">
        <v>59.02</v>
      </c>
      <c r="R14">
        <v>0</v>
      </c>
      <c r="S14">
        <v>0</v>
      </c>
      <c r="T14">
        <v>0</v>
      </c>
      <c r="U14">
        <v>0</v>
      </c>
      <c r="V14" t="str">
        <f t="shared" si="7"/>
        <v>证券买入</v>
      </c>
    </row>
    <row r="15" spans="1:22" x14ac:dyDescent="0.15">
      <c r="A15" t="str">
        <f t="shared" si="5"/>
        <v>20160405</v>
      </c>
      <c r="B15" t="str">
        <f>"09:40:58"</f>
        <v>09:40:58</v>
      </c>
      <c r="C15" t="str">
        <f t="shared" si="1"/>
        <v>300306</v>
      </c>
      <c r="D15" t="str">
        <f t="shared" si="2"/>
        <v>远方光电</v>
      </c>
      <c r="E15" t="str">
        <f t="shared" si="6"/>
        <v>买入</v>
      </c>
      <c r="F15">
        <v>7700</v>
      </c>
      <c r="G15">
        <v>20.43</v>
      </c>
      <c r="H15">
        <v>157311</v>
      </c>
      <c r="I15">
        <v>-157358.19</v>
      </c>
      <c r="J15">
        <v>1670002.06</v>
      </c>
      <c r="K15" t="str">
        <f>"167"</f>
        <v>167</v>
      </c>
      <c r="L15" t="str">
        <f t="shared" si="3"/>
        <v>0602813665</v>
      </c>
      <c r="M15" t="str">
        <f t="shared" si="4"/>
        <v>391448</v>
      </c>
      <c r="N15" t="str">
        <f>"167"</f>
        <v>167</v>
      </c>
      <c r="O15" t="str">
        <f>"2210476"</f>
        <v>2210476</v>
      </c>
      <c r="P15">
        <v>235274</v>
      </c>
      <c r="Q15">
        <v>47.19</v>
      </c>
      <c r="R15">
        <v>0</v>
      </c>
      <c r="S15">
        <v>0</v>
      </c>
      <c r="T15">
        <v>0</v>
      </c>
      <c r="U15">
        <v>0</v>
      </c>
      <c r="V15" t="str">
        <f t="shared" si="7"/>
        <v>证券买入</v>
      </c>
    </row>
    <row r="16" spans="1:22" x14ac:dyDescent="0.15">
      <c r="A16" t="str">
        <f t="shared" si="5"/>
        <v>20160405</v>
      </c>
      <c r="B16" t="str">
        <f>"09:41:08"</f>
        <v>09:41:08</v>
      </c>
      <c r="C16" t="str">
        <f t="shared" si="1"/>
        <v>300306</v>
      </c>
      <c r="D16" t="str">
        <f t="shared" si="2"/>
        <v>远方光电</v>
      </c>
      <c r="E16" t="str">
        <f t="shared" si="6"/>
        <v>买入</v>
      </c>
      <c r="F16">
        <v>6200</v>
      </c>
      <c r="G16">
        <v>20.41</v>
      </c>
      <c r="H16">
        <v>126542</v>
      </c>
      <c r="I16">
        <v>-126579.96</v>
      </c>
      <c r="J16">
        <v>1543422.1</v>
      </c>
      <c r="K16" t="str">
        <f>"169"</f>
        <v>169</v>
      </c>
      <c r="L16" t="str">
        <f t="shared" si="3"/>
        <v>0602813665</v>
      </c>
      <c r="M16" t="str">
        <f t="shared" si="4"/>
        <v>391448</v>
      </c>
      <c r="N16" t="str">
        <f>"169"</f>
        <v>169</v>
      </c>
      <c r="O16" t="str">
        <f>"2210479"</f>
        <v>2210479</v>
      </c>
      <c r="P16">
        <v>241474</v>
      </c>
      <c r="Q16">
        <v>37.96</v>
      </c>
      <c r="R16">
        <v>0</v>
      </c>
      <c r="S16">
        <v>0</v>
      </c>
      <c r="T16">
        <v>0</v>
      </c>
      <c r="U16">
        <v>0</v>
      </c>
      <c r="V16" t="str">
        <f t="shared" si="7"/>
        <v>证券买入</v>
      </c>
    </row>
    <row r="17" spans="1:22" x14ac:dyDescent="0.15">
      <c r="A17" t="str">
        <f t="shared" si="5"/>
        <v>20160405</v>
      </c>
      <c r="B17" t="str">
        <f>"09:42:01"</f>
        <v>09:42:01</v>
      </c>
      <c r="C17" t="str">
        <f t="shared" si="1"/>
        <v>300306</v>
      </c>
      <c r="D17" t="str">
        <f t="shared" si="2"/>
        <v>远方光电</v>
      </c>
      <c r="E17" t="str">
        <f t="shared" si="6"/>
        <v>买入</v>
      </c>
      <c r="F17">
        <v>14000</v>
      </c>
      <c r="G17">
        <v>20.45</v>
      </c>
      <c r="H17">
        <v>286300</v>
      </c>
      <c r="I17">
        <v>-286385.89</v>
      </c>
      <c r="J17">
        <v>1257036.21</v>
      </c>
      <c r="K17" t="str">
        <f>"184"</f>
        <v>184</v>
      </c>
      <c r="L17" t="str">
        <f t="shared" si="3"/>
        <v>0602813665</v>
      </c>
      <c r="M17" t="str">
        <f t="shared" si="4"/>
        <v>391448</v>
      </c>
      <c r="N17" t="str">
        <f>"184"</f>
        <v>184</v>
      </c>
      <c r="O17" t="str">
        <f>"2907995"</f>
        <v>2907995</v>
      </c>
      <c r="P17">
        <v>255474</v>
      </c>
      <c r="Q17">
        <v>85.89</v>
      </c>
      <c r="R17">
        <v>0</v>
      </c>
      <c r="S17">
        <v>0</v>
      </c>
      <c r="T17">
        <v>0</v>
      </c>
      <c r="U17">
        <v>0</v>
      </c>
      <c r="V17" t="str">
        <f t="shared" si="7"/>
        <v>证券买入</v>
      </c>
    </row>
    <row r="18" spans="1:22" x14ac:dyDescent="0.15">
      <c r="A18" t="str">
        <f t="shared" si="5"/>
        <v>20160405</v>
      </c>
      <c r="B18" t="str">
        <f>"09:45:29"</f>
        <v>09:45:29</v>
      </c>
      <c r="C18" t="str">
        <f t="shared" si="1"/>
        <v>300306</v>
      </c>
      <c r="D18" t="str">
        <f t="shared" si="2"/>
        <v>远方光电</v>
      </c>
      <c r="E18" t="str">
        <f t="shared" si="6"/>
        <v>买入</v>
      </c>
      <c r="F18">
        <v>1400</v>
      </c>
      <c r="G18">
        <v>20.47</v>
      </c>
      <c r="H18">
        <v>28658</v>
      </c>
      <c r="I18">
        <v>-28666.6</v>
      </c>
      <c r="J18">
        <v>1228369.6100000001</v>
      </c>
      <c r="K18" t="str">
        <f>"214"</f>
        <v>214</v>
      </c>
      <c r="L18" t="str">
        <f t="shared" si="3"/>
        <v>0602813665</v>
      </c>
      <c r="M18" t="str">
        <f t="shared" si="4"/>
        <v>391448</v>
      </c>
      <c r="N18" t="str">
        <f>"214"</f>
        <v>214</v>
      </c>
      <c r="O18" t="str">
        <f>"2901296"</f>
        <v>2901296</v>
      </c>
      <c r="P18">
        <v>256874</v>
      </c>
      <c r="Q18">
        <v>8.6</v>
      </c>
      <c r="R18">
        <v>0</v>
      </c>
      <c r="S18">
        <v>0</v>
      </c>
      <c r="T18">
        <v>0</v>
      </c>
      <c r="U18">
        <v>0</v>
      </c>
      <c r="V18" t="str">
        <f t="shared" si="7"/>
        <v>证券买入</v>
      </c>
    </row>
    <row r="19" spans="1:22" x14ac:dyDescent="0.15">
      <c r="A19" t="str">
        <f t="shared" si="5"/>
        <v>20160405</v>
      </c>
      <c r="B19" t="str">
        <f>"09:45:48"</f>
        <v>09:45:48</v>
      </c>
      <c r="C19" t="str">
        <f t="shared" si="1"/>
        <v>300306</v>
      </c>
      <c r="D19" t="str">
        <f t="shared" si="2"/>
        <v>远方光电</v>
      </c>
      <c r="E19" t="str">
        <f t="shared" si="6"/>
        <v>买入</v>
      </c>
      <c r="F19">
        <v>5000</v>
      </c>
      <c r="G19">
        <v>20.420000000000002</v>
      </c>
      <c r="H19">
        <v>102100</v>
      </c>
      <c r="I19">
        <v>-102130.63</v>
      </c>
      <c r="J19">
        <v>1126238.98</v>
      </c>
      <c r="K19" t="str">
        <f>"170"</f>
        <v>170</v>
      </c>
      <c r="L19" t="str">
        <f t="shared" si="3"/>
        <v>0602813665</v>
      </c>
      <c r="M19" t="str">
        <f t="shared" si="4"/>
        <v>391448</v>
      </c>
      <c r="N19" t="str">
        <f>"170"</f>
        <v>170</v>
      </c>
      <c r="O19" t="str">
        <f>"2960292"</f>
        <v>2960292</v>
      </c>
      <c r="P19">
        <v>261874</v>
      </c>
      <c r="Q19">
        <v>30.63</v>
      </c>
      <c r="R19">
        <v>0</v>
      </c>
      <c r="S19">
        <v>0</v>
      </c>
      <c r="T19">
        <v>0</v>
      </c>
      <c r="U19">
        <v>0</v>
      </c>
      <c r="V19" t="str">
        <f t="shared" si="7"/>
        <v>证券买入</v>
      </c>
    </row>
    <row r="20" spans="1:22" x14ac:dyDescent="0.15">
      <c r="A20" t="str">
        <f t="shared" si="5"/>
        <v>20160405</v>
      </c>
      <c r="B20" t="str">
        <f>"09:46:54"</f>
        <v>09:46:54</v>
      </c>
      <c r="C20" t="str">
        <f t="shared" si="1"/>
        <v>300306</v>
      </c>
      <c r="D20" t="str">
        <f t="shared" si="2"/>
        <v>远方光电</v>
      </c>
      <c r="E20" t="str">
        <f t="shared" si="6"/>
        <v>买入</v>
      </c>
      <c r="F20">
        <v>11000</v>
      </c>
      <c r="G20">
        <v>20.41</v>
      </c>
      <c r="H20">
        <v>224510</v>
      </c>
      <c r="I20">
        <v>-224577.35</v>
      </c>
      <c r="J20">
        <v>901661.63</v>
      </c>
      <c r="K20" t="str">
        <f>"231"</f>
        <v>231</v>
      </c>
      <c r="L20" t="str">
        <f t="shared" si="3"/>
        <v>0602813665</v>
      </c>
      <c r="M20" t="str">
        <f t="shared" si="4"/>
        <v>391448</v>
      </c>
      <c r="N20" t="str">
        <f>"231"</f>
        <v>231</v>
      </c>
      <c r="O20" t="str">
        <f>"3101186"</f>
        <v>3101186</v>
      </c>
      <c r="P20">
        <v>272874</v>
      </c>
      <c r="Q20">
        <v>67.349999999999994</v>
      </c>
      <c r="R20">
        <v>0</v>
      </c>
      <c r="S20">
        <v>0</v>
      </c>
      <c r="T20">
        <v>0</v>
      </c>
      <c r="U20">
        <v>0</v>
      </c>
      <c r="V20" t="str">
        <f t="shared" si="7"/>
        <v>证券买入</v>
      </c>
    </row>
    <row r="21" spans="1:22" x14ac:dyDescent="0.15">
      <c r="A21" t="str">
        <f t="shared" si="5"/>
        <v>20160405</v>
      </c>
      <c r="B21" t="str">
        <f>"09:49:31"</f>
        <v>09:49:31</v>
      </c>
      <c r="C21" t="str">
        <f t="shared" si="1"/>
        <v>300306</v>
      </c>
      <c r="D21" t="str">
        <f t="shared" si="2"/>
        <v>远方光电</v>
      </c>
      <c r="E21" t="str">
        <f t="shared" si="6"/>
        <v>买入</v>
      </c>
      <c r="F21">
        <v>8800</v>
      </c>
      <c r="G21">
        <v>20.3</v>
      </c>
      <c r="H21">
        <v>178640</v>
      </c>
      <c r="I21">
        <v>-178693.59</v>
      </c>
      <c r="J21">
        <v>722968.04</v>
      </c>
      <c r="K21" t="str">
        <f>"248"</f>
        <v>248</v>
      </c>
      <c r="L21" t="str">
        <f t="shared" si="3"/>
        <v>0602813665</v>
      </c>
      <c r="M21" t="str">
        <f t="shared" si="4"/>
        <v>391448</v>
      </c>
      <c r="N21" t="str">
        <f>"248"</f>
        <v>248</v>
      </c>
      <c r="O21" t="str">
        <f>"3476081"</f>
        <v>3476081</v>
      </c>
      <c r="P21">
        <v>281674</v>
      </c>
      <c r="Q21">
        <v>53.59</v>
      </c>
      <c r="R21">
        <v>0</v>
      </c>
      <c r="S21">
        <v>0</v>
      </c>
      <c r="T21">
        <v>0</v>
      </c>
      <c r="U21">
        <v>0</v>
      </c>
      <c r="V21" t="str">
        <f t="shared" si="7"/>
        <v>证券买入</v>
      </c>
    </row>
    <row r="22" spans="1:22" x14ac:dyDescent="0.15">
      <c r="A22" t="str">
        <f t="shared" si="5"/>
        <v>20160405</v>
      </c>
      <c r="B22" t="str">
        <f>"09:59:01"</f>
        <v>09:59:01</v>
      </c>
      <c r="C22" t="str">
        <f t="shared" si="1"/>
        <v>300306</v>
      </c>
      <c r="D22" t="str">
        <f t="shared" si="2"/>
        <v>远方光电</v>
      </c>
      <c r="E22" t="str">
        <f t="shared" si="6"/>
        <v>买入</v>
      </c>
      <c r="F22">
        <v>7100</v>
      </c>
      <c r="G22">
        <v>20.13</v>
      </c>
      <c r="H22">
        <v>142923</v>
      </c>
      <c r="I22">
        <v>-142965.88</v>
      </c>
      <c r="J22">
        <v>580002.16</v>
      </c>
      <c r="K22" t="str">
        <f>"317"</f>
        <v>317</v>
      </c>
      <c r="L22" t="str">
        <f t="shared" si="3"/>
        <v>0602813665</v>
      </c>
      <c r="M22" t="str">
        <f t="shared" si="4"/>
        <v>391448</v>
      </c>
      <c r="N22" t="str">
        <f>"317"</f>
        <v>317</v>
      </c>
      <c r="O22" t="str">
        <f>"4878008"</f>
        <v>4878008</v>
      </c>
      <c r="P22">
        <v>288774</v>
      </c>
      <c r="Q22">
        <v>42.88</v>
      </c>
      <c r="R22">
        <v>0</v>
      </c>
      <c r="S22">
        <v>0</v>
      </c>
      <c r="T22">
        <v>0</v>
      </c>
      <c r="U22">
        <v>0</v>
      </c>
      <c r="V22" t="str">
        <f t="shared" si="7"/>
        <v>证券买入</v>
      </c>
    </row>
    <row r="23" spans="1:22" x14ac:dyDescent="0.15">
      <c r="A23" t="str">
        <f t="shared" si="5"/>
        <v>20160405</v>
      </c>
      <c r="B23" t="str">
        <f>"10:03:52"</f>
        <v>10:03:52</v>
      </c>
      <c r="C23" t="str">
        <f t="shared" si="1"/>
        <v>300306</v>
      </c>
      <c r="D23" t="str">
        <f t="shared" si="2"/>
        <v>远方光电</v>
      </c>
      <c r="E23" t="str">
        <f t="shared" si="6"/>
        <v>买入</v>
      </c>
      <c r="F23">
        <v>500</v>
      </c>
      <c r="G23">
        <v>20.16</v>
      </c>
      <c r="H23">
        <v>10080</v>
      </c>
      <c r="I23">
        <v>-10085</v>
      </c>
      <c r="J23">
        <v>569917.16</v>
      </c>
      <c r="K23" t="str">
        <f>"331"</f>
        <v>331</v>
      </c>
      <c r="L23" t="str">
        <f t="shared" si="3"/>
        <v>0602813665</v>
      </c>
      <c r="M23" t="str">
        <f t="shared" si="4"/>
        <v>391448</v>
      </c>
      <c r="N23" t="str">
        <f>"331"</f>
        <v>331</v>
      </c>
      <c r="O23" t="str">
        <f>"5320806"</f>
        <v>5320806</v>
      </c>
      <c r="P23">
        <v>289274</v>
      </c>
      <c r="Q23">
        <v>5</v>
      </c>
      <c r="R23">
        <v>0</v>
      </c>
      <c r="S23">
        <v>0</v>
      </c>
      <c r="T23">
        <v>0</v>
      </c>
      <c r="U23">
        <v>0</v>
      </c>
      <c r="V23" t="str">
        <f t="shared" si="7"/>
        <v>证券买入</v>
      </c>
    </row>
    <row r="24" spans="1:22" x14ac:dyDescent="0.15">
      <c r="A24" t="str">
        <f t="shared" si="5"/>
        <v>20160405</v>
      </c>
      <c r="B24" t="str">
        <f>"10:20:00"</f>
        <v>10:20:00</v>
      </c>
      <c r="C24" t="str">
        <f t="shared" si="1"/>
        <v>300306</v>
      </c>
      <c r="D24" t="str">
        <f t="shared" si="2"/>
        <v>远方光电</v>
      </c>
      <c r="E24" t="str">
        <f t="shared" si="6"/>
        <v>买入</v>
      </c>
      <c r="F24">
        <v>2100</v>
      </c>
      <c r="G24">
        <v>20.23</v>
      </c>
      <c r="H24">
        <v>42483</v>
      </c>
      <c r="I24">
        <v>-42495.74</v>
      </c>
      <c r="J24">
        <v>527421.42000000004</v>
      </c>
      <c r="K24" t="str">
        <f>"421"</f>
        <v>421</v>
      </c>
      <c r="L24" t="str">
        <f t="shared" si="3"/>
        <v>0602813665</v>
      </c>
      <c r="M24" t="str">
        <f t="shared" si="4"/>
        <v>391448</v>
      </c>
      <c r="N24" t="str">
        <f>"421"</f>
        <v>421</v>
      </c>
      <c r="O24" t="str">
        <f>"7013264"</f>
        <v>7013264</v>
      </c>
      <c r="P24">
        <v>291374</v>
      </c>
      <c r="Q24">
        <v>12.74</v>
      </c>
      <c r="R24">
        <v>0</v>
      </c>
      <c r="S24">
        <v>0</v>
      </c>
      <c r="T24">
        <v>0</v>
      </c>
      <c r="U24">
        <v>0</v>
      </c>
      <c r="V24" t="str">
        <f t="shared" si="7"/>
        <v>证券买入</v>
      </c>
    </row>
    <row r="25" spans="1:22" x14ac:dyDescent="0.15">
      <c r="A25" t="str">
        <f t="shared" si="5"/>
        <v>20160405</v>
      </c>
      <c r="B25" t="str">
        <f>"10:26:04"</f>
        <v>10:26:04</v>
      </c>
      <c r="C25" t="str">
        <f t="shared" si="1"/>
        <v>300306</v>
      </c>
      <c r="D25" t="str">
        <f t="shared" si="2"/>
        <v>远方光电</v>
      </c>
      <c r="E25" t="str">
        <f t="shared" si="6"/>
        <v>买入</v>
      </c>
      <c r="F25">
        <v>5200</v>
      </c>
      <c r="G25">
        <v>20.28</v>
      </c>
      <c r="H25">
        <v>105456</v>
      </c>
      <c r="I25">
        <v>-105487.64</v>
      </c>
      <c r="J25">
        <v>421933.78</v>
      </c>
      <c r="K25" t="str">
        <f>"474"</f>
        <v>474</v>
      </c>
      <c r="L25" t="str">
        <f t="shared" si="3"/>
        <v>0602813665</v>
      </c>
      <c r="M25" t="str">
        <f t="shared" si="4"/>
        <v>391448</v>
      </c>
      <c r="N25" t="str">
        <f>"474"</f>
        <v>474</v>
      </c>
      <c r="O25" t="str">
        <f>"7583873"</f>
        <v>7583873</v>
      </c>
      <c r="P25">
        <v>296574</v>
      </c>
      <c r="Q25">
        <v>31.64</v>
      </c>
      <c r="R25">
        <v>0</v>
      </c>
      <c r="S25">
        <v>0</v>
      </c>
      <c r="T25">
        <v>0</v>
      </c>
      <c r="U25">
        <v>0</v>
      </c>
      <c r="V25" t="str">
        <f t="shared" si="7"/>
        <v>证券买入</v>
      </c>
    </row>
    <row r="26" spans="1:22" x14ac:dyDescent="0.15">
      <c r="A26" t="str">
        <f t="shared" si="5"/>
        <v>20160405</v>
      </c>
      <c r="B26" t="str">
        <f>"10:39:07"</f>
        <v>10:39:07</v>
      </c>
      <c r="C26" t="str">
        <f t="shared" si="1"/>
        <v>300306</v>
      </c>
      <c r="D26" t="str">
        <f t="shared" si="2"/>
        <v>远方光电</v>
      </c>
      <c r="E26" t="str">
        <f t="shared" si="6"/>
        <v>买入</v>
      </c>
      <c r="F26">
        <v>6900</v>
      </c>
      <c r="G26">
        <v>20.22</v>
      </c>
      <c r="H26">
        <v>139518</v>
      </c>
      <c r="I26">
        <v>-139559.85999999999</v>
      </c>
      <c r="J26">
        <v>282373.92</v>
      </c>
      <c r="K26" t="str">
        <f>"542"</f>
        <v>542</v>
      </c>
      <c r="L26" t="str">
        <f t="shared" si="3"/>
        <v>0602813665</v>
      </c>
      <c r="M26" t="str">
        <f t="shared" si="4"/>
        <v>391448</v>
      </c>
      <c r="N26" t="str">
        <f>"542"</f>
        <v>542</v>
      </c>
      <c r="O26" t="str">
        <f>"8819261"</f>
        <v>8819261</v>
      </c>
      <c r="P26">
        <v>303474</v>
      </c>
      <c r="Q26">
        <v>41.86</v>
      </c>
      <c r="R26">
        <v>0</v>
      </c>
      <c r="S26">
        <v>0</v>
      </c>
      <c r="T26">
        <v>0</v>
      </c>
      <c r="U26">
        <v>0</v>
      </c>
      <c r="V26" t="str">
        <f t="shared" si="7"/>
        <v>证券买入</v>
      </c>
    </row>
    <row r="27" spans="1:22" x14ac:dyDescent="0.15">
      <c r="A27" t="str">
        <f t="shared" si="5"/>
        <v>20160405</v>
      </c>
      <c r="B27" t="str">
        <f>"10:53:35"</f>
        <v>10:53:35</v>
      </c>
      <c r="C27" t="str">
        <f t="shared" si="1"/>
        <v>300306</v>
      </c>
      <c r="D27" t="str">
        <f t="shared" si="2"/>
        <v>远方光电</v>
      </c>
      <c r="E27" t="str">
        <f t="shared" si="6"/>
        <v>买入</v>
      </c>
      <c r="F27">
        <v>3900</v>
      </c>
      <c r="G27">
        <v>20.18</v>
      </c>
      <c r="H27">
        <v>78702</v>
      </c>
      <c r="I27">
        <v>-78725.61</v>
      </c>
      <c r="J27">
        <v>203648.31</v>
      </c>
      <c r="K27" t="str">
        <f>"630"</f>
        <v>630</v>
      </c>
      <c r="L27" t="str">
        <f t="shared" si="3"/>
        <v>0602813665</v>
      </c>
      <c r="M27" t="str">
        <f t="shared" si="4"/>
        <v>391448</v>
      </c>
      <c r="N27" t="str">
        <f>"630"</f>
        <v>630</v>
      </c>
      <c r="O27" t="str">
        <f>"10168530"</f>
        <v>10168530</v>
      </c>
      <c r="P27">
        <v>307374</v>
      </c>
      <c r="Q27">
        <v>23.61</v>
      </c>
      <c r="R27">
        <v>0</v>
      </c>
      <c r="S27">
        <v>0</v>
      </c>
      <c r="T27">
        <v>0</v>
      </c>
      <c r="U27">
        <v>0</v>
      </c>
      <c r="V27" t="str">
        <f t="shared" si="7"/>
        <v>证券买入</v>
      </c>
    </row>
    <row r="28" spans="1:22" x14ac:dyDescent="0.15">
      <c r="A28" t="str">
        <f t="shared" si="5"/>
        <v>20160405</v>
      </c>
      <c r="B28" t="str">
        <f>"10:54:24"</f>
        <v>10:54:24</v>
      </c>
      <c r="C28" t="str">
        <f t="shared" si="1"/>
        <v>300306</v>
      </c>
      <c r="D28" t="str">
        <f t="shared" si="2"/>
        <v>远方光电</v>
      </c>
      <c r="E28" t="str">
        <f t="shared" si="6"/>
        <v>买入</v>
      </c>
      <c r="F28">
        <v>10000</v>
      </c>
      <c r="G28">
        <v>20.190000000000001</v>
      </c>
      <c r="H28">
        <v>201900</v>
      </c>
      <c r="I28">
        <v>-201960.57</v>
      </c>
      <c r="J28">
        <v>1687.74</v>
      </c>
      <c r="K28" t="str">
        <f>"645"</f>
        <v>645</v>
      </c>
      <c r="L28" t="str">
        <f t="shared" si="3"/>
        <v>0602813665</v>
      </c>
      <c r="M28" t="str">
        <f t="shared" si="4"/>
        <v>391448</v>
      </c>
      <c r="N28" t="str">
        <f>"645"</f>
        <v>645</v>
      </c>
      <c r="O28" t="str">
        <f>"9957641"</f>
        <v>9957641</v>
      </c>
      <c r="P28">
        <v>317374</v>
      </c>
      <c r="Q28">
        <v>60.57</v>
      </c>
      <c r="R28">
        <v>0</v>
      </c>
      <c r="S28">
        <v>0</v>
      </c>
      <c r="T28">
        <v>0</v>
      </c>
      <c r="U28">
        <v>0</v>
      </c>
      <c r="V28" t="str">
        <f t="shared" si="7"/>
        <v>证券买入</v>
      </c>
    </row>
    <row r="29" spans="1:22" x14ac:dyDescent="0.15">
      <c r="A29" t="str">
        <f t="shared" si="5"/>
        <v>20160405</v>
      </c>
      <c r="B29" t="str">
        <f>"11:13:10"</f>
        <v>11:13:10</v>
      </c>
      <c r="C29" t="str">
        <f t="shared" si="1"/>
        <v>300306</v>
      </c>
      <c r="D29" t="str">
        <f t="shared" si="2"/>
        <v>远方光电</v>
      </c>
      <c r="E29" t="str">
        <f t="shared" ref="E29:E38" si="8">"卖出"</f>
        <v>卖出</v>
      </c>
      <c r="F29">
        <v>-4400</v>
      </c>
      <c r="G29">
        <v>20.43</v>
      </c>
      <c r="H29">
        <v>89892</v>
      </c>
      <c r="I29">
        <v>89775.13</v>
      </c>
      <c r="J29">
        <v>91462.87</v>
      </c>
      <c r="K29" t="str">
        <f>"511"</f>
        <v>511</v>
      </c>
      <c r="L29" t="str">
        <f t="shared" si="3"/>
        <v>0602813665</v>
      </c>
      <c r="M29" t="str">
        <f t="shared" si="4"/>
        <v>391448</v>
      </c>
      <c r="N29" t="str">
        <f>"511"</f>
        <v>511</v>
      </c>
      <c r="O29" t="str">
        <f>"11678693"</f>
        <v>11678693</v>
      </c>
      <c r="P29">
        <v>312974</v>
      </c>
      <c r="Q29">
        <v>26.97</v>
      </c>
      <c r="R29">
        <v>89.9</v>
      </c>
      <c r="S29">
        <v>0</v>
      </c>
      <c r="T29">
        <v>0</v>
      </c>
      <c r="U29">
        <v>0</v>
      </c>
      <c r="V29" t="str">
        <f t="shared" ref="V29:V38" si="9">"证券卖出"</f>
        <v>证券卖出</v>
      </c>
    </row>
    <row r="30" spans="1:22" x14ac:dyDescent="0.15">
      <c r="A30" t="str">
        <f t="shared" si="5"/>
        <v>20160405</v>
      </c>
      <c r="B30" t="str">
        <f>"14:04:27"</f>
        <v>14:04:27</v>
      </c>
      <c r="C30" t="str">
        <f t="shared" si="1"/>
        <v>300306</v>
      </c>
      <c r="D30" t="str">
        <f t="shared" si="2"/>
        <v>远方光电</v>
      </c>
      <c r="E30" t="str">
        <f t="shared" si="8"/>
        <v>卖出</v>
      </c>
      <c r="F30">
        <v>-2100</v>
      </c>
      <c r="G30">
        <v>20.84</v>
      </c>
      <c r="H30">
        <v>43764</v>
      </c>
      <c r="I30">
        <v>43707.11</v>
      </c>
      <c r="J30">
        <v>135169.98000000001</v>
      </c>
      <c r="K30" t="str">
        <f>"1300"</f>
        <v>1300</v>
      </c>
      <c r="L30" t="str">
        <f t="shared" si="3"/>
        <v>0602813665</v>
      </c>
      <c r="M30" t="str">
        <f t="shared" si="4"/>
        <v>391448</v>
      </c>
      <c r="N30" t="str">
        <f>"1300"</f>
        <v>1300</v>
      </c>
      <c r="O30" t="str">
        <f>"21194618"</f>
        <v>21194618</v>
      </c>
      <c r="P30">
        <v>310874</v>
      </c>
      <c r="Q30">
        <v>13.13</v>
      </c>
      <c r="R30">
        <v>43.76</v>
      </c>
      <c r="S30">
        <v>0</v>
      </c>
      <c r="T30">
        <v>0</v>
      </c>
      <c r="U30">
        <v>0</v>
      </c>
      <c r="V30" t="str">
        <f t="shared" si="9"/>
        <v>证券卖出</v>
      </c>
    </row>
    <row r="31" spans="1:22" x14ac:dyDescent="0.15">
      <c r="A31" t="str">
        <f t="shared" si="5"/>
        <v>20160405</v>
      </c>
      <c r="B31" t="str">
        <f>"14:09:19"</f>
        <v>14:09:19</v>
      </c>
      <c r="C31" t="str">
        <f t="shared" si="1"/>
        <v>300306</v>
      </c>
      <c r="D31" t="str">
        <f t="shared" si="2"/>
        <v>远方光电</v>
      </c>
      <c r="E31" t="str">
        <f t="shared" si="8"/>
        <v>卖出</v>
      </c>
      <c r="F31">
        <v>-24000</v>
      </c>
      <c r="G31">
        <v>20.821999999999999</v>
      </c>
      <c r="H31">
        <v>499716</v>
      </c>
      <c r="I31">
        <v>499066.37</v>
      </c>
      <c r="J31">
        <v>634236.35</v>
      </c>
      <c r="K31" t="str">
        <f>"1326"</f>
        <v>1326</v>
      </c>
      <c r="L31" t="str">
        <f t="shared" si="3"/>
        <v>0602813665</v>
      </c>
      <c r="M31" t="str">
        <f t="shared" si="4"/>
        <v>391448</v>
      </c>
      <c r="N31" t="str">
        <f>"1326"</f>
        <v>1326</v>
      </c>
      <c r="O31" t="str">
        <f>"21724766"</f>
        <v>21724766</v>
      </c>
      <c r="P31">
        <v>286874</v>
      </c>
      <c r="Q31">
        <v>149.91</v>
      </c>
      <c r="R31">
        <v>499.72</v>
      </c>
      <c r="S31">
        <v>0</v>
      </c>
      <c r="T31">
        <v>0</v>
      </c>
      <c r="U31">
        <v>0</v>
      </c>
      <c r="V31" t="str">
        <f t="shared" si="9"/>
        <v>证券卖出</v>
      </c>
    </row>
    <row r="32" spans="1:22" x14ac:dyDescent="0.15">
      <c r="A32" t="str">
        <f t="shared" si="5"/>
        <v>20160405</v>
      </c>
      <c r="B32" t="str">
        <f>"14:16:00"</f>
        <v>14:16:00</v>
      </c>
      <c r="C32" t="str">
        <f t="shared" si="1"/>
        <v>300306</v>
      </c>
      <c r="D32" t="str">
        <f t="shared" si="2"/>
        <v>远方光电</v>
      </c>
      <c r="E32" t="str">
        <f t="shared" si="8"/>
        <v>卖出</v>
      </c>
      <c r="F32">
        <v>-1900</v>
      </c>
      <c r="G32">
        <v>20.93</v>
      </c>
      <c r="H32">
        <v>39767</v>
      </c>
      <c r="I32">
        <v>39715.300000000003</v>
      </c>
      <c r="J32">
        <v>673951.65</v>
      </c>
      <c r="K32" t="str">
        <f>"1334"</f>
        <v>1334</v>
      </c>
      <c r="L32" t="str">
        <f t="shared" si="3"/>
        <v>0602813665</v>
      </c>
      <c r="M32" t="str">
        <f t="shared" si="4"/>
        <v>391448</v>
      </c>
      <c r="N32" t="str">
        <f>"1334"</f>
        <v>1334</v>
      </c>
      <c r="O32" t="str">
        <f>"22452413"</f>
        <v>22452413</v>
      </c>
      <c r="P32">
        <v>284974</v>
      </c>
      <c r="Q32">
        <v>11.93</v>
      </c>
      <c r="R32">
        <v>39.770000000000003</v>
      </c>
      <c r="S32">
        <v>0</v>
      </c>
      <c r="T32">
        <v>0</v>
      </c>
      <c r="U32">
        <v>0</v>
      </c>
      <c r="V32" t="str">
        <f t="shared" si="9"/>
        <v>证券卖出</v>
      </c>
    </row>
    <row r="33" spans="1:22" x14ac:dyDescent="0.15">
      <c r="A33" t="str">
        <f t="shared" si="5"/>
        <v>20160405</v>
      </c>
      <c r="B33" t="str">
        <f>"14:31:39"</f>
        <v>14:31:39</v>
      </c>
      <c r="C33" t="str">
        <f t="shared" si="1"/>
        <v>300306</v>
      </c>
      <c r="D33" t="str">
        <f t="shared" si="2"/>
        <v>远方光电</v>
      </c>
      <c r="E33" t="str">
        <f t="shared" si="8"/>
        <v>卖出</v>
      </c>
      <c r="F33">
        <v>-20000</v>
      </c>
      <c r="G33">
        <v>21.03</v>
      </c>
      <c r="H33">
        <v>420600</v>
      </c>
      <c r="I33">
        <v>420053.22</v>
      </c>
      <c r="J33">
        <v>1094004.8700000001</v>
      </c>
      <c r="K33" t="str">
        <f>"1462"</f>
        <v>1462</v>
      </c>
      <c r="L33" t="str">
        <f t="shared" si="3"/>
        <v>0602813665</v>
      </c>
      <c r="M33" t="str">
        <f t="shared" si="4"/>
        <v>391448</v>
      </c>
      <c r="N33" t="str">
        <f>"1462"</f>
        <v>1462</v>
      </c>
      <c r="O33" t="str">
        <f>"24313283"</f>
        <v>24313283</v>
      </c>
      <c r="P33">
        <v>264974</v>
      </c>
      <c r="Q33">
        <v>126.18</v>
      </c>
      <c r="R33">
        <v>420.6</v>
      </c>
      <c r="S33">
        <v>0</v>
      </c>
      <c r="T33">
        <v>0</v>
      </c>
      <c r="U33">
        <v>0</v>
      </c>
      <c r="V33" t="str">
        <f t="shared" si="9"/>
        <v>证券卖出</v>
      </c>
    </row>
    <row r="34" spans="1:22" x14ac:dyDescent="0.15">
      <c r="A34" t="str">
        <f t="shared" si="5"/>
        <v>20160405</v>
      </c>
      <c r="B34" t="str">
        <f>"14:49:37"</f>
        <v>14:49:37</v>
      </c>
      <c r="C34" t="str">
        <f t="shared" si="1"/>
        <v>300306</v>
      </c>
      <c r="D34" t="str">
        <f t="shared" si="2"/>
        <v>远方光电</v>
      </c>
      <c r="E34" t="str">
        <f t="shared" si="8"/>
        <v>卖出</v>
      </c>
      <c r="F34">
        <v>-5000</v>
      </c>
      <c r="G34">
        <v>21</v>
      </c>
      <c r="H34">
        <v>105000</v>
      </c>
      <c r="I34">
        <v>104863.5</v>
      </c>
      <c r="J34">
        <v>1198868.3700000001</v>
      </c>
      <c r="K34" t="str">
        <f>"1597"</f>
        <v>1597</v>
      </c>
      <c r="L34" t="str">
        <f t="shared" si="3"/>
        <v>0602813665</v>
      </c>
      <c r="M34" t="str">
        <f t="shared" si="4"/>
        <v>391448</v>
      </c>
      <c r="N34" t="str">
        <f>"1597"</f>
        <v>1597</v>
      </c>
      <c r="O34" t="str">
        <f>"26839678"</f>
        <v>26839678</v>
      </c>
      <c r="P34">
        <v>259974</v>
      </c>
      <c r="Q34">
        <v>31.5</v>
      </c>
      <c r="R34">
        <v>105</v>
      </c>
      <c r="S34">
        <v>0</v>
      </c>
      <c r="T34">
        <v>0</v>
      </c>
      <c r="U34">
        <v>0</v>
      </c>
      <c r="V34" t="str">
        <f t="shared" si="9"/>
        <v>证券卖出</v>
      </c>
    </row>
    <row r="35" spans="1:22" x14ac:dyDescent="0.15">
      <c r="A35" t="str">
        <f t="shared" si="5"/>
        <v>20160405</v>
      </c>
      <c r="B35" t="str">
        <f>"14:53:38"</f>
        <v>14:53:38</v>
      </c>
      <c r="C35" t="str">
        <f t="shared" si="1"/>
        <v>300306</v>
      </c>
      <c r="D35" t="str">
        <f t="shared" si="2"/>
        <v>远方光电</v>
      </c>
      <c r="E35" t="str">
        <f t="shared" si="8"/>
        <v>卖出</v>
      </c>
      <c r="F35">
        <v>-20000</v>
      </c>
      <c r="G35">
        <v>20.99</v>
      </c>
      <c r="H35">
        <v>419800</v>
      </c>
      <c r="I35">
        <v>419254.26</v>
      </c>
      <c r="J35">
        <v>1618122.63</v>
      </c>
      <c r="K35" t="str">
        <f>"1621"</f>
        <v>1621</v>
      </c>
      <c r="L35" t="str">
        <f t="shared" si="3"/>
        <v>0602813665</v>
      </c>
      <c r="M35" t="str">
        <f t="shared" si="4"/>
        <v>391448</v>
      </c>
      <c r="N35" t="str">
        <f>"1621"</f>
        <v>1621</v>
      </c>
      <c r="O35" t="str">
        <f>"27617243"</f>
        <v>27617243</v>
      </c>
      <c r="P35">
        <v>239974</v>
      </c>
      <c r="Q35">
        <v>125.94</v>
      </c>
      <c r="R35">
        <v>419.8</v>
      </c>
      <c r="S35">
        <v>0</v>
      </c>
      <c r="T35">
        <v>0</v>
      </c>
      <c r="U35">
        <v>0</v>
      </c>
      <c r="V35" t="str">
        <f t="shared" si="9"/>
        <v>证券卖出</v>
      </c>
    </row>
    <row r="36" spans="1:22" x14ac:dyDescent="0.15">
      <c r="A36" t="str">
        <f t="shared" si="5"/>
        <v>20160405</v>
      </c>
      <c r="B36" t="str">
        <f>"14:54:46"</f>
        <v>14:54:46</v>
      </c>
      <c r="C36" t="str">
        <f t="shared" si="1"/>
        <v>300306</v>
      </c>
      <c r="D36" t="str">
        <f t="shared" si="2"/>
        <v>远方光电</v>
      </c>
      <c r="E36" t="str">
        <f t="shared" si="8"/>
        <v>卖出</v>
      </c>
      <c r="F36">
        <v>-6000</v>
      </c>
      <c r="G36">
        <v>20.99</v>
      </c>
      <c r="H36">
        <v>125940</v>
      </c>
      <c r="I36">
        <v>125776.28</v>
      </c>
      <c r="J36">
        <v>1743898.91</v>
      </c>
      <c r="K36" t="str">
        <f>"1631"</f>
        <v>1631</v>
      </c>
      <c r="L36" t="str">
        <f t="shared" si="3"/>
        <v>0602813665</v>
      </c>
      <c r="M36" t="str">
        <f t="shared" si="4"/>
        <v>391448</v>
      </c>
      <c r="N36" t="str">
        <f>"1631"</f>
        <v>1631</v>
      </c>
      <c r="O36" t="str">
        <f>"27812139"</f>
        <v>27812139</v>
      </c>
      <c r="P36">
        <v>233974</v>
      </c>
      <c r="Q36">
        <v>37.78</v>
      </c>
      <c r="R36">
        <v>125.94</v>
      </c>
      <c r="S36">
        <v>0</v>
      </c>
      <c r="T36">
        <v>0</v>
      </c>
      <c r="U36">
        <v>0</v>
      </c>
      <c r="V36" t="str">
        <f t="shared" si="9"/>
        <v>证券卖出</v>
      </c>
    </row>
    <row r="37" spans="1:22" x14ac:dyDescent="0.15">
      <c r="A37" t="str">
        <f t="shared" si="5"/>
        <v>20160405</v>
      </c>
      <c r="B37" t="str">
        <f>"14:55:02"</f>
        <v>14:55:02</v>
      </c>
      <c r="C37" t="str">
        <f t="shared" si="1"/>
        <v>300306</v>
      </c>
      <c r="D37" t="str">
        <f t="shared" si="2"/>
        <v>远方光电</v>
      </c>
      <c r="E37" t="str">
        <f t="shared" si="8"/>
        <v>卖出</v>
      </c>
      <c r="F37">
        <v>-14000</v>
      </c>
      <c r="G37">
        <v>20.98</v>
      </c>
      <c r="H37">
        <v>293720</v>
      </c>
      <c r="I37">
        <v>293338.15999999997</v>
      </c>
      <c r="J37">
        <v>2037237.07</v>
      </c>
      <c r="K37" t="str">
        <f>"1633"</f>
        <v>1633</v>
      </c>
      <c r="L37" t="str">
        <f t="shared" si="3"/>
        <v>0602813665</v>
      </c>
      <c r="M37" t="str">
        <f t="shared" si="4"/>
        <v>391448</v>
      </c>
      <c r="N37" t="str">
        <f>"1633"</f>
        <v>1633</v>
      </c>
      <c r="O37" t="str">
        <f>"27845272"</f>
        <v>27845272</v>
      </c>
      <c r="P37">
        <v>219974</v>
      </c>
      <c r="Q37">
        <v>88.12</v>
      </c>
      <c r="R37">
        <v>293.72000000000003</v>
      </c>
      <c r="S37">
        <v>0</v>
      </c>
      <c r="T37">
        <v>0</v>
      </c>
      <c r="U37">
        <v>0</v>
      </c>
      <c r="V37" t="str">
        <f t="shared" si="9"/>
        <v>证券卖出</v>
      </c>
    </row>
    <row r="38" spans="1:22" x14ac:dyDescent="0.15">
      <c r="A38" t="str">
        <f t="shared" si="5"/>
        <v>20160405</v>
      </c>
      <c r="B38" t="str">
        <f>"14:56:02"</f>
        <v>14:56:02</v>
      </c>
      <c r="C38" t="str">
        <f t="shared" si="1"/>
        <v>300306</v>
      </c>
      <c r="D38" t="str">
        <f t="shared" si="2"/>
        <v>远方光电</v>
      </c>
      <c r="E38" t="str">
        <f t="shared" si="8"/>
        <v>卖出</v>
      </c>
      <c r="F38">
        <v>-5000</v>
      </c>
      <c r="G38">
        <v>20.98</v>
      </c>
      <c r="H38">
        <v>104900</v>
      </c>
      <c r="I38">
        <v>104763.63</v>
      </c>
      <c r="J38">
        <v>2142000.7000000002</v>
      </c>
      <c r="K38" t="str">
        <f>"1643"</f>
        <v>1643</v>
      </c>
      <c r="L38" t="str">
        <f t="shared" si="3"/>
        <v>0602813665</v>
      </c>
      <c r="M38" t="str">
        <f t="shared" si="4"/>
        <v>391448</v>
      </c>
      <c r="N38" t="str">
        <f>"1643"</f>
        <v>1643</v>
      </c>
      <c r="O38" t="str">
        <f>"28061509"</f>
        <v>28061509</v>
      </c>
      <c r="P38">
        <v>214974</v>
      </c>
      <c r="Q38">
        <v>31.47</v>
      </c>
      <c r="R38">
        <v>104.9</v>
      </c>
      <c r="S38">
        <v>0</v>
      </c>
      <c r="T38">
        <v>0</v>
      </c>
      <c r="U38">
        <v>0</v>
      </c>
      <c r="V38" t="str">
        <f t="shared" si="9"/>
        <v>证券卖出</v>
      </c>
    </row>
    <row r="39" spans="1:22" x14ac:dyDescent="0.15">
      <c r="A39" t="str">
        <f t="shared" si="5"/>
        <v>20160405</v>
      </c>
      <c r="B39" t="str">
        <f>"20:27:48"</f>
        <v>20:27:48</v>
      </c>
      <c r="C39" t="str">
        <f>"736868"</f>
        <v>736868</v>
      </c>
      <c r="D39" t="str">
        <f>"飞科配号"</f>
        <v>飞科配号</v>
      </c>
      <c r="E39" t="str">
        <f>"买入"</f>
        <v>买入</v>
      </c>
      <c r="F39">
        <v>10</v>
      </c>
      <c r="G39">
        <v>0</v>
      </c>
      <c r="H39">
        <v>0</v>
      </c>
      <c r="I39">
        <v>0</v>
      </c>
      <c r="J39">
        <v>2142000.7000000002</v>
      </c>
      <c r="K39" t="str">
        <f>"0"</f>
        <v>0</v>
      </c>
      <c r="L39" t="str">
        <f>"E027990713"</f>
        <v>E027990713</v>
      </c>
      <c r="M39" t="str">
        <f>"24226"</f>
        <v>24226</v>
      </c>
      <c r="N39" t="str">
        <f>"463"</f>
        <v>463</v>
      </c>
      <c r="O39" t="str">
        <f>"0"</f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f>"起始配号:100023750867"</f>
        <v>起始配号:100023750867</v>
      </c>
    </row>
    <row r="40" spans="1:22" x14ac:dyDescent="0.15">
      <c r="A40" t="str">
        <f t="shared" ref="A40:A58" si="10">"20160406"</f>
        <v>20160406</v>
      </c>
      <c r="B40" t="str">
        <f>"09:43:47"</f>
        <v>09:43:47</v>
      </c>
      <c r="C40" t="str">
        <f t="shared" ref="C40:C57" si="11">"300306"</f>
        <v>300306</v>
      </c>
      <c r="D40" t="str">
        <f t="shared" ref="D40:D57" si="12">"远方光电"</f>
        <v>远方光电</v>
      </c>
      <c r="E40" t="str">
        <f>"买入"</f>
        <v>买入</v>
      </c>
      <c r="F40">
        <v>6500</v>
      </c>
      <c r="G40">
        <v>20.73</v>
      </c>
      <c r="H40">
        <v>134745</v>
      </c>
      <c r="I40">
        <v>-134785.42000000001</v>
      </c>
      <c r="J40">
        <v>2007215.28</v>
      </c>
      <c r="K40" t="str">
        <f>"233"</f>
        <v>233</v>
      </c>
      <c r="L40" t="str">
        <f t="shared" ref="L40:L71" si="13">"0602813665"</f>
        <v>0602813665</v>
      </c>
      <c r="M40" t="str">
        <f t="shared" ref="M40:M71" si="14">"391448"</f>
        <v>391448</v>
      </c>
      <c r="N40" t="str">
        <f>"233"</f>
        <v>233</v>
      </c>
      <c r="O40" t="str">
        <f>"5219655"</f>
        <v>5219655</v>
      </c>
      <c r="P40">
        <v>221474</v>
      </c>
      <c r="Q40">
        <v>40.42</v>
      </c>
      <c r="R40">
        <v>0</v>
      </c>
      <c r="S40">
        <v>0</v>
      </c>
      <c r="T40">
        <v>0</v>
      </c>
      <c r="U40">
        <v>0</v>
      </c>
      <c r="V40" t="str">
        <f>"证券买入"</f>
        <v>证券买入</v>
      </c>
    </row>
    <row r="41" spans="1:22" x14ac:dyDescent="0.15">
      <c r="A41" t="str">
        <f t="shared" si="10"/>
        <v>20160406</v>
      </c>
      <c r="B41" t="str">
        <f>"09:44:13"</f>
        <v>09:44:13</v>
      </c>
      <c r="C41" t="str">
        <f t="shared" si="11"/>
        <v>300306</v>
      </c>
      <c r="D41" t="str">
        <f t="shared" si="12"/>
        <v>远方光电</v>
      </c>
      <c r="E41" t="str">
        <f>"买入"</f>
        <v>买入</v>
      </c>
      <c r="F41">
        <v>3500</v>
      </c>
      <c r="G41">
        <v>20.72</v>
      </c>
      <c r="H41">
        <v>72520</v>
      </c>
      <c r="I41">
        <v>-72541.759999999995</v>
      </c>
      <c r="J41">
        <v>1934673.52</v>
      </c>
      <c r="K41" t="str">
        <f>"235"</f>
        <v>235</v>
      </c>
      <c r="L41" t="str">
        <f t="shared" si="13"/>
        <v>0602813665</v>
      </c>
      <c r="M41" t="str">
        <f t="shared" si="14"/>
        <v>391448</v>
      </c>
      <c r="N41" t="str">
        <f>"235"</f>
        <v>235</v>
      </c>
      <c r="O41" t="str">
        <f>"5359106"</f>
        <v>5359106</v>
      </c>
      <c r="P41">
        <v>224974</v>
      </c>
      <c r="Q41">
        <v>21.76</v>
      </c>
      <c r="R41">
        <v>0</v>
      </c>
      <c r="S41">
        <v>0</v>
      </c>
      <c r="T41">
        <v>0</v>
      </c>
      <c r="U41">
        <v>0</v>
      </c>
      <c r="V41" t="str">
        <f>"证券买入"</f>
        <v>证券买入</v>
      </c>
    </row>
    <row r="42" spans="1:22" x14ac:dyDescent="0.15">
      <c r="A42" t="str">
        <f t="shared" si="10"/>
        <v>20160406</v>
      </c>
      <c r="B42" t="str">
        <f>"09:55:41"</f>
        <v>09:55:41</v>
      </c>
      <c r="C42" t="str">
        <f t="shared" si="11"/>
        <v>300306</v>
      </c>
      <c r="D42" t="str">
        <f t="shared" si="12"/>
        <v>远方光电</v>
      </c>
      <c r="E42" t="str">
        <f>"买入"</f>
        <v>买入</v>
      </c>
      <c r="F42">
        <v>15000</v>
      </c>
      <c r="G42">
        <v>20.8</v>
      </c>
      <c r="H42">
        <v>312000</v>
      </c>
      <c r="I42">
        <v>-312093.59999999998</v>
      </c>
      <c r="J42">
        <v>1622579.92</v>
      </c>
      <c r="K42" t="str">
        <f>"340"</f>
        <v>340</v>
      </c>
      <c r="L42" t="str">
        <f t="shared" si="13"/>
        <v>0602813665</v>
      </c>
      <c r="M42" t="str">
        <f t="shared" si="14"/>
        <v>391448</v>
      </c>
      <c r="N42" t="str">
        <f>"340"</f>
        <v>340</v>
      </c>
      <c r="O42" t="str">
        <f>"8990372"</f>
        <v>8990372</v>
      </c>
      <c r="P42">
        <v>239974</v>
      </c>
      <c r="Q42">
        <v>93.6</v>
      </c>
      <c r="R42">
        <v>0</v>
      </c>
      <c r="S42">
        <v>0</v>
      </c>
      <c r="T42">
        <v>0</v>
      </c>
      <c r="U42">
        <v>0</v>
      </c>
      <c r="V42" t="str">
        <f>"证券买入"</f>
        <v>证券买入</v>
      </c>
    </row>
    <row r="43" spans="1:22" x14ac:dyDescent="0.15">
      <c r="A43" t="str">
        <f t="shared" si="10"/>
        <v>20160406</v>
      </c>
      <c r="B43" t="str">
        <f>"10:07:19"</f>
        <v>10:07:19</v>
      </c>
      <c r="C43" t="str">
        <f t="shared" si="11"/>
        <v>300306</v>
      </c>
      <c r="D43" t="str">
        <f t="shared" si="12"/>
        <v>远方光电</v>
      </c>
      <c r="E43" t="str">
        <f>"买入"</f>
        <v>买入</v>
      </c>
      <c r="F43">
        <v>7900</v>
      </c>
      <c r="G43">
        <v>20.89</v>
      </c>
      <c r="H43">
        <v>165028</v>
      </c>
      <c r="I43">
        <v>-165077.51</v>
      </c>
      <c r="J43">
        <v>1457502.41</v>
      </c>
      <c r="K43" t="str">
        <f>"476"</f>
        <v>476</v>
      </c>
      <c r="L43" t="str">
        <f t="shared" si="13"/>
        <v>0602813665</v>
      </c>
      <c r="M43" t="str">
        <f t="shared" si="14"/>
        <v>391448</v>
      </c>
      <c r="N43" t="str">
        <f>"476"</f>
        <v>476</v>
      </c>
      <c r="O43" t="str">
        <f>"11316016"</f>
        <v>11316016</v>
      </c>
      <c r="P43">
        <v>247874</v>
      </c>
      <c r="Q43">
        <v>49.51</v>
      </c>
      <c r="R43">
        <v>0</v>
      </c>
      <c r="S43">
        <v>0</v>
      </c>
      <c r="T43">
        <v>0</v>
      </c>
      <c r="U43">
        <v>0</v>
      </c>
      <c r="V43" t="str">
        <f>"证券买入"</f>
        <v>证券买入</v>
      </c>
    </row>
    <row r="44" spans="1:22" x14ac:dyDescent="0.15">
      <c r="A44" t="str">
        <f t="shared" si="10"/>
        <v>20160406</v>
      </c>
      <c r="B44" t="str">
        <f>"11:19:42"</f>
        <v>11:19:42</v>
      </c>
      <c r="C44" t="str">
        <f t="shared" si="11"/>
        <v>300306</v>
      </c>
      <c r="D44" t="str">
        <f t="shared" si="12"/>
        <v>远方光电</v>
      </c>
      <c r="E44" t="str">
        <f>"卖出"</f>
        <v>卖出</v>
      </c>
      <c r="F44">
        <v>-2900</v>
      </c>
      <c r="G44">
        <v>21.86</v>
      </c>
      <c r="H44">
        <v>63394</v>
      </c>
      <c r="I44">
        <v>63311.59</v>
      </c>
      <c r="J44">
        <v>1520814</v>
      </c>
      <c r="K44" t="str">
        <f>"1015"</f>
        <v>1015</v>
      </c>
      <c r="L44" t="str">
        <f t="shared" si="13"/>
        <v>0602813665</v>
      </c>
      <c r="M44" t="str">
        <f t="shared" si="14"/>
        <v>391448</v>
      </c>
      <c r="N44" t="str">
        <f>"1015"</f>
        <v>1015</v>
      </c>
      <c r="O44" t="str">
        <f>"22211728"</f>
        <v>22211728</v>
      </c>
      <c r="P44">
        <v>244974</v>
      </c>
      <c r="Q44">
        <v>19.02</v>
      </c>
      <c r="R44">
        <v>63.39</v>
      </c>
      <c r="S44">
        <v>0</v>
      </c>
      <c r="T44">
        <v>0</v>
      </c>
      <c r="U44">
        <v>0</v>
      </c>
      <c r="V44" t="str">
        <f>"证券卖出"</f>
        <v>证券卖出</v>
      </c>
    </row>
    <row r="45" spans="1:22" x14ac:dyDescent="0.15">
      <c r="A45" t="str">
        <f t="shared" si="10"/>
        <v>20160406</v>
      </c>
      <c r="B45" t="str">
        <f>"11:24:09"</f>
        <v>11:24:09</v>
      </c>
      <c r="C45" t="str">
        <f t="shared" si="11"/>
        <v>300306</v>
      </c>
      <c r="D45" t="str">
        <f t="shared" si="12"/>
        <v>远方光电</v>
      </c>
      <c r="E45" t="str">
        <f>"卖出"</f>
        <v>卖出</v>
      </c>
      <c r="F45">
        <v>-30000</v>
      </c>
      <c r="G45">
        <v>21.8</v>
      </c>
      <c r="H45">
        <v>654000</v>
      </c>
      <c r="I45">
        <v>653149.80000000005</v>
      </c>
      <c r="J45">
        <v>2173963.7999999998</v>
      </c>
      <c r="K45" t="str">
        <f>"1035"</f>
        <v>1035</v>
      </c>
      <c r="L45" t="str">
        <f t="shared" si="13"/>
        <v>0602813665</v>
      </c>
      <c r="M45" t="str">
        <f t="shared" si="14"/>
        <v>391448</v>
      </c>
      <c r="N45" t="str">
        <f>"1035"</f>
        <v>1035</v>
      </c>
      <c r="O45" t="str">
        <f>"22705174"</f>
        <v>22705174</v>
      </c>
      <c r="P45">
        <v>214974</v>
      </c>
      <c r="Q45">
        <v>196.2</v>
      </c>
      <c r="R45">
        <v>654</v>
      </c>
      <c r="S45">
        <v>0</v>
      </c>
      <c r="T45">
        <v>0</v>
      </c>
      <c r="U45">
        <v>0</v>
      </c>
      <c r="V45" t="str">
        <f>"证券卖出"</f>
        <v>证券卖出</v>
      </c>
    </row>
    <row r="46" spans="1:22" x14ac:dyDescent="0.15">
      <c r="A46" t="str">
        <f t="shared" si="10"/>
        <v>20160406</v>
      </c>
      <c r="B46" t="str">
        <f>"13:46:13"</f>
        <v>13:46:13</v>
      </c>
      <c r="C46" t="str">
        <f t="shared" si="11"/>
        <v>300306</v>
      </c>
      <c r="D46" t="str">
        <f t="shared" si="12"/>
        <v>远方光电</v>
      </c>
      <c r="E46" t="str">
        <f>"卖出"</f>
        <v>卖出</v>
      </c>
      <c r="F46">
        <v>-28050</v>
      </c>
      <c r="G46">
        <v>21.85</v>
      </c>
      <c r="H46">
        <v>612892.5</v>
      </c>
      <c r="I46">
        <v>612095.71</v>
      </c>
      <c r="J46">
        <v>2786059.51</v>
      </c>
      <c r="K46" t="str">
        <f>"1370"</f>
        <v>1370</v>
      </c>
      <c r="L46" t="str">
        <f t="shared" si="13"/>
        <v>0602813665</v>
      </c>
      <c r="M46" t="str">
        <f t="shared" si="14"/>
        <v>391448</v>
      </c>
      <c r="N46" t="str">
        <f>"1370"</f>
        <v>1370</v>
      </c>
      <c r="O46" t="str">
        <f>"29624987"</f>
        <v>29624987</v>
      </c>
      <c r="P46">
        <v>186924</v>
      </c>
      <c r="Q46">
        <v>183.87</v>
      </c>
      <c r="R46">
        <v>612.91999999999996</v>
      </c>
      <c r="S46">
        <v>0</v>
      </c>
      <c r="T46">
        <v>0</v>
      </c>
      <c r="U46">
        <v>0</v>
      </c>
      <c r="V46" t="str">
        <f>"证券卖出"</f>
        <v>证券卖出</v>
      </c>
    </row>
    <row r="47" spans="1:22" x14ac:dyDescent="0.15">
      <c r="A47" t="str">
        <f t="shared" si="10"/>
        <v>20160406</v>
      </c>
      <c r="B47" t="str">
        <f>"13:48:16"</f>
        <v>13:48:16</v>
      </c>
      <c r="C47" t="str">
        <f t="shared" si="11"/>
        <v>300306</v>
      </c>
      <c r="D47" t="str">
        <f t="shared" si="12"/>
        <v>远方光电</v>
      </c>
      <c r="E47" t="str">
        <f>"买入"</f>
        <v>买入</v>
      </c>
      <c r="F47">
        <v>28000</v>
      </c>
      <c r="G47">
        <v>21.7</v>
      </c>
      <c r="H47">
        <v>607600</v>
      </c>
      <c r="I47">
        <v>-607782.28</v>
      </c>
      <c r="J47">
        <v>2178277.23</v>
      </c>
      <c r="K47" t="str">
        <f>"1379"</f>
        <v>1379</v>
      </c>
      <c r="L47" t="str">
        <f t="shared" si="13"/>
        <v>0602813665</v>
      </c>
      <c r="M47" t="str">
        <f t="shared" si="14"/>
        <v>391448</v>
      </c>
      <c r="N47" t="str">
        <f>"1379"</f>
        <v>1379</v>
      </c>
      <c r="O47" t="str">
        <f>"30119027"</f>
        <v>30119027</v>
      </c>
      <c r="P47">
        <v>214924</v>
      </c>
      <c r="Q47">
        <v>182.28</v>
      </c>
      <c r="R47">
        <v>0</v>
      </c>
      <c r="S47">
        <v>0</v>
      </c>
      <c r="T47">
        <v>0</v>
      </c>
      <c r="U47">
        <v>0</v>
      </c>
      <c r="V47" t="str">
        <f>"证券买入"</f>
        <v>证券买入</v>
      </c>
    </row>
    <row r="48" spans="1:22" x14ac:dyDescent="0.15">
      <c r="A48" t="str">
        <f t="shared" si="10"/>
        <v>20160406</v>
      </c>
      <c r="B48" t="str">
        <f>"13:50:57"</f>
        <v>13:50:57</v>
      </c>
      <c r="C48" t="str">
        <f t="shared" si="11"/>
        <v>300306</v>
      </c>
      <c r="D48" t="str">
        <f t="shared" si="12"/>
        <v>远方光电</v>
      </c>
      <c r="E48" t="str">
        <f>"买入"</f>
        <v>买入</v>
      </c>
      <c r="F48">
        <v>20000</v>
      </c>
      <c r="G48">
        <v>21.896000000000001</v>
      </c>
      <c r="H48">
        <v>437926</v>
      </c>
      <c r="I48">
        <v>-438057.38</v>
      </c>
      <c r="J48">
        <v>1740219.85</v>
      </c>
      <c r="K48" t="str">
        <f>"1411"</f>
        <v>1411</v>
      </c>
      <c r="L48" t="str">
        <f t="shared" si="13"/>
        <v>0602813665</v>
      </c>
      <c r="M48" t="str">
        <f t="shared" si="14"/>
        <v>391448</v>
      </c>
      <c r="N48" t="str">
        <f>"1411"</f>
        <v>1411</v>
      </c>
      <c r="O48" t="str">
        <f>"30712888"</f>
        <v>30712888</v>
      </c>
      <c r="P48">
        <v>234924</v>
      </c>
      <c r="Q48">
        <v>131.38</v>
      </c>
      <c r="R48">
        <v>0</v>
      </c>
      <c r="S48">
        <v>0</v>
      </c>
      <c r="T48">
        <v>0</v>
      </c>
      <c r="U48">
        <v>0</v>
      </c>
      <c r="V48" t="str">
        <f>"证券买入"</f>
        <v>证券买入</v>
      </c>
    </row>
    <row r="49" spans="1:22" x14ac:dyDescent="0.15">
      <c r="A49" t="str">
        <f t="shared" si="10"/>
        <v>20160406</v>
      </c>
      <c r="B49" t="str">
        <f>"13:58:59"</f>
        <v>13:58:59</v>
      </c>
      <c r="C49" t="str">
        <f t="shared" si="11"/>
        <v>300306</v>
      </c>
      <c r="D49" t="str">
        <f t="shared" si="12"/>
        <v>远方光电</v>
      </c>
      <c r="E49" t="str">
        <f>"买入"</f>
        <v>买入</v>
      </c>
      <c r="F49">
        <v>10000</v>
      </c>
      <c r="G49">
        <v>21.86</v>
      </c>
      <c r="H49">
        <v>218600</v>
      </c>
      <c r="I49">
        <v>-218665.58</v>
      </c>
      <c r="J49">
        <v>1521554.27</v>
      </c>
      <c r="K49" t="str">
        <f>"1447"</f>
        <v>1447</v>
      </c>
      <c r="L49" t="str">
        <f t="shared" si="13"/>
        <v>0602813665</v>
      </c>
      <c r="M49" t="str">
        <f t="shared" si="14"/>
        <v>391448</v>
      </c>
      <c r="N49" t="str">
        <f>"1447"</f>
        <v>1447</v>
      </c>
      <c r="O49" t="str">
        <f>"31549089"</f>
        <v>31549089</v>
      </c>
      <c r="P49">
        <v>244924</v>
      </c>
      <c r="Q49">
        <v>65.58</v>
      </c>
      <c r="R49">
        <v>0</v>
      </c>
      <c r="S49">
        <v>0</v>
      </c>
      <c r="T49">
        <v>0</v>
      </c>
      <c r="U49">
        <v>0</v>
      </c>
      <c r="V49" t="str">
        <f>"证券买入"</f>
        <v>证券买入</v>
      </c>
    </row>
    <row r="50" spans="1:22" x14ac:dyDescent="0.15">
      <c r="A50" t="str">
        <f t="shared" si="10"/>
        <v>20160406</v>
      </c>
      <c r="B50" t="str">
        <f>"14:03:55"</f>
        <v>14:03:55</v>
      </c>
      <c r="C50" t="str">
        <f t="shared" si="11"/>
        <v>300306</v>
      </c>
      <c r="D50" t="str">
        <f t="shared" si="12"/>
        <v>远方光电</v>
      </c>
      <c r="E50" t="str">
        <f>"买入"</f>
        <v>买入</v>
      </c>
      <c r="F50">
        <v>1300</v>
      </c>
      <c r="G50">
        <v>21.91</v>
      </c>
      <c r="H50">
        <v>28483</v>
      </c>
      <c r="I50">
        <v>-28491.54</v>
      </c>
      <c r="J50">
        <v>1493062.73</v>
      </c>
      <c r="K50" t="str">
        <f>"1476"</f>
        <v>1476</v>
      </c>
      <c r="L50" t="str">
        <f t="shared" si="13"/>
        <v>0602813665</v>
      </c>
      <c r="M50" t="str">
        <f t="shared" si="14"/>
        <v>391448</v>
      </c>
      <c r="N50" t="str">
        <f>"1476"</f>
        <v>1476</v>
      </c>
      <c r="O50" t="str">
        <f>"32471005"</f>
        <v>32471005</v>
      </c>
      <c r="P50">
        <v>246224</v>
      </c>
      <c r="Q50">
        <v>8.5399999999999991</v>
      </c>
      <c r="R50">
        <v>0</v>
      </c>
      <c r="S50">
        <v>0</v>
      </c>
      <c r="T50">
        <v>0</v>
      </c>
      <c r="U50">
        <v>0</v>
      </c>
      <c r="V50" t="str">
        <f>"证券买入"</f>
        <v>证券买入</v>
      </c>
    </row>
    <row r="51" spans="1:22" x14ac:dyDescent="0.15">
      <c r="A51" t="str">
        <f t="shared" si="10"/>
        <v>20160406</v>
      </c>
      <c r="B51" t="str">
        <f>"14:14:59"</f>
        <v>14:14:59</v>
      </c>
      <c r="C51" t="str">
        <f t="shared" si="11"/>
        <v>300306</v>
      </c>
      <c r="D51" t="str">
        <f t="shared" si="12"/>
        <v>远方光电</v>
      </c>
      <c r="E51" t="str">
        <f>"卖出"</f>
        <v>卖出</v>
      </c>
      <c r="F51">
        <v>-10000</v>
      </c>
      <c r="G51">
        <v>22.05</v>
      </c>
      <c r="H51">
        <v>220500</v>
      </c>
      <c r="I51">
        <v>220213.35</v>
      </c>
      <c r="J51">
        <v>1713276.08</v>
      </c>
      <c r="K51" t="str">
        <f>"1550"</f>
        <v>1550</v>
      </c>
      <c r="L51" t="str">
        <f t="shared" si="13"/>
        <v>0602813665</v>
      </c>
      <c r="M51" t="str">
        <f t="shared" si="14"/>
        <v>391448</v>
      </c>
      <c r="N51" t="str">
        <f>"1550"</f>
        <v>1550</v>
      </c>
      <c r="O51" t="str">
        <f>"33521852"</f>
        <v>33521852</v>
      </c>
      <c r="P51">
        <v>236224</v>
      </c>
      <c r="Q51">
        <v>66.150000000000006</v>
      </c>
      <c r="R51">
        <v>220.5</v>
      </c>
      <c r="S51">
        <v>0</v>
      </c>
      <c r="T51">
        <v>0</v>
      </c>
      <c r="U51">
        <v>0</v>
      </c>
      <c r="V51" t="str">
        <f>"证券卖出"</f>
        <v>证券卖出</v>
      </c>
    </row>
    <row r="52" spans="1:22" x14ac:dyDescent="0.15">
      <c r="A52" t="str">
        <f t="shared" si="10"/>
        <v>20160406</v>
      </c>
      <c r="B52" t="str">
        <f>"14:16:46"</f>
        <v>14:16:46</v>
      </c>
      <c r="C52" t="str">
        <f t="shared" si="11"/>
        <v>300306</v>
      </c>
      <c r="D52" t="str">
        <f t="shared" si="12"/>
        <v>远方光电</v>
      </c>
      <c r="E52" t="str">
        <f>"卖出"</f>
        <v>卖出</v>
      </c>
      <c r="F52">
        <v>-1200</v>
      </c>
      <c r="G52">
        <v>22</v>
      </c>
      <c r="H52">
        <v>26400</v>
      </c>
      <c r="I52">
        <v>26365.68</v>
      </c>
      <c r="J52">
        <v>1739641.76</v>
      </c>
      <c r="K52" t="str">
        <f>"1570"</f>
        <v>1570</v>
      </c>
      <c r="L52" t="str">
        <f t="shared" si="13"/>
        <v>0602813665</v>
      </c>
      <c r="M52" t="str">
        <f t="shared" si="14"/>
        <v>391448</v>
      </c>
      <c r="N52" t="str">
        <f>"1570"</f>
        <v>1570</v>
      </c>
      <c r="O52" t="str">
        <f>"33676626"</f>
        <v>33676626</v>
      </c>
      <c r="P52">
        <v>235024</v>
      </c>
      <c r="Q52">
        <v>7.92</v>
      </c>
      <c r="R52">
        <v>26.4</v>
      </c>
      <c r="S52">
        <v>0</v>
      </c>
      <c r="T52">
        <v>0</v>
      </c>
      <c r="U52">
        <v>0</v>
      </c>
      <c r="V52" t="str">
        <f>"证券卖出"</f>
        <v>证券卖出</v>
      </c>
    </row>
    <row r="53" spans="1:22" x14ac:dyDescent="0.15">
      <c r="A53" t="str">
        <f t="shared" si="10"/>
        <v>20160406</v>
      </c>
      <c r="B53" t="str">
        <f>"14:18:01"</f>
        <v>14:18:01</v>
      </c>
      <c r="C53" t="str">
        <f t="shared" si="11"/>
        <v>300306</v>
      </c>
      <c r="D53" t="str">
        <f t="shared" si="12"/>
        <v>远方光电</v>
      </c>
      <c r="E53" t="str">
        <f>"卖出"</f>
        <v>卖出</v>
      </c>
      <c r="F53">
        <v>-17350</v>
      </c>
      <c r="G53">
        <v>22</v>
      </c>
      <c r="H53">
        <v>381700</v>
      </c>
      <c r="I53">
        <v>381203.79</v>
      </c>
      <c r="J53">
        <v>2120845.5499999998</v>
      </c>
      <c r="K53" t="str">
        <f>"1575"</f>
        <v>1575</v>
      </c>
      <c r="L53" t="str">
        <f t="shared" si="13"/>
        <v>0602813665</v>
      </c>
      <c r="M53" t="str">
        <f t="shared" si="14"/>
        <v>391448</v>
      </c>
      <c r="N53" t="str">
        <f>"1575"</f>
        <v>1575</v>
      </c>
      <c r="O53" t="str">
        <f>"33842539"</f>
        <v>33842539</v>
      </c>
      <c r="P53">
        <v>217674</v>
      </c>
      <c r="Q53">
        <v>114.51</v>
      </c>
      <c r="R53">
        <v>381.7</v>
      </c>
      <c r="S53">
        <v>0</v>
      </c>
      <c r="T53">
        <v>0</v>
      </c>
      <c r="U53">
        <v>0</v>
      </c>
      <c r="V53" t="str">
        <f>"证券卖出"</f>
        <v>证券卖出</v>
      </c>
    </row>
    <row r="54" spans="1:22" x14ac:dyDescent="0.15">
      <c r="A54" t="str">
        <f t="shared" si="10"/>
        <v>20160406</v>
      </c>
      <c r="B54" t="str">
        <f>"14:21:57"</f>
        <v>14:21:57</v>
      </c>
      <c r="C54" t="str">
        <f t="shared" si="11"/>
        <v>300306</v>
      </c>
      <c r="D54" t="str">
        <f t="shared" si="12"/>
        <v>远方光电</v>
      </c>
      <c r="E54" t="str">
        <f>"卖出"</f>
        <v>卖出</v>
      </c>
      <c r="F54">
        <v>-2700</v>
      </c>
      <c r="G54">
        <v>21.94</v>
      </c>
      <c r="H54">
        <v>59238</v>
      </c>
      <c r="I54">
        <v>59161</v>
      </c>
      <c r="J54">
        <v>2180006.5499999998</v>
      </c>
      <c r="K54" t="str">
        <f>"1592"</f>
        <v>1592</v>
      </c>
      <c r="L54" t="str">
        <f t="shared" si="13"/>
        <v>0602813665</v>
      </c>
      <c r="M54" t="str">
        <f t="shared" si="14"/>
        <v>391448</v>
      </c>
      <c r="N54" t="str">
        <f>"1592"</f>
        <v>1592</v>
      </c>
      <c r="O54" t="str">
        <f>"34266506"</f>
        <v>34266506</v>
      </c>
      <c r="P54">
        <v>214974</v>
      </c>
      <c r="Q54">
        <v>17.77</v>
      </c>
      <c r="R54">
        <v>59.23</v>
      </c>
      <c r="S54">
        <v>0</v>
      </c>
      <c r="T54">
        <v>0</v>
      </c>
      <c r="U54">
        <v>0</v>
      </c>
      <c r="V54" t="str">
        <f>"证券卖出"</f>
        <v>证券卖出</v>
      </c>
    </row>
    <row r="55" spans="1:22" x14ac:dyDescent="0.15">
      <c r="A55" t="str">
        <f t="shared" si="10"/>
        <v>20160406</v>
      </c>
      <c r="B55" t="str">
        <f>"14:32:44"</f>
        <v>14:32:44</v>
      </c>
      <c r="C55" t="str">
        <f t="shared" si="11"/>
        <v>300306</v>
      </c>
      <c r="D55" t="str">
        <f t="shared" si="12"/>
        <v>远方光电</v>
      </c>
      <c r="E55" t="str">
        <f>"买入"</f>
        <v>买入</v>
      </c>
      <c r="F55">
        <v>19800</v>
      </c>
      <c r="G55">
        <v>21.85</v>
      </c>
      <c r="H55">
        <v>432630</v>
      </c>
      <c r="I55">
        <v>-432759.79</v>
      </c>
      <c r="J55">
        <v>1747246.76</v>
      </c>
      <c r="K55" t="str">
        <f>"1632"</f>
        <v>1632</v>
      </c>
      <c r="L55" t="str">
        <f t="shared" si="13"/>
        <v>0602813665</v>
      </c>
      <c r="M55" t="str">
        <f t="shared" si="14"/>
        <v>391448</v>
      </c>
      <c r="N55" t="str">
        <f>"1632"</f>
        <v>1632</v>
      </c>
      <c r="O55" t="str">
        <f>"35651008"</f>
        <v>35651008</v>
      </c>
      <c r="P55">
        <v>234774</v>
      </c>
      <c r="Q55">
        <v>129.79</v>
      </c>
      <c r="R55">
        <v>0</v>
      </c>
      <c r="S55">
        <v>0</v>
      </c>
      <c r="T55">
        <v>0</v>
      </c>
      <c r="U55">
        <v>0</v>
      </c>
      <c r="V55" t="str">
        <f>"证券买入"</f>
        <v>证券买入</v>
      </c>
    </row>
    <row r="56" spans="1:22" x14ac:dyDescent="0.15">
      <c r="A56" t="str">
        <f t="shared" si="10"/>
        <v>20160406</v>
      </c>
      <c r="B56" t="str">
        <f>"14:34:35"</f>
        <v>14:34:35</v>
      </c>
      <c r="C56" t="str">
        <f t="shared" si="11"/>
        <v>300306</v>
      </c>
      <c r="D56" t="str">
        <f t="shared" si="12"/>
        <v>远方光电</v>
      </c>
      <c r="E56" t="str">
        <f>"买入"</f>
        <v>买入</v>
      </c>
      <c r="F56">
        <v>10200</v>
      </c>
      <c r="G56">
        <v>21.85</v>
      </c>
      <c r="H56">
        <v>222870</v>
      </c>
      <c r="I56">
        <v>-222936.86</v>
      </c>
      <c r="J56">
        <v>1524309.9</v>
      </c>
      <c r="K56" t="str">
        <f>"1648"</f>
        <v>1648</v>
      </c>
      <c r="L56" t="str">
        <f t="shared" si="13"/>
        <v>0602813665</v>
      </c>
      <c r="M56" t="str">
        <f t="shared" si="14"/>
        <v>391448</v>
      </c>
      <c r="N56" t="str">
        <f>"1648"</f>
        <v>1648</v>
      </c>
      <c r="O56" t="str">
        <f>"35862755"</f>
        <v>35862755</v>
      </c>
      <c r="P56">
        <v>244974</v>
      </c>
      <c r="Q56">
        <v>66.86</v>
      </c>
      <c r="R56">
        <v>0</v>
      </c>
      <c r="S56">
        <v>0</v>
      </c>
      <c r="T56">
        <v>0</v>
      </c>
      <c r="U56">
        <v>0</v>
      </c>
      <c r="V56" t="str">
        <f>"证券买入"</f>
        <v>证券买入</v>
      </c>
    </row>
    <row r="57" spans="1:22" x14ac:dyDescent="0.15">
      <c r="A57" t="str">
        <f t="shared" si="10"/>
        <v>20160406</v>
      </c>
      <c r="B57" t="str">
        <f>"14:52:28"</f>
        <v>14:52:28</v>
      </c>
      <c r="C57" t="str">
        <f t="shared" si="11"/>
        <v>300306</v>
      </c>
      <c r="D57" t="str">
        <f t="shared" si="12"/>
        <v>远方光电</v>
      </c>
      <c r="E57" t="str">
        <f>"卖出"</f>
        <v>卖出</v>
      </c>
      <c r="F57">
        <v>-30000</v>
      </c>
      <c r="G57">
        <v>22</v>
      </c>
      <c r="H57">
        <v>660000</v>
      </c>
      <c r="I57">
        <v>659142</v>
      </c>
      <c r="J57">
        <v>2183451.9</v>
      </c>
      <c r="K57" t="str">
        <f>"1748"</f>
        <v>1748</v>
      </c>
      <c r="L57" t="str">
        <f t="shared" si="13"/>
        <v>0602813665</v>
      </c>
      <c r="M57" t="str">
        <f t="shared" si="14"/>
        <v>391448</v>
      </c>
      <c r="N57" t="str">
        <f>"1748"</f>
        <v>1748</v>
      </c>
      <c r="O57" t="str">
        <f>"38601531"</f>
        <v>38601531</v>
      </c>
      <c r="P57">
        <v>214974</v>
      </c>
      <c r="Q57">
        <v>198</v>
      </c>
      <c r="R57">
        <v>660</v>
      </c>
      <c r="S57">
        <v>0</v>
      </c>
      <c r="T57">
        <v>0</v>
      </c>
      <c r="U57">
        <v>0</v>
      </c>
      <c r="V57" t="str">
        <f>"证券卖出"</f>
        <v>证券卖出</v>
      </c>
    </row>
    <row r="58" spans="1:22" x14ac:dyDescent="0.15">
      <c r="A58" t="str">
        <f t="shared" si="10"/>
        <v>20160406</v>
      </c>
      <c r="B58" t="str">
        <f>"22:42:16"</f>
        <v>22:42:16</v>
      </c>
      <c r="C58" t="str">
        <f>"002793"</f>
        <v>002793</v>
      </c>
      <c r="D58" t="str">
        <f>"东音股份"</f>
        <v>东音股份</v>
      </c>
      <c r="E58" t="str">
        <f>"买入"</f>
        <v>买入</v>
      </c>
      <c r="F58">
        <v>20</v>
      </c>
      <c r="G58">
        <v>0</v>
      </c>
      <c r="H58">
        <v>0</v>
      </c>
      <c r="I58">
        <v>0</v>
      </c>
      <c r="J58">
        <v>2183451.9</v>
      </c>
      <c r="K58" t="str">
        <f>"0"</f>
        <v>0</v>
      </c>
      <c r="L58" t="str">
        <f t="shared" si="13"/>
        <v>0602813665</v>
      </c>
      <c r="M58" t="str">
        <f t="shared" si="14"/>
        <v>391448</v>
      </c>
      <c r="N58" t="str">
        <f>"635"</f>
        <v>635</v>
      </c>
      <c r="O58" t="str">
        <f>"0"</f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f>"起始配号:51202285"</f>
        <v>起始配号:51202285</v>
      </c>
    </row>
    <row r="59" spans="1:22" x14ac:dyDescent="0.15">
      <c r="A59" t="str">
        <f t="shared" ref="A59:A80" si="15">"20160407"</f>
        <v>20160407</v>
      </c>
      <c r="B59" t="str">
        <f>"10:24:27"</f>
        <v>10:24:27</v>
      </c>
      <c r="C59" t="str">
        <f t="shared" ref="C59:C101" si="16">"300306"</f>
        <v>300306</v>
      </c>
      <c r="D59" t="str">
        <f t="shared" ref="D59:D101" si="17">"远方光电"</f>
        <v>远方光电</v>
      </c>
      <c r="E59" t="str">
        <f>"买入"</f>
        <v>买入</v>
      </c>
      <c r="F59">
        <v>5400</v>
      </c>
      <c r="G59">
        <v>22.65</v>
      </c>
      <c r="H59">
        <v>122310</v>
      </c>
      <c r="I59">
        <v>-122346.69</v>
      </c>
      <c r="J59">
        <v>2061105.21</v>
      </c>
      <c r="K59" t="str">
        <f>"583"</f>
        <v>583</v>
      </c>
      <c r="L59" t="str">
        <f t="shared" si="13"/>
        <v>0602813665</v>
      </c>
      <c r="M59" t="str">
        <f t="shared" si="14"/>
        <v>391448</v>
      </c>
      <c r="N59" t="str">
        <f>"583"</f>
        <v>583</v>
      </c>
      <c r="O59" t="str">
        <f>"10386282"</f>
        <v>10386282</v>
      </c>
      <c r="P59">
        <v>220374</v>
      </c>
      <c r="Q59">
        <v>36.69</v>
      </c>
      <c r="R59">
        <v>0</v>
      </c>
      <c r="S59">
        <v>0</v>
      </c>
      <c r="T59">
        <v>0</v>
      </c>
      <c r="U59">
        <v>0</v>
      </c>
      <c r="V59" t="str">
        <f>"证券买入"</f>
        <v>证券买入</v>
      </c>
    </row>
    <row r="60" spans="1:22" x14ac:dyDescent="0.15">
      <c r="A60" t="str">
        <f t="shared" si="15"/>
        <v>20160407</v>
      </c>
      <c r="B60" t="str">
        <f>"10:26:25"</f>
        <v>10:26:25</v>
      </c>
      <c r="C60" t="str">
        <f t="shared" si="16"/>
        <v>300306</v>
      </c>
      <c r="D60" t="str">
        <f t="shared" si="17"/>
        <v>远方光电</v>
      </c>
      <c r="E60" t="str">
        <f>"买入"</f>
        <v>买入</v>
      </c>
      <c r="F60">
        <v>18100</v>
      </c>
      <c r="G60">
        <v>22.65</v>
      </c>
      <c r="H60">
        <v>409965</v>
      </c>
      <c r="I60">
        <v>-410087.99</v>
      </c>
      <c r="J60">
        <v>1651017.22</v>
      </c>
      <c r="K60" t="str">
        <f>"592"</f>
        <v>592</v>
      </c>
      <c r="L60" t="str">
        <f t="shared" si="13"/>
        <v>0602813665</v>
      </c>
      <c r="M60" t="str">
        <f t="shared" si="14"/>
        <v>391448</v>
      </c>
      <c r="N60" t="str">
        <f>"592"</f>
        <v>592</v>
      </c>
      <c r="O60" t="str">
        <f>"10555413"</f>
        <v>10555413</v>
      </c>
      <c r="P60">
        <v>238474</v>
      </c>
      <c r="Q60">
        <v>122.99</v>
      </c>
      <c r="R60">
        <v>0</v>
      </c>
      <c r="S60">
        <v>0</v>
      </c>
      <c r="T60">
        <v>0</v>
      </c>
      <c r="U60">
        <v>0</v>
      </c>
      <c r="V60" t="str">
        <f>"证券买入"</f>
        <v>证券买入</v>
      </c>
    </row>
    <row r="61" spans="1:22" x14ac:dyDescent="0.15">
      <c r="A61" t="str">
        <f t="shared" si="15"/>
        <v>20160407</v>
      </c>
      <c r="B61" t="str">
        <f>"10:28:51"</f>
        <v>10:28:51</v>
      </c>
      <c r="C61" t="str">
        <f t="shared" si="16"/>
        <v>300306</v>
      </c>
      <c r="D61" t="str">
        <f t="shared" si="17"/>
        <v>远方光电</v>
      </c>
      <c r="E61" t="str">
        <f>"买入"</f>
        <v>买入</v>
      </c>
      <c r="F61">
        <v>14500</v>
      </c>
      <c r="G61">
        <v>22.689</v>
      </c>
      <c r="H61">
        <v>328993</v>
      </c>
      <c r="I61">
        <v>-329091.7</v>
      </c>
      <c r="J61">
        <v>1321925.52</v>
      </c>
      <c r="K61" t="str">
        <f>"603"</f>
        <v>603</v>
      </c>
      <c r="L61" t="str">
        <f t="shared" si="13"/>
        <v>0602813665</v>
      </c>
      <c r="M61" t="str">
        <f t="shared" si="14"/>
        <v>391448</v>
      </c>
      <c r="N61" t="str">
        <f>"603"</f>
        <v>603</v>
      </c>
      <c r="O61" t="str">
        <f>"10812115"</f>
        <v>10812115</v>
      </c>
      <c r="P61">
        <v>252974</v>
      </c>
      <c r="Q61">
        <v>98.7</v>
      </c>
      <c r="R61">
        <v>0</v>
      </c>
      <c r="S61">
        <v>0</v>
      </c>
      <c r="T61">
        <v>0</v>
      </c>
      <c r="U61">
        <v>0</v>
      </c>
      <c r="V61" t="str">
        <f>"证券买入"</f>
        <v>证券买入</v>
      </c>
    </row>
    <row r="62" spans="1:22" x14ac:dyDescent="0.15">
      <c r="A62" t="str">
        <f t="shared" si="15"/>
        <v>20160407</v>
      </c>
      <c r="B62" t="str">
        <f>"10:45:44"</f>
        <v>10:45:44</v>
      </c>
      <c r="C62" t="str">
        <f t="shared" si="16"/>
        <v>300306</v>
      </c>
      <c r="D62" t="str">
        <f t="shared" si="17"/>
        <v>远方光电</v>
      </c>
      <c r="E62" t="str">
        <f>"买入"</f>
        <v>买入</v>
      </c>
      <c r="F62">
        <v>10700</v>
      </c>
      <c r="G62">
        <v>22.4</v>
      </c>
      <c r="H62">
        <v>239680</v>
      </c>
      <c r="I62">
        <v>-239751.9</v>
      </c>
      <c r="J62">
        <v>1082173.6200000001</v>
      </c>
      <c r="K62" t="str">
        <f>"711"</f>
        <v>711</v>
      </c>
      <c r="L62" t="str">
        <f t="shared" si="13"/>
        <v>0602813665</v>
      </c>
      <c r="M62" t="str">
        <f t="shared" si="14"/>
        <v>391448</v>
      </c>
      <c r="N62" t="str">
        <f>"711"</f>
        <v>711</v>
      </c>
      <c r="O62" t="str">
        <f>"14154021"</f>
        <v>14154021</v>
      </c>
      <c r="P62">
        <v>263674</v>
      </c>
      <c r="Q62">
        <v>71.900000000000006</v>
      </c>
      <c r="R62">
        <v>0</v>
      </c>
      <c r="S62">
        <v>0</v>
      </c>
      <c r="T62">
        <v>0</v>
      </c>
      <c r="U62">
        <v>0</v>
      </c>
      <c r="V62" t="str">
        <f>"证券买入"</f>
        <v>证券买入</v>
      </c>
    </row>
    <row r="63" spans="1:22" x14ac:dyDescent="0.15">
      <c r="A63" t="str">
        <f t="shared" si="15"/>
        <v>20160407</v>
      </c>
      <c r="B63" t="str">
        <f>"11:01:58"</f>
        <v>11:01:58</v>
      </c>
      <c r="C63" t="str">
        <f t="shared" si="16"/>
        <v>300306</v>
      </c>
      <c r="D63" t="str">
        <f t="shared" si="17"/>
        <v>远方光电</v>
      </c>
      <c r="E63" t="str">
        <f t="shared" ref="E63:E71" si="18">"卖出"</f>
        <v>卖出</v>
      </c>
      <c r="F63">
        <v>-71600</v>
      </c>
      <c r="G63">
        <v>22.35</v>
      </c>
      <c r="H63">
        <v>1600260</v>
      </c>
      <c r="I63">
        <v>1598179.64</v>
      </c>
      <c r="J63">
        <v>2680353.2599999998</v>
      </c>
      <c r="K63" t="str">
        <f>"786"</f>
        <v>786</v>
      </c>
      <c r="L63" t="str">
        <f t="shared" si="13"/>
        <v>0602813665</v>
      </c>
      <c r="M63" t="str">
        <f t="shared" si="14"/>
        <v>391448</v>
      </c>
      <c r="N63" t="str">
        <f>"786"</f>
        <v>786</v>
      </c>
      <c r="O63" t="str">
        <f>"15262415"</f>
        <v>15262415</v>
      </c>
      <c r="P63">
        <v>192074</v>
      </c>
      <c r="Q63">
        <v>480.08</v>
      </c>
      <c r="R63">
        <v>1600.28</v>
      </c>
      <c r="S63">
        <v>0</v>
      </c>
      <c r="T63">
        <v>0</v>
      </c>
      <c r="U63">
        <v>0</v>
      </c>
      <c r="V63" t="str">
        <f t="shared" ref="V63:V71" si="19">"证券卖出"</f>
        <v>证券卖出</v>
      </c>
    </row>
    <row r="64" spans="1:22" x14ac:dyDescent="0.15">
      <c r="A64" t="str">
        <f t="shared" si="15"/>
        <v>20160407</v>
      </c>
      <c r="B64" t="str">
        <f>"11:25:48"</f>
        <v>11:25:48</v>
      </c>
      <c r="C64" t="str">
        <f t="shared" si="16"/>
        <v>300306</v>
      </c>
      <c r="D64" t="str">
        <f t="shared" si="17"/>
        <v>远方光电</v>
      </c>
      <c r="E64" t="str">
        <f t="shared" si="18"/>
        <v>卖出</v>
      </c>
      <c r="F64">
        <v>-28600</v>
      </c>
      <c r="G64">
        <v>22.56</v>
      </c>
      <c r="H64">
        <v>645216</v>
      </c>
      <c r="I64">
        <v>644377.23</v>
      </c>
      <c r="J64">
        <v>3324730.49</v>
      </c>
      <c r="K64" t="str">
        <f>"867"</f>
        <v>867</v>
      </c>
      <c r="L64" t="str">
        <f t="shared" si="13"/>
        <v>0602813665</v>
      </c>
      <c r="M64" t="str">
        <f t="shared" si="14"/>
        <v>391448</v>
      </c>
      <c r="N64" t="str">
        <f>"867"</f>
        <v>867</v>
      </c>
      <c r="O64" t="str">
        <f>"17409184"</f>
        <v>17409184</v>
      </c>
      <c r="P64">
        <v>163474</v>
      </c>
      <c r="Q64">
        <v>193.56</v>
      </c>
      <c r="R64">
        <v>645.21</v>
      </c>
      <c r="S64">
        <v>0</v>
      </c>
      <c r="T64">
        <v>0</v>
      </c>
      <c r="U64">
        <v>0</v>
      </c>
      <c r="V64" t="str">
        <f t="shared" si="19"/>
        <v>证券卖出</v>
      </c>
    </row>
    <row r="65" spans="1:22" x14ac:dyDescent="0.15">
      <c r="A65" t="str">
        <f t="shared" si="15"/>
        <v>20160407</v>
      </c>
      <c r="B65" t="str">
        <f>"13:04:26"</f>
        <v>13:04:26</v>
      </c>
      <c r="C65" t="str">
        <f t="shared" si="16"/>
        <v>300306</v>
      </c>
      <c r="D65" t="str">
        <f t="shared" si="17"/>
        <v>远方光电</v>
      </c>
      <c r="E65" t="str">
        <f t="shared" si="18"/>
        <v>卖出</v>
      </c>
      <c r="F65">
        <v>-11960</v>
      </c>
      <c r="G65">
        <v>22.4</v>
      </c>
      <c r="H65">
        <v>267904</v>
      </c>
      <c r="I65">
        <v>267555.73</v>
      </c>
      <c r="J65">
        <v>3592286.22</v>
      </c>
      <c r="K65" t="str">
        <f>"914"</f>
        <v>914</v>
      </c>
      <c r="L65" t="str">
        <f t="shared" si="13"/>
        <v>0602813665</v>
      </c>
      <c r="M65" t="str">
        <f t="shared" si="14"/>
        <v>391448</v>
      </c>
      <c r="N65" t="str">
        <f>"914"</f>
        <v>914</v>
      </c>
      <c r="O65" t="str">
        <f>"18279784"</f>
        <v>18279784</v>
      </c>
      <c r="P65">
        <v>151514</v>
      </c>
      <c r="Q65">
        <v>80.37</v>
      </c>
      <c r="R65">
        <v>267.89999999999998</v>
      </c>
      <c r="S65">
        <v>0</v>
      </c>
      <c r="T65">
        <v>0</v>
      </c>
      <c r="U65">
        <v>0</v>
      </c>
      <c r="V65" t="str">
        <f t="shared" si="19"/>
        <v>证券卖出</v>
      </c>
    </row>
    <row r="66" spans="1:22" x14ac:dyDescent="0.15">
      <c r="A66" t="str">
        <f t="shared" si="15"/>
        <v>20160407</v>
      </c>
      <c r="B66" t="str">
        <f>"13:05:36"</f>
        <v>13:05:36</v>
      </c>
      <c r="C66" t="str">
        <f t="shared" si="16"/>
        <v>300306</v>
      </c>
      <c r="D66" t="str">
        <f t="shared" si="17"/>
        <v>远方光电</v>
      </c>
      <c r="E66" t="str">
        <f t="shared" si="18"/>
        <v>卖出</v>
      </c>
      <c r="F66">
        <v>-11600</v>
      </c>
      <c r="G66">
        <v>22.36</v>
      </c>
      <c r="H66">
        <v>259377</v>
      </c>
      <c r="I66">
        <v>259039.81</v>
      </c>
      <c r="J66">
        <v>3851326.03</v>
      </c>
      <c r="K66" t="str">
        <f>"922"</f>
        <v>922</v>
      </c>
      <c r="L66" t="str">
        <f t="shared" si="13"/>
        <v>0602813665</v>
      </c>
      <c r="M66" t="str">
        <f t="shared" si="14"/>
        <v>391448</v>
      </c>
      <c r="N66" t="str">
        <f>"922"</f>
        <v>922</v>
      </c>
      <c r="O66" t="str">
        <f>"18476745"</f>
        <v>18476745</v>
      </c>
      <c r="P66">
        <v>139914</v>
      </c>
      <c r="Q66">
        <v>77.81</v>
      </c>
      <c r="R66">
        <v>259.38</v>
      </c>
      <c r="S66">
        <v>0</v>
      </c>
      <c r="T66">
        <v>0</v>
      </c>
      <c r="U66">
        <v>0</v>
      </c>
      <c r="V66" t="str">
        <f t="shared" si="19"/>
        <v>证券卖出</v>
      </c>
    </row>
    <row r="67" spans="1:22" x14ac:dyDescent="0.15">
      <c r="A67" t="str">
        <f t="shared" si="15"/>
        <v>20160407</v>
      </c>
      <c r="B67" t="str">
        <f>"13:12:47"</f>
        <v>13:12:47</v>
      </c>
      <c r="C67" t="str">
        <f t="shared" si="16"/>
        <v>300306</v>
      </c>
      <c r="D67" t="str">
        <f t="shared" si="17"/>
        <v>远方光电</v>
      </c>
      <c r="E67" t="str">
        <f t="shared" si="18"/>
        <v>卖出</v>
      </c>
      <c r="F67">
        <v>-4100</v>
      </c>
      <c r="G67">
        <v>22.5</v>
      </c>
      <c r="H67">
        <v>92250</v>
      </c>
      <c r="I67">
        <v>92130.07</v>
      </c>
      <c r="J67">
        <v>3943456.1</v>
      </c>
      <c r="K67" t="str">
        <f>"911"</f>
        <v>911</v>
      </c>
      <c r="L67" t="str">
        <f t="shared" si="13"/>
        <v>0602813665</v>
      </c>
      <c r="M67" t="str">
        <f t="shared" si="14"/>
        <v>391448</v>
      </c>
      <c r="N67" t="str">
        <f>"911"</f>
        <v>911</v>
      </c>
      <c r="O67" t="str">
        <f>"19127602"</f>
        <v>19127602</v>
      </c>
      <c r="P67">
        <v>135814</v>
      </c>
      <c r="Q67">
        <v>27.68</v>
      </c>
      <c r="R67">
        <v>92.25</v>
      </c>
      <c r="S67">
        <v>0</v>
      </c>
      <c r="T67">
        <v>0</v>
      </c>
      <c r="U67">
        <v>0</v>
      </c>
      <c r="V67" t="str">
        <f t="shared" si="19"/>
        <v>证券卖出</v>
      </c>
    </row>
    <row r="68" spans="1:22" x14ac:dyDescent="0.15">
      <c r="A68" t="str">
        <f t="shared" si="15"/>
        <v>20160407</v>
      </c>
      <c r="B68" t="str">
        <f>"13:19:01"</f>
        <v>13:19:01</v>
      </c>
      <c r="C68" t="str">
        <f t="shared" si="16"/>
        <v>300306</v>
      </c>
      <c r="D68" t="str">
        <f t="shared" si="17"/>
        <v>远方光电</v>
      </c>
      <c r="E68" t="str">
        <f t="shared" si="18"/>
        <v>卖出</v>
      </c>
      <c r="F68">
        <v>-6600</v>
      </c>
      <c r="G68">
        <v>22.460999999999999</v>
      </c>
      <c r="H68">
        <v>148242</v>
      </c>
      <c r="I68">
        <v>148049.28</v>
      </c>
      <c r="J68">
        <v>4091505.38</v>
      </c>
      <c r="K68" t="str">
        <f>"976"</f>
        <v>976</v>
      </c>
      <c r="L68" t="str">
        <f t="shared" si="13"/>
        <v>0602813665</v>
      </c>
      <c r="M68" t="str">
        <f t="shared" si="14"/>
        <v>391448</v>
      </c>
      <c r="N68" t="str">
        <f>"976"</f>
        <v>976</v>
      </c>
      <c r="O68" t="str">
        <f>"19376833"</f>
        <v>19376833</v>
      </c>
      <c r="P68">
        <v>129214</v>
      </c>
      <c r="Q68">
        <v>44.47</v>
      </c>
      <c r="R68">
        <v>148.25</v>
      </c>
      <c r="S68">
        <v>0</v>
      </c>
      <c r="T68">
        <v>0</v>
      </c>
      <c r="U68">
        <v>0</v>
      </c>
      <c r="V68" t="str">
        <f t="shared" si="19"/>
        <v>证券卖出</v>
      </c>
    </row>
    <row r="69" spans="1:22" x14ac:dyDescent="0.15">
      <c r="A69" t="str">
        <f t="shared" si="15"/>
        <v>20160407</v>
      </c>
      <c r="B69" t="str">
        <f>"13:39:21"</f>
        <v>13:39:21</v>
      </c>
      <c r="C69" t="str">
        <f t="shared" si="16"/>
        <v>300306</v>
      </c>
      <c r="D69" t="str">
        <f t="shared" si="17"/>
        <v>远方光电</v>
      </c>
      <c r="E69" t="str">
        <f t="shared" si="18"/>
        <v>卖出</v>
      </c>
      <c r="F69">
        <v>-10600</v>
      </c>
      <c r="G69">
        <v>22.222999999999999</v>
      </c>
      <c r="H69">
        <v>235565</v>
      </c>
      <c r="I69">
        <v>235258.76</v>
      </c>
      <c r="J69">
        <v>4326764.1399999997</v>
      </c>
      <c r="K69" t="str">
        <f>"1048"</f>
        <v>1048</v>
      </c>
      <c r="L69" t="str">
        <f t="shared" si="13"/>
        <v>0602813665</v>
      </c>
      <c r="M69" t="str">
        <f t="shared" si="14"/>
        <v>391448</v>
      </c>
      <c r="N69" t="str">
        <f>"1048"</f>
        <v>1048</v>
      </c>
      <c r="O69" t="str">
        <f>"21146576"</f>
        <v>21146576</v>
      </c>
      <c r="P69">
        <v>118614</v>
      </c>
      <c r="Q69">
        <v>70.67</v>
      </c>
      <c r="R69">
        <v>235.57</v>
      </c>
      <c r="S69">
        <v>0</v>
      </c>
      <c r="T69">
        <v>0</v>
      </c>
      <c r="U69">
        <v>0</v>
      </c>
      <c r="V69" t="str">
        <f t="shared" si="19"/>
        <v>证券卖出</v>
      </c>
    </row>
    <row r="70" spans="1:22" x14ac:dyDescent="0.15">
      <c r="A70" t="str">
        <f t="shared" si="15"/>
        <v>20160407</v>
      </c>
      <c r="B70" t="str">
        <f>"13:39:43"</f>
        <v>13:39:43</v>
      </c>
      <c r="C70" t="str">
        <f t="shared" si="16"/>
        <v>300306</v>
      </c>
      <c r="D70" t="str">
        <f t="shared" si="17"/>
        <v>远方光电</v>
      </c>
      <c r="E70" t="str">
        <f t="shared" si="18"/>
        <v>卖出</v>
      </c>
      <c r="F70">
        <v>-7000</v>
      </c>
      <c r="G70">
        <v>22.22</v>
      </c>
      <c r="H70">
        <v>155540</v>
      </c>
      <c r="I70">
        <v>155337.79999999999</v>
      </c>
      <c r="J70">
        <v>4482101.9400000004</v>
      </c>
      <c r="K70" t="str">
        <f>"1053"</f>
        <v>1053</v>
      </c>
      <c r="L70" t="str">
        <f t="shared" si="13"/>
        <v>0602813665</v>
      </c>
      <c r="M70" t="str">
        <f t="shared" si="14"/>
        <v>391448</v>
      </c>
      <c r="N70" t="str">
        <f>"1053"</f>
        <v>1053</v>
      </c>
      <c r="O70" t="str">
        <f>"21200432"</f>
        <v>21200432</v>
      </c>
      <c r="P70">
        <v>111614</v>
      </c>
      <c r="Q70">
        <v>46.66</v>
      </c>
      <c r="R70">
        <v>155.54</v>
      </c>
      <c r="S70">
        <v>0</v>
      </c>
      <c r="T70">
        <v>0</v>
      </c>
      <c r="U70">
        <v>0</v>
      </c>
      <c r="V70" t="str">
        <f t="shared" si="19"/>
        <v>证券卖出</v>
      </c>
    </row>
    <row r="71" spans="1:22" x14ac:dyDescent="0.15">
      <c r="A71" t="str">
        <f t="shared" si="15"/>
        <v>20160407</v>
      </c>
      <c r="B71" t="str">
        <f>"13:40:28"</f>
        <v>13:40:28</v>
      </c>
      <c r="C71" t="str">
        <f t="shared" si="16"/>
        <v>300306</v>
      </c>
      <c r="D71" t="str">
        <f t="shared" si="17"/>
        <v>远方光电</v>
      </c>
      <c r="E71" t="str">
        <f t="shared" si="18"/>
        <v>卖出</v>
      </c>
      <c r="F71">
        <v>-8900</v>
      </c>
      <c r="G71">
        <v>22.2</v>
      </c>
      <c r="H71">
        <v>197580</v>
      </c>
      <c r="I71">
        <v>197323.15</v>
      </c>
      <c r="J71">
        <v>4679425.09</v>
      </c>
      <c r="K71" t="str">
        <f>"1060"</f>
        <v>1060</v>
      </c>
      <c r="L71" t="str">
        <f t="shared" si="13"/>
        <v>0602813665</v>
      </c>
      <c r="M71" t="str">
        <f t="shared" si="14"/>
        <v>391448</v>
      </c>
      <c r="N71" t="str">
        <f>"1060"</f>
        <v>1060</v>
      </c>
      <c r="O71" t="str">
        <f>"21293996"</f>
        <v>21293996</v>
      </c>
      <c r="P71">
        <v>102714</v>
      </c>
      <c r="Q71">
        <v>59.27</v>
      </c>
      <c r="R71">
        <v>197.58</v>
      </c>
      <c r="S71">
        <v>0</v>
      </c>
      <c r="T71">
        <v>0</v>
      </c>
      <c r="U71">
        <v>0</v>
      </c>
      <c r="V71" t="str">
        <f t="shared" si="19"/>
        <v>证券卖出</v>
      </c>
    </row>
    <row r="72" spans="1:22" x14ac:dyDescent="0.15">
      <c r="A72" t="str">
        <f t="shared" si="15"/>
        <v>20160407</v>
      </c>
      <c r="B72" t="str">
        <f>"13:42:21"</f>
        <v>13:42:21</v>
      </c>
      <c r="C72" t="str">
        <f t="shared" si="16"/>
        <v>300306</v>
      </c>
      <c r="D72" t="str">
        <f t="shared" si="17"/>
        <v>远方光电</v>
      </c>
      <c r="E72" t="str">
        <f>"买入"</f>
        <v>买入</v>
      </c>
      <c r="F72">
        <v>2100</v>
      </c>
      <c r="G72">
        <v>22.15</v>
      </c>
      <c r="H72">
        <v>46515</v>
      </c>
      <c r="I72">
        <v>-46528.95</v>
      </c>
      <c r="J72">
        <v>4632896.1399999997</v>
      </c>
      <c r="K72" t="str">
        <f>"1074"</f>
        <v>1074</v>
      </c>
      <c r="L72" t="str">
        <f t="shared" ref="L72:L106" si="20">"0602813665"</f>
        <v>0602813665</v>
      </c>
      <c r="M72" t="str">
        <f t="shared" ref="M72:M106" si="21">"391448"</f>
        <v>391448</v>
      </c>
      <c r="N72" t="str">
        <f>"1074"</f>
        <v>1074</v>
      </c>
      <c r="O72" t="str">
        <f>"21365795"</f>
        <v>21365795</v>
      </c>
      <c r="P72">
        <v>104814</v>
      </c>
      <c r="Q72">
        <v>13.95</v>
      </c>
      <c r="R72">
        <v>0</v>
      </c>
      <c r="S72">
        <v>0</v>
      </c>
      <c r="T72">
        <v>0</v>
      </c>
      <c r="U72">
        <v>0</v>
      </c>
      <c r="V72" t="str">
        <f>"证券买入"</f>
        <v>证券买入</v>
      </c>
    </row>
    <row r="73" spans="1:22" x14ac:dyDescent="0.15">
      <c r="A73" t="str">
        <f t="shared" si="15"/>
        <v>20160407</v>
      </c>
      <c r="B73" t="str">
        <f>"13:42:47"</f>
        <v>13:42:47</v>
      </c>
      <c r="C73" t="str">
        <f t="shared" si="16"/>
        <v>300306</v>
      </c>
      <c r="D73" t="str">
        <f t="shared" si="17"/>
        <v>远方光电</v>
      </c>
      <c r="E73" t="str">
        <f>"买入"</f>
        <v>买入</v>
      </c>
      <c r="F73">
        <v>2700</v>
      </c>
      <c r="G73">
        <v>22.135999999999999</v>
      </c>
      <c r="H73">
        <v>59768</v>
      </c>
      <c r="I73">
        <v>-59785.93</v>
      </c>
      <c r="J73">
        <v>4573110.21</v>
      </c>
      <c r="K73" t="str">
        <f>"1079"</f>
        <v>1079</v>
      </c>
      <c r="L73" t="str">
        <f t="shared" si="20"/>
        <v>0602813665</v>
      </c>
      <c r="M73" t="str">
        <f t="shared" si="21"/>
        <v>391448</v>
      </c>
      <c r="N73" t="str">
        <f>"1079"</f>
        <v>1079</v>
      </c>
      <c r="O73" t="str">
        <f>"21399213"</f>
        <v>21399213</v>
      </c>
      <c r="P73">
        <v>107514</v>
      </c>
      <c r="Q73">
        <v>17.93</v>
      </c>
      <c r="R73">
        <v>0</v>
      </c>
      <c r="S73">
        <v>0</v>
      </c>
      <c r="T73">
        <v>0</v>
      </c>
      <c r="U73">
        <v>0</v>
      </c>
      <c r="V73" t="str">
        <f>"证券买入"</f>
        <v>证券买入</v>
      </c>
    </row>
    <row r="74" spans="1:22" x14ac:dyDescent="0.15">
      <c r="A74" t="str">
        <f t="shared" si="15"/>
        <v>20160407</v>
      </c>
      <c r="B74" t="str">
        <f>"13:43:25"</f>
        <v>13:43:25</v>
      </c>
      <c r="C74" t="str">
        <f t="shared" si="16"/>
        <v>300306</v>
      </c>
      <c r="D74" t="str">
        <f t="shared" si="17"/>
        <v>远方光电</v>
      </c>
      <c r="E74" t="str">
        <f>"买入"</f>
        <v>买入</v>
      </c>
      <c r="F74">
        <v>2200</v>
      </c>
      <c r="G74">
        <v>22.1</v>
      </c>
      <c r="H74">
        <v>48620</v>
      </c>
      <c r="I74">
        <v>-48634.59</v>
      </c>
      <c r="J74">
        <v>4524475.62</v>
      </c>
      <c r="K74" t="str">
        <f>"1080"</f>
        <v>1080</v>
      </c>
      <c r="L74" t="str">
        <f t="shared" si="20"/>
        <v>0602813665</v>
      </c>
      <c r="M74" t="str">
        <f t="shared" si="21"/>
        <v>391448</v>
      </c>
      <c r="N74" t="str">
        <f>"1080"</f>
        <v>1080</v>
      </c>
      <c r="O74" t="str">
        <f>"21428624"</f>
        <v>21428624</v>
      </c>
      <c r="P74">
        <v>109714</v>
      </c>
      <c r="Q74">
        <v>14.59</v>
      </c>
      <c r="R74">
        <v>0</v>
      </c>
      <c r="S74">
        <v>0</v>
      </c>
      <c r="T74">
        <v>0</v>
      </c>
      <c r="U74">
        <v>0</v>
      </c>
      <c r="V74" t="str">
        <f>"证券买入"</f>
        <v>证券买入</v>
      </c>
    </row>
    <row r="75" spans="1:22" x14ac:dyDescent="0.15">
      <c r="A75" t="str">
        <f t="shared" si="15"/>
        <v>20160407</v>
      </c>
      <c r="B75" t="str">
        <f>"13:45:04"</f>
        <v>13:45:04</v>
      </c>
      <c r="C75" t="str">
        <f t="shared" si="16"/>
        <v>300306</v>
      </c>
      <c r="D75" t="str">
        <f t="shared" si="17"/>
        <v>远方光电</v>
      </c>
      <c r="E75" t="str">
        <f>"买入"</f>
        <v>买入</v>
      </c>
      <c r="F75">
        <v>40400</v>
      </c>
      <c r="G75">
        <v>22.15</v>
      </c>
      <c r="H75">
        <v>894857</v>
      </c>
      <c r="I75">
        <v>-895125.46</v>
      </c>
      <c r="J75">
        <v>3629350.16</v>
      </c>
      <c r="K75" t="str">
        <f>"1091"</f>
        <v>1091</v>
      </c>
      <c r="L75" t="str">
        <f t="shared" si="20"/>
        <v>0602813665</v>
      </c>
      <c r="M75" t="str">
        <f t="shared" si="21"/>
        <v>391448</v>
      </c>
      <c r="N75" t="str">
        <f>"1091"</f>
        <v>1091</v>
      </c>
      <c r="O75" t="str">
        <f>"21592051"</f>
        <v>21592051</v>
      </c>
      <c r="P75">
        <v>150114</v>
      </c>
      <c r="Q75">
        <v>268.45999999999998</v>
      </c>
      <c r="R75">
        <v>0</v>
      </c>
      <c r="S75">
        <v>0</v>
      </c>
      <c r="T75">
        <v>0</v>
      </c>
      <c r="U75">
        <v>0</v>
      </c>
      <c r="V75" t="str">
        <f>"证券买入"</f>
        <v>证券买入</v>
      </c>
    </row>
    <row r="76" spans="1:22" x14ac:dyDescent="0.15">
      <c r="A76" t="str">
        <f t="shared" si="15"/>
        <v>20160407</v>
      </c>
      <c r="B76" t="str">
        <f>"13:46:39"</f>
        <v>13:46:39</v>
      </c>
      <c r="C76" t="str">
        <f t="shared" si="16"/>
        <v>300306</v>
      </c>
      <c r="D76" t="str">
        <f t="shared" si="17"/>
        <v>远方光电</v>
      </c>
      <c r="E76" t="str">
        <f>"买入"</f>
        <v>买入</v>
      </c>
      <c r="F76">
        <v>12300</v>
      </c>
      <c r="G76">
        <v>22.149000000000001</v>
      </c>
      <c r="H76">
        <v>272435</v>
      </c>
      <c r="I76">
        <v>-272516.73</v>
      </c>
      <c r="J76">
        <v>3356833.43</v>
      </c>
      <c r="K76" t="str">
        <f>"1096"</f>
        <v>1096</v>
      </c>
      <c r="L76" t="str">
        <f t="shared" si="20"/>
        <v>0602813665</v>
      </c>
      <c r="M76" t="str">
        <f t="shared" si="21"/>
        <v>391448</v>
      </c>
      <c r="N76" t="str">
        <f>"1096"</f>
        <v>1096</v>
      </c>
      <c r="O76" t="str">
        <f>"21681057"</f>
        <v>21681057</v>
      </c>
      <c r="P76">
        <v>162414</v>
      </c>
      <c r="Q76">
        <v>81.73</v>
      </c>
      <c r="R76">
        <v>0</v>
      </c>
      <c r="S76">
        <v>0</v>
      </c>
      <c r="T76">
        <v>0</v>
      </c>
      <c r="U76">
        <v>0</v>
      </c>
      <c r="V76" t="str">
        <f>"证券买入"</f>
        <v>证券买入</v>
      </c>
    </row>
    <row r="77" spans="1:22" x14ac:dyDescent="0.15">
      <c r="A77" t="str">
        <f t="shared" si="15"/>
        <v>20160407</v>
      </c>
      <c r="B77" t="str">
        <f>"13:58:50"</f>
        <v>13:58:50</v>
      </c>
      <c r="C77" t="str">
        <f t="shared" si="16"/>
        <v>300306</v>
      </c>
      <c r="D77" t="str">
        <f t="shared" si="17"/>
        <v>远方光电</v>
      </c>
      <c r="E77" t="str">
        <f>"卖出"</f>
        <v>卖出</v>
      </c>
      <c r="F77">
        <v>-5800</v>
      </c>
      <c r="G77">
        <v>22.4</v>
      </c>
      <c r="H77">
        <v>129920</v>
      </c>
      <c r="I77">
        <v>129751.1</v>
      </c>
      <c r="J77">
        <v>3486584.53</v>
      </c>
      <c r="K77" t="str">
        <f>"1126"</f>
        <v>1126</v>
      </c>
      <c r="L77" t="str">
        <f t="shared" si="20"/>
        <v>0602813665</v>
      </c>
      <c r="M77" t="str">
        <f t="shared" si="21"/>
        <v>391448</v>
      </c>
      <c r="N77" t="str">
        <f>"1126"</f>
        <v>1126</v>
      </c>
      <c r="O77" t="str">
        <f>"23089298"</f>
        <v>23089298</v>
      </c>
      <c r="P77">
        <v>156614</v>
      </c>
      <c r="Q77">
        <v>38.979999999999997</v>
      </c>
      <c r="R77">
        <v>129.91999999999999</v>
      </c>
      <c r="S77">
        <v>0</v>
      </c>
      <c r="T77">
        <v>0</v>
      </c>
      <c r="U77">
        <v>0</v>
      </c>
      <c r="V77" t="str">
        <f>"证券卖出"</f>
        <v>证券卖出</v>
      </c>
    </row>
    <row r="78" spans="1:22" x14ac:dyDescent="0.15">
      <c r="A78" t="str">
        <f t="shared" si="15"/>
        <v>20160407</v>
      </c>
      <c r="B78" t="str">
        <f>"14:23:02"</f>
        <v>14:23:02</v>
      </c>
      <c r="C78" t="str">
        <f t="shared" si="16"/>
        <v>300306</v>
      </c>
      <c r="D78" t="str">
        <f t="shared" si="17"/>
        <v>远方光电</v>
      </c>
      <c r="E78" t="str">
        <f>"卖出"</f>
        <v>卖出</v>
      </c>
      <c r="F78">
        <v>-47114</v>
      </c>
      <c r="G78">
        <v>22.2</v>
      </c>
      <c r="H78">
        <v>1045930.8</v>
      </c>
      <c r="I78">
        <v>1044571.09</v>
      </c>
      <c r="J78">
        <v>4531155.62</v>
      </c>
      <c r="K78" t="str">
        <f>"1314"</f>
        <v>1314</v>
      </c>
      <c r="L78" t="str">
        <f t="shared" si="20"/>
        <v>0602813665</v>
      </c>
      <c r="M78" t="str">
        <f t="shared" si="21"/>
        <v>391448</v>
      </c>
      <c r="N78" t="str">
        <f>"1314"</f>
        <v>1314</v>
      </c>
      <c r="O78" t="str">
        <f>"25258186"</f>
        <v>25258186</v>
      </c>
      <c r="P78">
        <v>109500</v>
      </c>
      <c r="Q78">
        <v>313.77999999999997</v>
      </c>
      <c r="R78">
        <v>1045.93</v>
      </c>
      <c r="S78">
        <v>0</v>
      </c>
      <c r="T78">
        <v>0</v>
      </c>
      <c r="U78">
        <v>0</v>
      </c>
      <c r="V78" t="str">
        <f>"证券卖出"</f>
        <v>证券卖出</v>
      </c>
    </row>
    <row r="79" spans="1:22" x14ac:dyDescent="0.15">
      <c r="A79" t="str">
        <f t="shared" si="15"/>
        <v>20160407</v>
      </c>
      <c r="B79" t="str">
        <f>"14:28:33"</f>
        <v>14:28:33</v>
      </c>
      <c r="C79" t="str">
        <f t="shared" si="16"/>
        <v>300306</v>
      </c>
      <c r="D79" t="str">
        <f t="shared" si="17"/>
        <v>远方光电</v>
      </c>
      <c r="E79" t="str">
        <f>"买入"</f>
        <v>买入</v>
      </c>
      <c r="F79">
        <v>3500</v>
      </c>
      <c r="G79">
        <v>22.02</v>
      </c>
      <c r="H79">
        <v>77070</v>
      </c>
      <c r="I79">
        <v>-77093.119999999995</v>
      </c>
      <c r="J79">
        <v>4454062.5</v>
      </c>
      <c r="K79" t="str">
        <f>"1356"</f>
        <v>1356</v>
      </c>
      <c r="L79" t="str">
        <f t="shared" si="20"/>
        <v>0602813665</v>
      </c>
      <c r="M79" t="str">
        <f t="shared" si="21"/>
        <v>391448</v>
      </c>
      <c r="N79" t="str">
        <f>"1356"</f>
        <v>1356</v>
      </c>
      <c r="O79" t="str">
        <f>"25806545"</f>
        <v>25806545</v>
      </c>
      <c r="P79">
        <v>113000</v>
      </c>
      <c r="Q79">
        <v>23.12</v>
      </c>
      <c r="R79">
        <v>0</v>
      </c>
      <c r="S79">
        <v>0</v>
      </c>
      <c r="T79">
        <v>0</v>
      </c>
      <c r="U79">
        <v>0</v>
      </c>
      <c r="V79" t="str">
        <f>"证券买入"</f>
        <v>证券买入</v>
      </c>
    </row>
    <row r="80" spans="1:22" x14ac:dyDescent="0.15">
      <c r="A80" t="str">
        <f t="shared" si="15"/>
        <v>20160407</v>
      </c>
      <c r="B80" t="str">
        <f>"14:35:37"</f>
        <v>14:35:37</v>
      </c>
      <c r="C80" t="str">
        <f t="shared" si="16"/>
        <v>300306</v>
      </c>
      <c r="D80" t="str">
        <f t="shared" si="17"/>
        <v>远方光电</v>
      </c>
      <c r="E80" t="str">
        <f>"买入"</f>
        <v>买入</v>
      </c>
      <c r="F80">
        <v>10000</v>
      </c>
      <c r="G80">
        <v>22.01</v>
      </c>
      <c r="H80">
        <v>220100</v>
      </c>
      <c r="I80">
        <v>-220166.03</v>
      </c>
      <c r="J80">
        <v>4233896.47</v>
      </c>
      <c r="K80" t="str">
        <f>"1395"</f>
        <v>1395</v>
      </c>
      <c r="L80" t="str">
        <f t="shared" si="20"/>
        <v>0602813665</v>
      </c>
      <c r="M80" t="str">
        <f t="shared" si="21"/>
        <v>391448</v>
      </c>
      <c r="N80" t="str">
        <f>"1395"</f>
        <v>1395</v>
      </c>
      <c r="O80" t="str">
        <f>"26726789"</f>
        <v>26726789</v>
      </c>
      <c r="P80">
        <v>123000</v>
      </c>
      <c r="Q80">
        <v>66.03</v>
      </c>
      <c r="R80">
        <v>0</v>
      </c>
      <c r="S80">
        <v>0</v>
      </c>
      <c r="T80">
        <v>0</v>
      </c>
      <c r="U80">
        <v>0</v>
      </c>
      <c r="V80" t="str">
        <f>"证券买入"</f>
        <v>证券买入</v>
      </c>
    </row>
    <row r="81" spans="1:22" x14ac:dyDescent="0.15">
      <c r="A81" t="str">
        <f t="shared" ref="A81:A102" si="22">"20160408"</f>
        <v>20160408</v>
      </c>
      <c r="B81" t="str">
        <f>"09:40:43"</f>
        <v>09:40:43</v>
      </c>
      <c r="C81" t="str">
        <f t="shared" si="16"/>
        <v>300306</v>
      </c>
      <c r="D81" t="str">
        <f t="shared" si="17"/>
        <v>远方光电</v>
      </c>
      <c r="E81" t="str">
        <f>"买入"</f>
        <v>买入</v>
      </c>
      <c r="F81">
        <v>2300</v>
      </c>
      <c r="G81">
        <v>21.4</v>
      </c>
      <c r="H81">
        <v>49220</v>
      </c>
      <c r="I81">
        <v>-49234.77</v>
      </c>
      <c r="J81">
        <v>4184661.7</v>
      </c>
      <c r="K81" t="str">
        <f>"223"</f>
        <v>223</v>
      </c>
      <c r="L81" t="str">
        <f t="shared" si="20"/>
        <v>0602813665</v>
      </c>
      <c r="M81" t="str">
        <f t="shared" si="21"/>
        <v>391448</v>
      </c>
      <c r="N81" t="str">
        <f>"223"</f>
        <v>223</v>
      </c>
      <c r="O81" t="str">
        <f>"4267829"</f>
        <v>4267829</v>
      </c>
      <c r="P81">
        <v>125300</v>
      </c>
      <c r="Q81">
        <v>14.77</v>
      </c>
      <c r="R81">
        <v>0</v>
      </c>
      <c r="S81">
        <v>0</v>
      </c>
      <c r="T81">
        <v>0</v>
      </c>
      <c r="U81">
        <v>0</v>
      </c>
      <c r="V81" t="str">
        <f>"证券买入"</f>
        <v>证券买入</v>
      </c>
    </row>
    <row r="82" spans="1:22" x14ac:dyDescent="0.15">
      <c r="A82" t="str">
        <f t="shared" si="22"/>
        <v>20160408</v>
      </c>
      <c r="B82" t="str">
        <f>"09:49:45"</f>
        <v>09:49:45</v>
      </c>
      <c r="C82" t="str">
        <f t="shared" si="16"/>
        <v>300306</v>
      </c>
      <c r="D82" t="str">
        <f t="shared" si="17"/>
        <v>远方光电</v>
      </c>
      <c r="E82" t="str">
        <f>"卖出"</f>
        <v>卖出</v>
      </c>
      <c r="F82">
        <v>-20500</v>
      </c>
      <c r="G82">
        <v>21.742000000000001</v>
      </c>
      <c r="H82">
        <v>445715</v>
      </c>
      <c r="I82">
        <v>445135.57</v>
      </c>
      <c r="J82">
        <v>4629797.2699999996</v>
      </c>
      <c r="K82" t="str">
        <f>"329"</f>
        <v>329</v>
      </c>
      <c r="L82" t="str">
        <f t="shared" si="20"/>
        <v>0602813665</v>
      </c>
      <c r="M82" t="str">
        <f t="shared" si="21"/>
        <v>391448</v>
      </c>
      <c r="N82" t="str">
        <f>"329"</f>
        <v>329</v>
      </c>
      <c r="O82" t="str">
        <f>"6437495"</f>
        <v>6437495</v>
      </c>
      <c r="P82">
        <v>104800</v>
      </c>
      <c r="Q82">
        <v>133.71</v>
      </c>
      <c r="R82">
        <v>445.72</v>
      </c>
      <c r="S82">
        <v>0</v>
      </c>
      <c r="T82">
        <v>0</v>
      </c>
      <c r="U82">
        <v>0</v>
      </c>
      <c r="V82" t="str">
        <f>"证券卖出"</f>
        <v>证券卖出</v>
      </c>
    </row>
    <row r="83" spans="1:22" x14ac:dyDescent="0.15">
      <c r="A83" t="str">
        <f t="shared" si="22"/>
        <v>20160408</v>
      </c>
      <c r="B83" t="str">
        <f>"09:50:34"</f>
        <v>09:50:34</v>
      </c>
      <c r="C83" t="str">
        <f t="shared" si="16"/>
        <v>300306</v>
      </c>
      <c r="D83" t="str">
        <f t="shared" si="17"/>
        <v>远方光电</v>
      </c>
      <c r="E83" t="str">
        <f>"卖出"</f>
        <v>卖出</v>
      </c>
      <c r="F83">
        <v>-5000</v>
      </c>
      <c r="G83">
        <v>21.72</v>
      </c>
      <c r="H83">
        <v>108600</v>
      </c>
      <c r="I83">
        <v>108458.82</v>
      </c>
      <c r="J83">
        <v>4738256.09</v>
      </c>
      <c r="K83" t="str">
        <f>"341"</f>
        <v>341</v>
      </c>
      <c r="L83" t="str">
        <f t="shared" si="20"/>
        <v>0602813665</v>
      </c>
      <c r="M83" t="str">
        <f t="shared" si="21"/>
        <v>391448</v>
      </c>
      <c r="N83" t="str">
        <f>"341"</f>
        <v>341</v>
      </c>
      <c r="O83" t="str">
        <f>"6606737"</f>
        <v>6606737</v>
      </c>
      <c r="P83">
        <v>99800</v>
      </c>
      <c r="Q83">
        <v>32.58</v>
      </c>
      <c r="R83">
        <v>108.6</v>
      </c>
      <c r="S83">
        <v>0</v>
      </c>
      <c r="T83">
        <v>0</v>
      </c>
      <c r="U83">
        <v>0</v>
      </c>
      <c r="V83" t="str">
        <f>"证券卖出"</f>
        <v>证券卖出</v>
      </c>
    </row>
    <row r="84" spans="1:22" x14ac:dyDescent="0.15">
      <c r="A84" t="str">
        <f t="shared" si="22"/>
        <v>20160408</v>
      </c>
      <c r="B84" t="str">
        <f>"09:50:44"</f>
        <v>09:50:44</v>
      </c>
      <c r="C84" t="str">
        <f t="shared" si="16"/>
        <v>300306</v>
      </c>
      <c r="D84" t="str">
        <f t="shared" si="17"/>
        <v>远方光电</v>
      </c>
      <c r="E84" t="str">
        <f>"卖出"</f>
        <v>卖出</v>
      </c>
      <c r="F84">
        <v>-4200</v>
      </c>
      <c r="G84">
        <v>21.702000000000002</v>
      </c>
      <c r="H84">
        <v>91150</v>
      </c>
      <c r="I84">
        <v>91031.5</v>
      </c>
      <c r="J84">
        <v>4829287.59</v>
      </c>
      <c r="K84" t="str">
        <f>"343"</f>
        <v>343</v>
      </c>
      <c r="L84" t="str">
        <f t="shared" si="20"/>
        <v>0602813665</v>
      </c>
      <c r="M84" t="str">
        <f t="shared" si="21"/>
        <v>391448</v>
      </c>
      <c r="N84" t="str">
        <f>"343"</f>
        <v>343</v>
      </c>
      <c r="O84" t="str">
        <f>"6681648"</f>
        <v>6681648</v>
      </c>
      <c r="P84">
        <v>95600</v>
      </c>
      <c r="Q84">
        <v>27.35</v>
      </c>
      <c r="R84">
        <v>91.15</v>
      </c>
      <c r="S84">
        <v>0</v>
      </c>
      <c r="T84">
        <v>0</v>
      </c>
      <c r="U84">
        <v>0</v>
      </c>
      <c r="V84" t="str">
        <f>"证券卖出"</f>
        <v>证券卖出</v>
      </c>
    </row>
    <row r="85" spans="1:22" x14ac:dyDescent="0.15">
      <c r="A85" t="str">
        <f t="shared" si="22"/>
        <v>20160408</v>
      </c>
      <c r="B85" t="str">
        <f>"09:52:19"</f>
        <v>09:52:19</v>
      </c>
      <c r="C85" t="str">
        <f t="shared" si="16"/>
        <v>300306</v>
      </c>
      <c r="D85" t="str">
        <f t="shared" si="17"/>
        <v>远方光电</v>
      </c>
      <c r="E85" t="str">
        <f>"买入"</f>
        <v>买入</v>
      </c>
      <c r="F85">
        <v>14600</v>
      </c>
      <c r="G85">
        <v>21.64</v>
      </c>
      <c r="H85">
        <v>315944</v>
      </c>
      <c r="I85">
        <v>-316038.78000000003</v>
      </c>
      <c r="J85">
        <v>4513248.8099999996</v>
      </c>
      <c r="K85" t="str">
        <f>"363"</f>
        <v>363</v>
      </c>
      <c r="L85" t="str">
        <f t="shared" si="20"/>
        <v>0602813665</v>
      </c>
      <c r="M85" t="str">
        <f t="shared" si="21"/>
        <v>391448</v>
      </c>
      <c r="N85" t="str">
        <f>"363"</f>
        <v>363</v>
      </c>
      <c r="O85" t="str">
        <f>"7147638"</f>
        <v>7147638</v>
      </c>
      <c r="P85">
        <v>110200</v>
      </c>
      <c r="Q85">
        <v>94.78</v>
      </c>
      <c r="R85">
        <v>0</v>
      </c>
      <c r="S85">
        <v>0</v>
      </c>
      <c r="T85">
        <v>0</v>
      </c>
      <c r="U85">
        <v>0</v>
      </c>
      <c r="V85" t="str">
        <f>"证券买入"</f>
        <v>证券买入</v>
      </c>
    </row>
    <row r="86" spans="1:22" x14ac:dyDescent="0.15">
      <c r="A86" t="str">
        <f t="shared" si="22"/>
        <v>20160408</v>
      </c>
      <c r="B86" t="str">
        <f>"09:56:07"</f>
        <v>09:56:07</v>
      </c>
      <c r="C86" t="str">
        <f t="shared" si="16"/>
        <v>300306</v>
      </c>
      <c r="D86" t="str">
        <f t="shared" si="17"/>
        <v>远方光电</v>
      </c>
      <c r="E86" t="str">
        <f t="shared" ref="E86:E94" si="23">"卖出"</f>
        <v>卖出</v>
      </c>
      <c r="F86">
        <v>-3600</v>
      </c>
      <c r="G86">
        <v>21.96</v>
      </c>
      <c r="H86">
        <v>79056</v>
      </c>
      <c r="I86">
        <v>78953.23</v>
      </c>
      <c r="J86">
        <v>4592202.04</v>
      </c>
      <c r="K86" t="str">
        <f>"399"</f>
        <v>399</v>
      </c>
      <c r="L86" t="str">
        <f t="shared" si="20"/>
        <v>0602813665</v>
      </c>
      <c r="M86" t="str">
        <f t="shared" si="21"/>
        <v>391448</v>
      </c>
      <c r="N86" t="str">
        <f>"399"</f>
        <v>399</v>
      </c>
      <c r="O86" t="str">
        <f>"7701384"</f>
        <v>7701384</v>
      </c>
      <c r="P86">
        <v>106600</v>
      </c>
      <c r="Q86">
        <v>23.72</v>
      </c>
      <c r="R86">
        <v>79.05</v>
      </c>
      <c r="S86">
        <v>0</v>
      </c>
      <c r="T86">
        <v>0</v>
      </c>
      <c r="U86">
        <v>0</v>
      </c>
      <c r="V86" t="str">
        <f t="shared" ref="V86:V94" si="24">"证券卖出"</f>
        <v>证券卖出</v>
      </c>
    </row>
    <row r="87" spans="1:22" x14ac:dyDescent="0.15">
      <c r="A87" t="str">
        <f t="shared" si="22"/>
        <v>20160408</v>
      </c>
      <c r="B87" t="str">
        <f>"10:03:34"</f>
        <v>10:03:34</v>
      </c>
      <c r="C87" t="str">
        <f t="shared" si="16"/>
        <v>300306</v>
      </c>
      <c r="D87" t="str">
        <f t="shared" si="17"/>
        <v>远方光电</v>
      </c>
      <c r="E87" t="str">
        <f t="shared" si="23"/>
        <v>卖出</v>
      </c>
      <c r="F87">
        <v>-7900</v>
      </c>
      <c r="G87">
        <v>22.091000000000001</v>
      </c>
      <c r="H87">
        <v>174519</v>
      </c>
      <c r="I87">
        <v>174292.12</v>
      </c>
      <c r="J87">
        <v>4766494.16</v>
      </c>
      <c r="K87" t="str">
        <f>"478"</f>
        <v>478</v>
      </c>
      <c r="L87" t="str">
        <f t="shared" si="20"/>
        <v>0602813665</v>
      </c>
      <c r="M87" t="str">
        <f t="shared" si="21"/>
        <v>391448</v>
      </c>
      <c r="N87" t="str">
        <f>"478"</f>
        <v>478</v>
      </c>
      <c r="O87" t="str">
        <f>"9122493"</f>
        <v>9122493</v>
      </c>
      <c r="P87">
        <v>98700</v>
      </c>
      <c r="Q87">
        <v>52.36</v>
      </c>
      <c r="R87">
        <v>174.52</v>
      </c>
      <c r="S87">
        <v>0</v>
      </c>
      <c r="T87">
        <v>0</v>
      </c>
      <c r="U87">
        <v>0</v>
      </c>
      <c r="V87" t="str">
        <f t="shared" si="24"/>
        <v>证券卖出</v>
      </c>
    </row>
    <row r="88" spans="1:22" x14ac:dyDescent="0.15">
      <c r="A88" t="str">
        <f t="shared" si="22"/>
        <v>20160408</v>
      </c>
      <c r="B88" t="str">
        <f>"10:04:04"</f>
        <v>10:04:04</v>
      </c>
      <c r="C88" t="str">
        <f t="shared" si="16"/>
        <v>300306</v>
      </c>
      <c r="D88" t="str">
        <f t="shared" si="17"/>
        <v>远方光电</v>
      </c>
      <c r="E88" t="str">
        <f t="shared" si="23"/>
        <v>卖出</v>
      </c>
      <c r="F88">
        <v>-6300</v>
      </c>
      <c r="G88">
        <v>22.28</v>
      </c>
      <c r="H88">
        <v>140364</v>
      </c>
      <c r="I88">
        <v>140181.53</v>
      </c>
      <c r="J88">
        <v>4906675.6900000004</v>
      </c>
      <c r="K88" t="str">
        <f>"484"</f>
        <v>484</v>
      </c>
      <c r="L88" t="str">
        <f t="shared" si="20"/>
        <v>0602813665</v>
      </c>
      <c r="M88" t="str">
        <f t="shared" si="21"/>
        <v>391448</v>
      </c>
      <c r="N88" t="str">
        <f>"484"</f>
        <v>484</v>
      </c>
      <c r="O88" t="str">
        <f>"9313020"</f>
        <v>9313020</v>
      </c>
      <c r="P88">
        <v>92400</v>
      </c>
      <c r="Q88">
        <v>42.11</v>
      </c>
      <c r="R88">
        <v>140.36000000000001</v>
      </c>
      <c r="S88">
        <v>0</v>
      </c>
      <c r="T88">
        <v>0</v>
      </c>
      <c r="U88">
        <v>0</v>
      </c>
      <c r="V88" t="str">
        <f t="shared" si="24"/>
        <v>证券卖出</v>
      </c>
    </row>
    <row r="89" spans="1:22" x14ac:dyDescent="0.15">
      <c r="A89" t="str">
        <f t="shared" si="22"/>
        <v>20160408</v>
      </c>
      <c r="B89" t="str">
        <f>"10:10:35"</f>
        <v>10:10:35</v>
      </c>
      <c r="C89" t="str">
        <f t="shared" si="16"/>
        <v>300306</v>
      </c>
      <c r="D89" t="str">
        <f t="shared" si="17"/>
        <v>远方光电</v>
      </c>
      <c r="E89" t="str">
        <f t="shared" si="23"/>
        <v>卖出</v>
      </c>
      <c r="F89">
        <v>-5100</v>
      </c>
      <c r="G89">
        <v>22.321000000000002</v>
      </c>
      <c r="H89">
        <v>113837.8</v>
      </c>
      <c r="I89">
        <v>113689.81</v>
      </c>
      <c r="J89">
        <v>5020365.5</v>
      </c>
      <c r="K89" t="str">
        <f>"541"</f>
        <v>541</v>
      </c>
      <c r="L89" t="str">
        <f t="shared" si="20"/>
        <v>0602813665</v>
      </c>
      <c r="M89" t="str">
        <f t="shared" si="21"/>
        <v>391448</v>
      </c>
      <c r="N89" t="str">
        <f>"541"</f>
        <v>541</v>
      </c>
      <c r="O89" t="str">
        <f>"10205999"</f>
        <v>10205999</v>
      </c>
      <c r="P89">
        <v>87300</v>
      </c>
      <c r="Q89">
        <v>34.15</v>
      </c>
      <c r="R89">
        <v>113.84</v>
      </c>
      <c r="S89">
        <v>0</v>
      </c>
      <c r="T89">
        <v>0</v>
      </c>
      <c r="U89">
        <v>0</v>
      </c>
      <c r="V89" t="str">
        <f t="shared" si="24"/>
        <v>证券卖出</v>
      </c>
    </row>
    <row r="90" spans="1:22" x14ac:dyDescent="0.15">
      <c r="A90" t="str">
        <f t="shared" si="22"/>
        <v>20160408</v>
      </c>
      <c r="B90" t="str">
        <f>"10:10:57"</f>
        <v>10:10:57</v>
      </c>
      <c r="C90" t="str">
        <f t="shared" si="16"/>
        <v>300306</v>
      </c>
      <c r="D90" t="str">
        <f t="shared" si="17"/>
        <v>远方光电</v>
      </c>
      <c r="E90" t="str">
        <f t="shared" si="23"/>
        <v>卖出</v>
      </c>
      <c r="F90">
        <v>-14000</v>
      </c>
      <c r="G90">
        <v>22.41</v>
      </c>
      <c r="H90">
        <v>313743.59999999998</v>
      </c>
      <c r="I90">
        <v>313335.74</v>
      </c>
      <c r="J90">
        <v>5333701.24</v>
      </c>
      <c r="K90" t="str">
        <f>"543"</f>
        <v>543</v>
      </c>
      <c r="L90" t="str">
        <f t="shared" si="20"/>
        <v>0602813665</v>
      </c>
      <c r="M90" t="str">
        <f t="shared" si="21"/>
        <v>391448</v>
      </c>
      <c r="N90" t="str">
        <f>"543"</f>
        <v>543</v>
      </c>
      <c r="O90" t="str">
        <f>"10269733"</f>
        <v>10269733</v>
      </c>
      <c r="P90">
        <v>73300</v>
      </c>
      <c r="Q90">
        <v>94.12</v>
      </c>
      <c r="R90">
        <v>313.74</v>
      </c>
      <c r="S90">
        <v>0</v>
      </c>
      <c r="T90">
        <v>0</v>
      </c>
      <c r="U90">
        <v>0</v>
      </c>
      <c r="V90" t="str">
        <f t="shared" si="24"/>
        <v>证券卖出</v>
      </c>
    </row>
    <row r="91" spans="1:22" x14ac:dyDescent="0.15">
      <c r="A91" t="str">
        <f t="shared" si="22"/>
        <v>20160408</v>
      </c>
      <c r="B91" t="str">
        <f>"10:21:56"</f>
        <v>10:21:56</v>
      </c>
      <c r="C91" t="str">
        <f t="shared" si="16"/>
        <v>300306</v>
      </c>
      <c r="D91" t="str">
        <f t="shared" si="17"/>
        <v>远方光电</v>
      </c>
      <c r="E91" t="str">
        <f t="shared" si="23"/>
        <v>卖出</v>
      </c>
      <c r="F91">
        <v>-800</v>
      </c>
      <c r="G91">
        <v>22.18</v>
      </c>
      <c r="H91">
        <v>17744</v>
      </c>
      <c r="I91">
        <v>17720.939999999999</v>
      </c>
      <c r="J91">
        <v>5351422.18</v>
      </c>
      <c r="K91" t="str">
        <f>"607"</f>
        <v>607</v>
      </c>
      <c r="L91" t="str">
        <f t="shared" si="20"/>
        <v>0602813665</v>
      </c>
      <c r="M91" t="str">
        <f t="shared" si="21"/>
        <v>391448</v>
      </c>
      <c r="N91" t="str">
        <f>"607"</f>
        <v>607</v>
      </c>
      <c r="O91" t="str">
        <f>"11805649"</f>
        <v>11805649</v>
      </c>
      <c r="P91">
        <v>72500</v>
      </c>
      <c r="Q91">
        <v>5.32</v>
      </c>
      <c r="R91">
        <v>17.739999999999998</v>
      </c>
      <c r="S91">
        <v>0</v>
      </c>
      <c r="T91">
        <v>0</v>
      </c>
      <c r="U91">
        <v>0</v>
      </c>
      <c r="V91" t="str">
        <f t="shared" si="24"/>
        <v>证券卖出</v>
      </c>
    </row>
    <row r="92" spans="1:22" x14ac:dyDescent="0.15">
      <c r="A92" t="str">
        <f t="shared" si="22"/>
        <v>20160408</v>
      </c>
      <c r="B92" t="str">
        <f>"10:22:03"</f>
        <v>10:22:03</v>
      </c>
      <c r="C92" t="str">
        <f t="shared" si="16"/>
        <v>300306</v>
      </c>
      <c r="D92" t="str">
        <f t="shared" si="17"/>
        <v>远方光电</v>
      </c>
      <c r="E92" t="str">
        <f t="shared" si="23"/>
        <v>卖出</v>
      </c>
      <c r="F92">
        <v>-8600</v>
      </c>
      <c r="G92">
        <v>22.18</v>
      </c>
      <c r="H92">
        <v>190748</v>
      </c>
      <c r="I92">
        <v>190500.03</v>
      </c>
      <c r="J92">
        <v>5541922.21</v>
      </c>
      <c r="K92" t="str">
        <f>"610"</f>
        <v>610</v>
      </c>
      <c r="L92" t="str">
        <f t="shared" si="20"/>
        <v>0602813665</v>
      </c>
      <c r="M92" t="str">
        <f t="shared" si="21"/>
        <v>391448</v>
      </c>
      <c r="N92" t="str">
        <f>"610"</f>
        <v>610</v>
      </c>
      <c r="O92" t="str">
        <f>"11866555"</f>
        <v>11866555</v>
      </c>
      <c r="P92">
        <v>63900</v>
      </c>
      <c r="Q92">
        <v>57.22</v>
      </c>
      <c r="R92">
        <v>190.75</v>
      </c>
      <c r="S92">
        <v>0</v>
      </c>
      <c r="T92">
        <v>0</v>
      </c>
      <c r="U92">
        <v>0</v>
      </c>
      <c r="V92" t="str">
        <f t="shared" si="24"/>
        <v>证券卖出</v>
      </c>
    </row>
    <row r="93" spans="1:22" x14ac:dyDescent="0.15">
      <c r="A93" t="str">
        <f t="shared" si="22"/>
        <v>20160408</v>
      </c>
      <c r="B93" t="str">
        <f>"10:26:01"</f>
        <v>10:26:01</v>
      </c>
      <c r="C93" t="str">
        <f t="shared" si="16"/>
        <v>300306</v>
      </c>
      <c r="D93" t="str">
        <f t="shared" si="17"/>
        <v>远方光电</v>
      </c>
      <c r="E93" t="str">
        <f t="shared" si="23"/>
        <v>卖出</v>
      </c>
      <c r="F93">
        <v>-1000</v>
      </c>
      <c r="G93">
        <v>22.25</v>
      </c>
      <c r="H93">
        <v>22250</v>
      </c>
      <c r="I93">
        <v>22221.07</v>
      </c>
      <c r="J93">
        <v>5564143.2800000003</v>
      </c>
      <c r="K93" t="str">
        <f>"604"</f>
        <v>604</v>
      </c>
      <c r="L93" t="str">
        <f t="shared" si="20"/>
        <v>0602813665</v>
      </c>
      <c r="M93" t="str">
        <f t="shared" si="21"/>
        <v>391448</v>
      </c>
      <c r="N93" t="str">
        <f>"604"</f>
        <v>604</v>
      </c>
      <c r="O93" t="str">
        <f>"12389978"</f>
        <v>12389978</v>
      </c>
      <c r="P93">
        <v>62900</v>
      </c>
      <c r="Q93">
        <v>6.68</v>
      </c>
      <c r="R93">
        <v>22.25</v>
      </c>
      <c r="S93">
        <v>0</v>
      </c>
      <c r="T93">
        <v>0</v>
      </c>
      <c r="U93">
        <v>0</v>
      </c>
      <c r="V93" t="str">
        <f t="shared" si="24"/>
        <v>证券卖出</v>
      </c>
    </row>
    <row r="94" spans="1:22" x14ac:dyDescent="0.15">
      <c r="A94" t="str">
        <f t="shared" si="22"/>
        <v>20160408</v>
      </c>
      <c r="B94" t="str">
        <f>"10:41:57"</f>
        <v>10:41:57</v>
      </c>
      <c r="C94" t="str">
        <f t="shared" si="16"/>
        <v>300306</v>
      </c>
      <c r="D94" t="str">
        <f t="shared" si="17"/>
        <v>远方光电</v>
      </c>
      <c r="E94" t="str">
        <f t="shared" si="23"/>
        <v>卖出</v>
      </c>
      <c r="F94">
        <v>-14800</v>
      </c>
      <c r="G94">
        <v>22</v>
      </c>
      <c r="H94">
        <v>325600</v>
      </c>
      <c r="I94">
        <v>325176.71999999997</v>
      </c>
      <c r="J94">
        <v>5889320</v>
      </c>
      <c r="K94" t="str">
        <f>"739"</f>
        <v>739</v>
      </c>
      <c r="L94" t="str">
        <f t="shared" si="20"/>
        <v>0602813665</v>
      </c>
      <c r="M94" t="str">
        <f t="shared" si="21"/>
        <v>391448</v>
      </c>
      <c r="N94" t="str">
        <f>"739"</f>
        <v>739</v>
      </c>
      <c r="O94" t="str">
        <f>"14456315"</f>
        <v>14456315</v>
      </c>
      <c r="P94">
        <v>48100</v>
      </c>
      <c r="Q94">
        <v>97.68</v>
      </c>
      <c r="R94">
        <v>325.60000000000002</v>
      </c>
      <c r="S94">
        <v>0</v>
      </c>
      <c r="T94">
        <v>0</v>
      </c>
      <c r="U94">
        <v>0</v>
      </c>
      <c r="V94" t="str">
        <f t="shared" si="24"/>
        <v>证券卖出</v>
      </c>
    </row>
    <row r="95" spans="1:22" x14ac:dyDescent="0.15">
      <c r="A95" t="str">
        <f t="shared" si="22"/>
        <v>20160408</v>
      </c>
      <c r="B95" t="str">
        <f>"10:49:36"</f>
        <v>10:49:36</v>
      </c>
      <c r="C95" t="str">
        <f t="shared" si="16"/>
        <v>300306</v>
      </c>
      <c r="D95" t="str">
        <f t="shared" si="17"/>
        <v>远方光电</v>
      </c>
      <c r="E95" t="str">
        <f>"买入"</f>
        <v>买入</v>
      </c>
      <c r="F95">
        <v>3100</v>
      </c>
      <c r="G95">
        <v>21.71</v>
      </c>
      <c r="H95">
        <v>67301</v>
      </c>
      <c r="I95">
        <v>-67321.19</v>
      </c>
      <c r="J95">
        <v>5821998.8099999996</v>
      </c>
      <c r="K95" t="str">
        <f>"782"</f>
        <v>782</v>
      </c>
      <c r="L95" t="str">
        <f t="shared" si="20"/>
        <v>0602813665</v>
      </c>
      <c r="M95" t="str">
        <f t="shared" si="21"/>
        <v>391448</v>
      </c>
      <c r="N95" t="str">
        <f>"782"</f>
        <v>782</v>
      </c>
      <c r="O95" t="str">
        <f>"15660555"</f>
        <v>15660555</v>
      </c>
      <c r="P95">
        <v>51200</v>
      </c>
      <c r="Q95">
        <v>20.190000000000001</v>
      </c>
      <c r="R95">
        <v>0</v>
      </c>
      <c r="S95">
        <v>0</v>
      </c>
      <c r="T95">
        <v>0</v>
      </c>
      <c r="U95">
        <v>0</v>
      </c>
      <c r="V95" t="str">
        <f>"证券买入"</f>
        <v>证券买入</v>
      </c>
    </row>
    <row r="96" spans="1:22" x14ac:dyDescent="0.15">
      <c r="A96" t="str">
        <f t="shared" si="22"/>
        <v>20160408</v>
      </c>
      <c r="B96" t="str">
        <f>"10:52:38"</f>
        <v>10:52:38</v>
      </c>
      <c r="C96" t="str">
        <f t="shared" si="16"/>
        <v>300306</v>
      </c>
      <c r="D96" t="str">
        <f t="shared" si="17"/>
        <v>远方光电</v>
      </c>
      <c r="E96" t="str">
        <f t="shared" ref="E96:E101" si="25">"卖出"</f>
        <v>卖出</v>
      </c>
      <c r="F96">
        <v>-4000</v>
      </c>
      <c r="G96">
        <v>21.521000000000001</v>
      </c>
      <c r="H96">
        <v>86083</v>
      </c>
      <c r="I96">
        <v>85971.1</v>
      </c>
      <c r="J96">
        <v>5907969.9100000001</v>
      </c>
      <c r="K96" t="str">
        <f>"820"</f>
        <v>820</v>
      </c>
      <c r="L96" t="str">
        <f t="shared" si="20"/>
        <v>0602813665</v>
      </c>
      <c r="M96" t="str">
        <f t="shared" si="21"/>
        <v>391448</v>
      </c>
      <c r="N96" t="str">
        <f>"820"</f>
        <v>820</v>
      </c>
      <c r="O96" t="str">
        <f>"16249208"</f>
        <v>16249208</v>
      </c>
      <c r="P96">
        <v>47200</v>
      </c>
      <c r="Q96">
        <v>25.82</v>
      </c>
      <c r="R96">
        <v>86.08</v>
      </c>
      <c r="S96">
        <v>0</v>
      </c>
      <c r="T96">
        <v>0</v>
      </c>
      <c r="U96">
        <v>0</v>
      </c>
      <c r="V96" t="str">
        <f t="shared" ref="V96:V101" si="26">"证券卖出"</f>
        <v>证券卖出</v>
      </c>
    </row>
    <row r="97" spans="1:22" x14ac:dyDescent="0.15">
      <c r="A97" t="str">
        <f t="shared" si="22"/>
        <v>20160408</v>
      </c>
      <c r="B97" t="str">
        <f>"10:52:48"</f>
        <v>10:52:48</v>
      </c>
      <c r="C97" t="str">
        <f t="shared" si="16"/>
        <v>300306</v>
      </c>
      <c r="D97" t="str">
        <f t="shared" si="17"/>
        <v>远方光电</v>
      </c>
      <c r="E97" t="str">
        <f t="shared" si="25"/>
        <v>卖出</v>
      </c>
      <c r="F97">
        <v>-3200</v>
      </c>
      <c r="G97">
        <v>21.57</v>
      </c>
      <c r="H97">
        <v>69024</v>
      </c>
      <c r="I97">
        <v>68934.27</v>
      </c>
      <c r="J97">
        <v>5976904.1799999997</v>
      </c>
      <c r="K97" t="str">
        <f>"821"</f>
        <v>821</v>
      </c>
      <c r="L97" t="str">
        <f t="shared" si="20"/>
        <v>0602813665</v>
      </c>
      <c r="M97" t="str">
        <f t="shared" si="21"/>
        <v>391448</v>
      </c>
      <c r="N97" t="str">
        <f>"821"</f>
        <v>821</v>
      </c>
      <c r="O97" t="str">
        <f>"16283630"</f>
        <v>16283630</v>
      </c>
      <c r="P97">
        <v>44000</v>
      </c>
      <c r="Q97">
        <v>20.71</v>
      </c>
      <c r="R97">
        <v>69.02</v>
      </c>
      <c r="S97">
        <v>0</v>
      </c>
      <c r="T97">
        <v>0</v>
      </c>
      <c r="U97">
        <v>0</v>
      </c>
      <c r="V97" t="str">
        <f t="shared" si="26"/>
        <v>证券卖出</v>
      </c>
    </row>
    <row r="98" spans="1:22" x14ac:dyDescent="0.15">
      <c r="A98" t="str">
        <f t="shared" si="22"/>
        <v>20160408</v>
      </c>
      <c r="B98" t="str">
        <f>"10:52:52"</f>
        <v>10:52:52</v>
      </c>
      <c r="C98" t="str">
        <f t="shared" si="16"/>
        <v>300306</v>
      </c>
      <c r="D98" t="str">
        <f t="shared" si="17"/>
        <v>远方光电</v>
      </c>
      <c r="E98" t="str">
        <f t="shared" si="25"/>
        <v>卖出</v>
      </c>
      <c r="F98">
        <v>-2500</v>
      </c>
      <c r="G98">
        <v>21.57</v>
      </c>
      <c r="H98">
        <v>53925</v>
      </c>
      <c r="I98">
        <v>53854.89</v>
      </c>
      <c r="J98">
        <v>6030759.0700000003</v>
      </c>
      <c r="K98" t="str">
        <f>"823"</f>
        <v>823</v>
      </c>
      <c r="L98" t="str">
        <f t="shared" si="20"/>
        <v>0602813665</v>
      </c>
      <c r="M98" t="str">
        <f t="shared" si="21"/>
        <v>391448</v>
      </c>
      <c r="N98" t="str">
        <f>"823"</f>
        <v>823</v>
      </c>
      <c r="O98" t="str">
        <f>"16300317"</f>
        <v>16300317</v>
      </c>
      <c r="P98">
        <v>41500</v>
      </c>
      <c r="Q98">
        <v>16.18</v>
      </c>
      <c r="R98">
        <v>53.93</v>
      </c>
      <c r="S98">
        <v>0</v>
      </c>
      <c r="T98">
        <v>0</v>
      </c>
      <c r="U98">
        <v>0</v>
      </c>
      <c r="V98" t="str">
        <f t="shared" si="26"/>
        <v>证券卖出</v>
      </c>
    </row>
    <row r="99" spans="1:22" x14ac:dyDescent="0.15">
      <c r="A99" t="str">
        <f t="shared" si="22"/>
        <v>20160408</v>
      </c>
      <c r="B99" t="str">
        <f>"10:52:57"</f>
        <v>10:52:57</v>
      </c>
      <c r="C99" t="str">
        <f t="shared" si="16"/>
        <v>300306</v>
      </c>
      <c r="D99" t="str">
        <f t="shared" si="17"/>
        <v>远方光电</v>
      </c>
      <c r="E99" t="str">
        <f t="shared" si="25"/>
        <v>卖出</v>
      </c>
      <c r="F99">
        <v>-2500</v>
      </c>
      <c r="G99">
        <v>21.57</v>
      </c>
      <c r="H99">
        <v>53925</v>
      </c>
      <c r="I99">
        <v>53854.89</v>
      </c>
      <c r="J99">
        <v>6084613.96</v>
      </c>
      <c r="K99" t="str">
        <f>"825"</f>
        <v>825</v>
      </c>
      <c r="L99" t="str">
        <f t="shared" si="20"/>
        <v>0602813665</v>
      </c>
      <c r="M99" t="str">
        <f t="shared" si="21"/>
        <v>391448</v>
      </c>
      <c r="N99" t="str">
        <f>"825"</f>
        <v>825</v>
      </c>
      <c r="O99" t="str">
        <f>"16321293"</f>
        <v>16321293</v>
      </c>
      <c r="P99">
        <v>39000</v>
      </c>
      <c r="Q99">
        <v>16.18</v>
      </c>
      <c r="R99">
        <v>53.93</v>
      </c>
      <c r="S99">
        <v>0</v>
      </c>
      <c r="T99">
        <v>0</v>
      </c>
      <c r="U99">
        <v>0</v>
      </c>
      <c r="V99" t="str">
        <f t="shared" si="26"/>
        <v>证券卖出</v>
      </c>
    </row>
    <row r="100" spans="1:22" x14ac:dyDescent="0.15">
      <c r="A100" t="str">
        <f t="shared" si="22"/>
        <v>20160408</v>
      </c>
      <c r="B100" t="str">
        <f>"10:53:02"</f>
        <v>10:53:02</v>
      </c>
      <c r="C100" t="str">
        <f t="shared" si="16"/>
        <v>300306</v>
      </c>
      <c r="D100" t="str">
        <f t="shared" si="17"/>
        <v>远方光电</v>
      </c>
      <c r="E100" t="str">
        <f t="shared" si="25"/>
        <v>卖出</v>
      </c>
      <c r="F100">
        <v>-7800</v>
      </c>
      <c r="G100">
        <v>21.57</v>
      </c>
      <c r="H100">
        <v>168246</v>
      </c>
      <c r="I100">
        <v>168027.28</v>
      </c>
      <c r="J100">
        <v>6252641.2400000002</v>
      </c>
      <c r="K100" t="str">
        <f>"827"</f>
        <v>827</v>
      </c>
      <c r="L100" t="str">
        <f t="shared" si="20"/>
        <v>0602813665</v>
      </c>
      <c r="M100" t="str">
        <f t="shared" si="21"/>
        <v>391448</v>
      </c>
      <c r="N100" t="str">
        <f>"827"</f>
        <v>827</v>
      </c>
      <c r="O100" t="str">
        <f>"16338577"</f>
        <v>16338577</v>
      </c>
      <c r="P100">
        <v>31200</v>
      </c>
      <c r="Q100">
        <v>50.47</v>
      </c>
      <c r="R100">
        <v>168.25</v>
      </c>
      <c r="S100">
        <v>0</v>
      </c>
      <c r="T100">
        <v>0</v>
      </c>
      <c r="U100">
        <v>0</v>
      </c>
      <c r="V100" t="str">
        <f t="shared" si="26"/>
        <v>证券卖出</v>
      </c>
    </row>
    <row r="101" spans="1:22" x14ac:dyDescent="0.15">
      <c r="A101" t="str">
        <f t="shared" si="22"/>
        <v>20160408</v>
      </c>
      <c r="B101" t="str">
        <f>"10:53:21"</f>
        <v>10:53:21</v>
      </c>
      <c r="C101" t="str">
        <f t="shared" si="16"/>
        <v>300306</v>
      </c>
      <c r="D101" t="str">
        <f t="shared" si="17"/>
        <v>远方光电</v>
      </c>
      <c r="E101" t="str">
        <f t="shared" si="25"/>
        <v>卖出</v>
      </c>
      <c r="F101">
        <v>-11200</v>
      </c>
      <c r="G101">
        <v>21.582999999999998</v>
      </c>
      <c r="H101">
        <v>241731</v>
      </c>
      <c r="I101">
        <v>241416.76</v>
      </c>
      <c r="J101">
        <v>6494058</v>
      </c>
      <c r="K101" t="str">
        <f>"831"</f>
        <v>831</v>
      </c>
      <c r="L101" t="str">
        <f t="shared" si="20"/>
        <v>0602813665</v>
      </c>
      <c r="M101" t="str">
        <f t="shared" si="21"/>
        <v>391448</v>
      </c>
      <c r="N101" t="str">
        <f>"831"</f>
        <v>831</v>
      </c>
      <c r="O101" t="str">
        <f>"16410876"</f>
        <v>16410876</v>
      </c>
      <c r="P101">
        <v>20000</v>
      </c>
      <c r="Q101">
        <v>72.52</v>
      </c>
      <c r="R101">
        <v>241.72</v>
      </c>
      <c r="S101">
        <v>0</v>
      </c>
      <c r="T101">
        <v>0</v>
      </c>
      <c r="U101">
        <v>0</v>
      </c>
      <c r="V101" t="str">
        <f t="shared" si="26"/>
        <v>证券卖出</v>
      </c>
    </row>
    <row r="102" spans="1:22" x14ac:dyDescent="0.15">
      <c r="A102" t="str">
        <f t="shared" si="22"/>
        <v>20160408</v>
      </c>
      <c r="B102" t="str">
        <f>"21:17:04"</f>
        <v>21:17:04</v>
      </c>
      <c r="C102" t="str">
        <f>"300508"</f>
        <v>300508</v>
      </c>
      <c r="D102" t="str">
        <f>"维宏股份"</f>
        <v>维宏股份</v>
      </c>
      <c r="E102" t="str">
        <f>"买入"</f>
        <v>买入</v>
      </c>
      <c r="F102">
        <v>11</v>
      </c>
      <c r="G102">
        <v>0</v>
      </c>
      <c r="H102">
        <v>0</v>
      </c>
      <c r="I102">
        <v>0</v>
      </c>
      <c r="J102">
        <v>6494058</v>
      </c>
      <c r="K102" t="str">
        <f>"0"</f>
        <v>0</v>
      </c>
      <c r="L102" t="str">
        <f t="shared" si="20"/>
        <v>0602813665</v>
      </c>
      <c r="M102" t="str">
        <f t="shared" si="21"/>
        <v>391448</v>
      </c>
      <c r="N102" t="str">
        <f>"627"</f>
        <v>627</v>
      </c>
      <c r="O102" t="str">
        <f>"0"</f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tr">
        <f>"起始配号:28139303"</f>
        <v>起始配号:28139303</v>
      </c>
    </row>
    <row r="103" spans="1:22" x14ac:dyDescent="0.15">
      <c r="A103" t="str">
        <f>"20160411"</f>
        <v>20160411</v>
      </c>
      <c r="B103" t="str">
        <f>"09:30:00"</f>
        <v>09:30:00</v>
      </c>
      <c r="C103" t="str">
        <f>"300306"</f>
        <v>300306</v>
      </c>
      <c r="D103" t="str">
        <f>"远方光电"</f>
        <v>远方光电</v>
      </c>
      <c r="E103" t="str">
        <f>"卖出"</f>
        <v>卖出</v>
      </c>
      <c r="F103">
        <v>-4000</v>
      </c>
      <c r="G103">
        <v>22.61</v>
      </c>
      <c r="H103">
        <v>90440</v>
      </c>
      <c r="I103">
        <v>90322.43</v>
      </c>
      <c r="J103">
        <v>6584380.4299999997</v>
      </c>
      <c r="K103" t="str">
        <f>"19"</f>
        <v>19</v>
      </c>
      <c r="L103" t="str">
        <f t="shared" si="20"/>
        <v>0602813665</v>
      </c>
      <c r="M103" t="str">
        <f t="shared" si="21"/>
        <v>391448</v>
      </c>
      <c r="N103" t="str">
        <f>"19"</f>
        <v>19</v>
      </c>
      <c r="O103" t="str">
        <f>"195182"</f>
        <v>195182</v>
      </c>
      <c r="P103">
        <v>16000</v>
      </c>
      <c r="Q103">
        <v>27.13</v>
      </c>
      <c r="R103">
        <v>90.44</v>
      </c>
      <c r="S103">
        <v>0</v>
      </c>
      <c r="T103">
        <v>0</v>
      </c>
      <c r="U103">
        <v>0</v>
      </c>
      <c r="V103" t="str">
        <f>"证券卖出"</f>
        <v>证券卖出</v>
      </c>
    </row>
    <row r="104" spans="1:22" x14ac:dyDescent="0.15">
      <c r="A104" t="str">
        <f>"20160411"</f>
        <v>20160411</v>
      </c>
      <c r="B104" t="str">
        <f>"09:31:58"</f>
        <v>09:31:58</v>
      </c>
      <c r="C104" t="str">
        <f>"300306"</f>
        <v>300306</v>
      </c>
      <c r="D104" t="str">
        <f>"远方光电"</f>
        <v>远方光电</v>
      </c>
      <c r="E104" t="str">
        <f>"卖出"</f>
        <v>卖出</v>
      </c>
      <c r="F104">
        <v>-6300</v>
      </c>
      <c r="G104">
        <v>22.6</v>
      </c>
      <c r="H104">
        <v>142380</v>
      </c>
      <c r="I104">
        <v>142194.91</v>
      </c>
      <c r="J104">
        <v>6726575.3399999999</v>
      </c>
      <c r="K104" t="str">
        <f>"70"</f>
        <v>70</v>
      </c>
      <c r="L104" t="str">
        <f t="shared" si="20"/>
        <v>0602813665</v>
      </c>
      <c r="M104" t="str">
        <f t="shared" si="21"/>
        <v>391448</v>
      </c>
      <c r="N104" t="str">
        <f>"70"</f>
        <v>70</v>
      </c>
      <c r="O104" t="str">
        <f>"1379162"</f>
        <v>1379162</v>
      </c>
      <c r="P104">
        <v>9700</v>
      </c>
      <c r="Q104">
        <v>42.71</v>
      </c>
      <c r="R104">
        <v>142.38</v>
      </c>
      <c r="S104">
        <v>0</v>
      </c>
      <c r="T104">
        <v>0</v>
      </c>
      <c r="U104">
        <v>0</v>
      </c>
      <c r="V104" t="str">
        <f>"证券卖出"</f>
        <v>证券卖出</v>
      </c>
    </row>
    <row r="105" spans="1:22" x14ac:dyDescent="0.15">
      <c r="A105" t="str">
        <f>"20160411"</f>
        <v>20160411</v>
      </c>
      <c r="B105" t="str">
        <f>"09:32:53"</f>
        <v>09:32:53</v>
      </c>
      <c r="C105" t="str">
        <f>"300306"</f>
        <v>300306</v>
      </c>
      <c r="D105" t="str">
        <f>"远方光电"</f>
        <v>远方光电</v>
      </c>
      <c r="E105" t="str">
        <f>"卖出"</f>
        <v>卖出</v>
      </c>
      <c r="F105">
        <v>-8000</v>
      </c>
      <c r="G105">
        <v>22.5</v>
      </c>
      <c r="H105">
        <v>180000</v>
      </c>
      <c r="I105">
        <v>179766</v>
      </c>
      <c r="J105">
        <v>6906341.3399999999</v>
      </c>
      <c r="K105" t="str">
        <f>"87"</f>
        <v>87</v>
      </c>
      <c r="L105" t="str">
        <f t="shared" si="20"/>
        <v>0602813665</v>
      </c>
      <c r="M105" t="str">
        <f t="shared" si="21"/>
        <v>391448</v>
      </c>
      <c r="N105" t="str">
        <f>"87"</f>
        <v>87</v>
      </c>
      <c r="O105" t="str">
        <f>"1323396"</f>
        <v>1323396</v>
      </c>
      <c r="P105">
        <v>1700</v>
      </c>
      <c r="Q105">
        <v>54</v>
      </c>
      <c r="R105">
        <v>180</v>
      </c>
      <c r="S105">
        <v>0</v>
      </c>
      <c r="T105">
        <v>0</v>
      </c>
      <c r="U105">
        <v>0</v>
      </c>
      <c r="V105" t="str">
        <f>"证券卖出"</f>
        <v>证券卖出</v>
      </c>
    </row>
    <row r="106" spans="1:22" x14ac:dyDescent="0.15">
      <c r="A106" t="str">
        <f>"20160411"</f>
        <v>20160411</v>
      </c>
      <c r="B106" t="str">
        <f>"09:34:23"</f>
        <v>09:34:23</v>
      </c>
      <c r="C106" t="str">
        <f>"300306"</f>
        <v>300306</v>
      </c>
      <c r="D106" t="str">
        <f>"远方光电"</f>
        <v>远方光电</v>
      </c>
      <c r="E106" t="str">
        <f>"卖出"</f>
        <v>卖出</v>
      </c>
      <c r="F106">
        <v>-1700</v>
      </c>
      <c r="G106">
        <v>22.44</v>
      </c>
      <c r="H106">
        <v>38148</v>
      </c>
      <c r="I106">
        <v>38098.410000000003</v>
      </c>
      <c r="J106">
        <v>6944439.75</v>
      </c>
      <c r="K106" t="str">
        <f>"110"</f>
        <v>110</v>
      </c>
      <c r="L106" t="str">
        <f t="shared" si="20"/>
        <v>0602813665</v>
      </c>
      <c r="M106" t="str">
        <f t="shared" si="21"/>
        <v>391448</v>
      </c>
      <c r="N106" t="str">
        <f>"110"</f>
        <v>110</v>
      </c>
      <c r="O106" t="str">
        <f>"1511911"</f>
        <v>1511911</v>
      </c>
      <c r="P106">
        <v>0</v>
      </c>
      <c r="Q106">
        <v>11.44</v>
      </c>
      <c r="R106">
        <v>38.15</v>
      </c>
      <c r="S106">
        <v>0</v>
      </c>
      <c r="T106">
        <v>0</v>
      </c>
      <c r="U106">
        <v>0</v>
      </c>
      <c r="V106" t="str">
        <f>"证券卖出"</f>
        <v>证券卖出</v>
      </c>
    </row>
    <row r="107" spans="1:22" x14ac:dyDescent="0.15">
      <c r="A107" t="str">
        <f>"20160411"</f>
        <v>20160411</v>
      </c>
      <c r="B107" t="str">
        <f>"20:39:18"</f>
        <v>20:39:18</v>
      </c>
      <c r="C107" t="str">
        <f>"736726"</f>
        <v>736726</v>
      </c>
      <c r="D107" t="str">
        <f>"朗迪配号"</f>
        <v>朗迪配号</v>
      </c>
      <c r="E107" t="str">
        <f>"买入"</f>
        <v>买入</v>
      </c>
      <c r="F107">
        <v>9</v>
      </c>
      <c r="G107">
        <v>0</v>
      </c>
      <c r="H107">
        <v>0</v>
      </c>
      <c r="I107">
        <v>0</v>
      </c>
      <c r="J107">
        <v>6944439.75</v>
      </c>
      <c r="K107" t="str">
        <f>"0"</f>
        <v>0</v>
      </c>
      <c r="L107" t="str">
        <f>"E027990713"</f>
        <v>E027990713</v>
      </c>
      <c r="M107" t="str">
        <f>"24226"</f>
        <v>24226</v>
      </c>
      <c r="N107" t="str">
        <f>"351"</f>
        <v>351</v>
      </c>
      <c r="O107" t="str">
        <f>"0"</f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tr">
        <f>"起始配号:100011225224"</f>
        <v>起始配号:100011225224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交割单--中银信用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2016-04-28T08:41:33Z</dcterms:created>
  <dcterms:modified xsi:type="dcterms:W3CDTF">2016-05-05T09:41:16Z</dcterms:modified>
</cp:coreProperties>
</file>