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importData\交割单\"/>
    </mc:Choice>
  </mc:AlternateContent>
  <bookViews>
    <workbookView xWindow="0" yWindow="0" windowWidth="28800" windowHeight="12585"/>
  </bookViews>
  <sheets>
    <sheet name="交割单--中银普通" sheetId="1" r:id="rId1"/>
  </sheets>
  <calcPr calcId="0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2" i="1"/>
  <c r="B2" i="1"/>
  <c r="C2" i="1"/>
  <c r="D2" i="1"/>
  <c r="E2" i="1"/>
  <c r="K2" i="1"/>
  <c r="L2" i="1"/>
  <c r="M2" i="1"/>
  <c r="N2" i="1"/>
  <c r="O2" i="1"/>
  <c r="V2" i="1"/>
  <c r="A3" i="1"/>
  <c r="B3" i="1"/>
  <c r="C3" i="1"/>
  <c r="D3" i="1"/>
  <c r="E3" i="1"/>
  <c r="K3" i="1"/>
  <c r="L3" i="1"/>
  <c r="M3" i="1"/>
  <c r="N3" i="1"/>
  <c r="O3" i="1"/>
  <c r="V3" i="1"/>
  <c r="A4" i="1"/>
  <c r="B4" i="1"/>
  <c r="C4" i="1"/>
  <c r="D4" i="1"/>
  <c r="E4" i="1"/>
  <c r="K4" i="1"/>
  <c r="L4" i="1"/>
  <c r="M4" i="1"/>
  <c r="N4" i="1"/>
  <c r="O4" i="1"/>
  <c r="V4" i="1"/>
  <c r="A5" i="1"/>
  <c r="B5" i="1"/>
  <c r="C5" i="1"/>
  <c r="D5" i="1"/>
  <c r="E5" i="1"/>
  <c r="K5" i="1"/>
  <c r="L5" i="1"/>
  <c r="M5" i="1"/>
  <c r="N5" i="1"/>
  <c r="O5" i="1"/>
  <c r="V5" i="1"/>
  <c r="A6" i="1"/>
  <c r="B6" i="1"/>
  <c r="C6" i="1"/>
  <c r="D6" i="1"/>
  <c r="E6" i="1"/>
  <c r="K6" i="1"/>
  <c r="L6" i="1"/>
  <c r="M6" i="1"/>
  <c r="N6" i="1"/>
  <c r="O6" i="1"/>
  <c r="V6" i="1"/>
  <c r="A7" i="1"/>
  <c r="B7" i="1"/>
  <c r="C7" i="1"/>
  <c r="D7" i="1"/>
  <c r="E7" i="1"/>
  <c r="K7" i="1"/>
  <c r="L7" i="1"/>
  <c r="M7" i="1"/>
  <c r="N7" i="1"/>
  <c r="O7" i="1"/>
  <c r="V7" i="1"/>
  <c r="A8" i="1"/>
  <c r="B8" i="1"/>
  <c r="C8" i="1"/>
  <c r="D8" i="1"/>
  <c r="E8" i="1"/>
  <c r="K8" i="1"/>
  <c r="L8" i="1"/>
  <c r="M8" i="1"/>
  <c r="N8" i="1"/>
  <c r="O8" i="1"/>
  <c r="V8" i="1"/>
  <c r="A9" i="1"/>
  <c r="B9" i="1"/>
  <c r="C9" i="1"/>
  <c r="D9" i="1"/>
  <c r="E9" i="1"/>
  <c r="K9" i="1"/>
  <c r="L9" i="1"/>
  <c r="M9" i="1"/>
  <c r="N9" i="1"/>
  <c r="O9" i="1"/>
  <c r="V9" i="1"/>
  <c r="A10" i="1"/>
  <c r="B10" i="1"/>
  <c r="C10" i="1"/>
  <c r="D10" i="1"/>
  <c r="E10" i="1"/>
  <c r="K10" i="1"/>
  <c r="L10" i="1"/>
  <c r="M10" i="1"/>
  <c r="N10" i="1"/>
  <c r="O10" i="1"/>
  <c r="V10" i="1"/>
  <c r="A11" i="1"/>
  <c r="B11" i="1"/>
  <c r="C11" i="1"/>
  <c r="D11" i="1"/>
  <c r="E11" i="1"/>
  <c r="K11" i="1"/>
  <c r="L11" i="1"/>
  <c r="M11" i="1"/>
  <c r="N11" i="1"/>
  <c r="O11" i="1"/>
  <c r="V11" i="1"/>
  <c r="A12" i="1"/>
  <c r="B12" i="1"/>
  <c r="C12" i="1"/>
  <c r="D12" i="1"/>
  <c r="E12" i="1"/>
  <c r="K12" i="1"/>
  <c r="L12" i="1"/>
  <c r="M12" i="1"/>
  <c r="N12" i="1"/>
  <c r="O12" i="1"/>
  <c r="V12" i="1"/>
  <c r="A13" i="1"/>
  <c r="B13" i="1"/>
  <c r="C13" i="1"/>
  <c r="D13" i="1"/>
  <c r="E13" i="1"/>
  <c r="K13" i="1"/>
  <c r="L13" i="1"/>
  <c r="M13" i="1"/>
  <c r="N13" i="1"/>
  <c r="O13" i="1"/>
  <c r="V13" i="1"/>
  <c r="A14" i="1"/>
  <c r="B14" i="1"/>
  <c r="C14" i="1"/>
  <c r="D14" i="1"/>
  <c r="E14" i="1"/>
  <c r="K14" i="1"/>
  <c r="L14" i="1"/>
  <c r="M14" i="1"/>
  <c r="N14" i="1"/>
  <c r="O14" i="1"/>
  <c r="V14" i="1"/>
  <c r="A15" i="1"/>
  <c r="B15" i="1"/>
  <c r="C15" i="1"/>
  <c r="D15" i="1"/>
  <c r="E15" i="1"/>
  <c r="K15" i="1"/>
  <c r="L15" i="1"/>
  <c r="M15" i="1"/>
  <c r="N15" i="1"/>
  <c r="O15" i="1"/>
  <c r="V15" i="1"/>
  <c r="A16" i="1"/>
  <c r="B16" i="1"/>
  <c r="C16" i="1"/>
  <c r="D16" i="1"/>
  <c r="E16" i="1"/>
  <c r="K16" i="1"/>
  <c r="L16" i="1"/>
  <c r="M16" i="1"/>
  <c r="N16" i="1"/>
  <c r="O16" i="1"/>
  <c r="V16" i="1"/>
  <c r="A17" i="1"/>
  <c r="B17" i="1"/>
  <c r="C17" i="1"/>
  <c r="D17" i="1"/>
  <c r="E17" i="1"/>
  <c r="K17" i="1"/>
  <c r="L17" i="1"/>
  <c r="M17" i="1"/>
  <c r="N17" i="1"/>
  <c r="O17" i="1"/>
  <c r="V17" i="1"/>
  <c r="A18" i="1"/>
  <c r="B18" i="1"/>
  <c r="C18" i="1"/>
  <c r="D18" i="1"/>
  <c r="E18" i="1"/>
  <c r="K18" i="1"/>
  <c r="L18" i="1"/>
  <c r="M18" i="1"/>
  <c r="N18" i="1"/>
  <c r="O18" i="1"/>
  <c r="V18" i="1"/>
  <c r="A19" i="1"/>
  <c r="B19" i="1"/>
  <c r="C19" i="1"/>
  <c r="D19" i="1"/>
  <c r="E19" i="1"/>
  <c r="K19" i="1"/>
  <c r="L19" i="1"/>
  <c r="M19" i="1"/>
  <c r="N19" i="1"/>
  <c r="O19" i="1"/>
  <c r="V19" i="1"/>
  <c r="A20" i="1"/>
  <c r="B20" i="1"/>
  <c r="C20" i="1"/>
  <c r="D20" i="1"/>
  <c r="E20" i="1"/>
  <c r="K20" i="1"/>
  <c r="L20" i="1"/>
  <c r="M20" i="1"/>
  <c r="N20" i="1"/>
  <c r="O20" i="1"/>
  <c r="V20" i="1"/>
  <c r="A21" i="1"/>
  <c r="B21" i="1"/>
  <c r="C21" i="1"/>
  <c r="D21" i="1"/>
  <c r="E21" i="1"/>
  <c r="K21" i="1"/>
  <c r="L21" i="1"/>
  <c r="M21" i="1"/>
  <c r="N21" i="1"/>
  <c r="O21" i="1"/>
  <c r="V21" i="1"/>
  <c r="A22" i="1"/>
  <c r="B22" i="1"/>
  <c r="C22" i="1"/>
  <c r="D22" i="1"/>
  <c r="E22" i="1"/>
  <c r="K22" i="1"/>
  <c r="L22" i="1"/>
  <c r="M22" i="1"/>
  <c r="N22" i="1"/>
  <c r="O22" i="1"/>
  <c r="V22" i="1"/>
  <c r="A23" i="1"/>
  <c r="B23" i="1"/>
  <c r="C23" i="1"/>
  <c r="D23" i="1"/>
  <c r="E23" i="1"/>
  <c r="K23" i="1"/>
  <c r="L23" i="1"/>
  <c r="M23" i="1"/>
  <c r="N23" i="1"/>
  <c r="O23" i="1"/>
  <c r="V23" i="1"/>
  <c r="A24" i="1"/>
  <c r="B24" i="1"/>
  <c r="C24" i="1"/>
  <c r="D24" i="1"/>
  <c r="E24" i="1"/>
  <c r="K24" i="1"/>
  <c r="L24" i="1"/>
  <c r="M24" i="1"/>
  <c r="N24" i="1"/>
  <c r="O24" i="1"/>
  <c r="V24" i="1"/>
  <c r="A25" i="1"/>
  <c r="B25" i="1"/>
  <c r="C25" i="1"/>
  <c r="D25" i="1"/>
  <c r="E25" i="1"/>
  <c r="K25" i="1"/>
  <c r="L25" i="1"/>
  <c r="M25" i="1"/>
  <c r="N25" i="1"/>
  <c r="O25" i="1"/>
  <c r="V25" i="1"/>
  <c r="A26" i="1"/>
  <c r="B26" i="1"/>
  <c r="C26" i="1"/>
  <c r="D26" i="1"/>
  <c r="E26" i="1"/>
  <c r="K26" i="1"/>
  <c r="L26" i="1"/>
  <c r="M26" i="1"/>
  <c r="N26" i="1"/>
  <c r="O26" i="1"/>
  <c r="V26" i="1"/>
  <c r="A27" i="1"/>
  <c r="B27" i="1"/>
  <c r="C27" i="1"/>
  <c r="D27" i="1"/>
  <c r="E27" i="1"/>
  <c r="K27" i="1"/>
  <c r="L27" i="1"/>
  <c r="M27" i="1"/>
  <c r="N27" i="1"/>
  <c r="O27" i="1"/>
  <c r="V27" i="1"/>
  <c r="A28" i="1"/>
  <c r="B28" i="1"/>
  <c r="C28" i="1"/>
  <c r="D28" i="1"/>
  <c r="E28" i="1"/>
  <c r="K28" i="1"/>
  <c r="L28" i="1"/>
  <c r="M28" i="1"/>
  <c r="N28" i="1"/>
  <c r="O28" i="1"/>
  <c r="V28" i="1"/>
  <c r="A29" i="1"/>
  <c r="B29" i="1"/>
  <c r="C29" i="1"/>
  <c r="D29" i="1"/>
  <c r="E29" i="1"/>
  <c r="K29" i="1"/>
  <c r="L29" i="1"/>
  <c r="M29" i="1"/>
  <c r="N29" i="1"/>
  <c r="O29" i="1"/>
  <c r="V29" i="1"/>
  <c r="A30" i="1"/>
  <c r="B30" i="1"/>
  <c r="C30" i="1"/>
  <c r="D30" i="1"/>
  <c r="E30" i="1"/>
  <c r="K30" i="1"/>
  <c r="L30" i="1"/>
  <c r="M30" i="1"/>
  <c r="N30" i="1"/>
  <c r="O30" i="1"/>
  <c r="V30" i="1"/>
  <c r="A31" i="1"/>
  <c r="B31" i="1"/>
  <c r="C31" i="1"/>
  <c r="D31" i="1"/>
  <c r="E31" i="1"/>
  <c r="K31" i="1"/>
  <c r="L31" i="1"/>
  <c r="M31" i="1"/>
  <c r="N31" i="1"/>
  <c r="O31" i="1"/>
  <c r="V31" i="1"/>
  <c r="A32" i="1"/>
  <c r="B32" i="1"/>
  <c r="C32" i="1"/>
  <c r="D32" i="1"/>
  <c r="E32" i="1"/>
  <c r="K32" i="1"/>
  <c r="L32" i="1"/>
  <c r="M32" i="1"/>
  <c r="N32" i="1"/>
  <c r="O32" i="1"/>
  <c r="V32" i="1"/>
  <c r="A33" i="1"/>
  <c r="B33" i="1"/>
  <c r="C33" i="1"/>
  <c r="D33" i="1"/>
  <c r="E33" i="1"/>
  <c r="K33" i="1"/>
  <c r="L33" i="1"/>
  <c r="M33" i="1"/>
  <c r="N33" i="1"/>
  <c r="O33" i="1"/>
  <c r="V33" i="1"/>
  <c r="A34" i="1"/>
  <c r="B34" i="1"/>
  <c r="C34" i="1"/>
  <c r="D34" i="1"/>
  <c r="E34" i="1"/>
  <c r="K34" i="1"/>
  <c r="L34" i="1"/>
  <c r="M34" i="1"/>
  <c r="N34" i="1"/>
  <c r="O34" i="1"/>
  <c r="V34" i="1"/>
  <c r="A35" i="1"/>
  <c r="B35" i="1"/>
  <c r="C35" i="1"/>
  <c r="D35" i="1"/>
  <c r="E35" i="1"/>
  <c r="K35" i="1"/>
  <c r="L35" i="1"/>
  <c r="M35" i="1"/>
  <c r="N35" i="1"/>
  <c r="O35" i="1"/>
  <c r="V35" i="1"/>
  <c r="A36" i="1"/>
  <c r="B36" i="1"/>
  <c r="C36" i="1"/>
  <c r="D36" i="1"/>
  <c r="E36" i="1"/>
  <c r="K36" i="1"/>
  <c r="L36" i="1"/>
  <c r="M36" i="1"/>
  <c r="N36" i="1"/>
  <c r="O36" i="1"/>
  <c r="V36" i="1"/>
  <c r="A37" i="1"/>
  <c r="B37" i="1"/>
  <c r="C37" i="1"/>
  <c r="D37" i="1"/>
  <c r="E37" i="1"/>
  <c r="K37" i="1"/>
  <c r="L37" i="1"/>
  <c r="M37" i="1"/>
  <c r="N37" i="1"/>
  <c r="O37" i="1"/>
  <c r="V37" i="1"/>
  <c r="A38" i="1"/>
  <c r="B38" i="1"/>
  <c r="C38" i="1"/>
  <c r="D38" i="1"/>
  <c r="E38" i="1"/>
  <c r="K38" i="1"/>
  <c r="L38" i="1"/>
  <c r="M38" i="1"/>
  <c r="N38" i="1"/>
  <c r="O38" i="1"/>
  <c r="V38" i="1"/>
  <c r="A39" i="1"/>
  <c r="B39" i="1"/>
  <c r="C39" i="1"/>
  <c r="D39" i="1"/>
  <c r="E39" i="1"/>
  <c r="K39" i="1"/>
  <c r="L39" i="1"/>
  <c r="M39" i="1"/>
  <c r="N39" i="1"/>
  <c r="O39" i="1"/>
  <c r="V39" i="1"/>
  <c r="A40" i="1"/>
  <c r="B40" i="1"/>
  <c r="C40" i="1"/>
  <c r="D40" i="1"/>
  <c r="E40" i="1"/>
  <c r="K40" i="1"/>
  <c r="L40" i="1"/>
  <c r="M40" i="1"/>
  <c r="N40" i="1"/>
  <c r="O40" i="1"/>
  <c r="V40" i="1"/>
  <c r="A41" i="1"/>
  <c r="B41" i="1"/>
  <c r="C41" i="1"/>
  <c r="D41" i="1"/>
  <c r="E41" i="1"/>
  <c r="K41" i="1"/>
  <c r="L41" i="1"/>
  <c r="M41" i="1"/>
  <c r="N41" i="1"/>
  <c r="O41" i="1"/>
  <c r="V41" i="1"/>
  <c r="A42" i="1"/>
  <c r="B42" i="1"/>
  <c r="C42" i="1"/>
  <c r="D42" i="1"/>
  <c r="E42" i="1"/>
  <c r="K42" i="1"/>
  <c r="L42" i="1"/>
  <c r="M42" i="1"/>
  <c r="N42" i="1"/>
  <c r="O42" i="1"/>
  <c r="V42" i="1"/>
  <c r="A43" i="1"/>
  <c r="B43" i="1"/>
  <c r="C43" i="1"/>
  <c r="D43" i="1"/>
  <c r="E43" i="1"/>
  <c r="K43" i="1"/>
  <c r="L43" i="1"/>
  <c r="M43" i="1"/>
  <c r="N43" i="1"/>
  <c r="O43" i="1"/>
  <c r="V43" i="1"/>
  <c r="A44" i="1"/>
  <c r="B44" i="1"/>
  <c r="C44" i="1"/>
  <c r="D44" i="1"/>
  <c r="E44" i="1"/>
  <c r="K44" i="1"/>
  <c r="L44" i="1"/>
  <c r="M44" i="1"/>
  <c r="N44" i="1"/>
  <c r="O44" i="1"/>
  <c r="V44" i="1"/>
  <c r="A45" i="1"/>
  <c r="B45" i="1"/>
  <c r="C45" i="1"/>
  <c r="D45" i="1"/>
  <c r="E45" i="1"/>
  <c r="K45" i="1"/>
  <c r="L45" i="1"/>
  <c r="M45" i="1"/>
  <c r="N45" i="1"/>
  <c r="O45" i="1"/>
  <c r="V45" i="1"/>
  <c r="A46" i="1"/>
  <c r="B46" i="1"/>
  <c r="C46" i="1"/>
  <c r="D46" i="1"/>
  <c r="E46" i="1"/>
  <c r="K46" i="1"/>
  <c r="L46" i="1"/>
  <c r="M46" i="1"/>
  <c r="N46" i="1"/>
  <c r="O46" i="1"/>
  <c r="V46" i="1"/>
  <c r="A47" i="1"/>
  <c r="B47" i="1"/>
  <c r="C47" i="1"/>
  <c r="D47" i="1"/>
  <c r="E47" i="1"/>
  <c r="K47" i="1"/>
  <c r="L47" i="1"/>
  <c r="M47" i="1"/>
  <c r="N47" i="1"/>
  <c r="O47" i="1"/>
  <c r="V47" i="1"/>
  <c r="A48" i="1"/>
  <c r="B48" i="1"/>
  <c r="C48" i="1"/>
  <c r="D48" i="1"/>
  <c r="E48" i="1"/>
  <c r="K48" i="1"/>
  <c r="L48" i="1"/>
  <c r="M48" i="1"/>
  <c r="N48" i="1"/>
  <c r="O48" i="1"/>
  <c r="V48" i="1"/>
  <c r="A49" i="1"/>
  <c r="B49" i="1"/>
  <c r="C49" i="1"/>
  <c r="D49" i="1"/>
  <c r="E49" i="1"/>
  <c r="K49" i="1"/>
  <c r="L49" i="1"/>
  <c r="M49" i="1"/>
  <c r="N49" i="1"/>
  <c r="O49" i="1"/>
  <c r="V49" i="1"/>
  <c r="A50" i="1"/>
  <c r="B50" i="1"/>
  <c r="C50" i="1"/>
  <c r="D50" i="1"/>
  <c r="E50" i="1"/>
  <c r="K50" i="1"/>
  <c r="L50" i="1"/>
  <c r="M50" i="1"/>
  <c r="N50" i="1"/>
  <c r="O50" i="1"/>
  <c r="V50" i="1"/>
  <c r="A51" i="1"/>
  <c r="B51" i="1"/>
  <c r="C51" i="1"/>
  <c r="D51" i="1"/>
  <c r="E51" i="1"/>
  <c r="K51" i="1"/>
  <c r="L51" i="1"/>
  <c r="M51" i="1"/>
  <c r="N51" i="1"/>
  <c r="O51" i="1"/>
  <c r="V51" i="1"/>
  <c r="A52" i="1"/>
  <c r="B52" i="1"/>
  <c r="C52" i="1"/>
  <c r="D52" i="1"/>
  <c r="E52" i="1"/>
  <c r="K52" i="1"/>
  <c r="L52" i="1"/>
  <c r="M52" i="1"/>
  <c r="N52" i="1"/>
  <c r="O52" i="1"/>
  <c r="V52" i="1"/>
  <c r="A53" i="1"/>
  <c r="B53" i="1"/>
  <c r="C53" i="1"/>
  <c r="D53" i="1"/>
  <c r="E53" i="1"/>
  <c r="K53" i="1"/>
  <c r="L53" i="1"/>
  <c r="M53" i="1"/>
  <c r="N53" i="1"/>
  <c r="O53" i="1"/>
  <c r="V53" i="1"/>
  <c r="A54" i="1"/>
  <c r="B54" i="1"/>
  <c r="C54" i="1"/>
  <c r="D54" i="1"/>
  <c r="E54" i="1"/>
  <c r="K54" i="1"/>
  <c r="L54" i="1"/>
  <c r="M54" i="1"/>
  <c r="N54" i="1"/>
  <c r="O54" i="1"/>
  <c r="V54" i="1"/>
  <c r="A55" i="1"/>
  <c r="B55" i="1"/>
  <c r="C55" i="1"/>
  <c r="D55" i="1"/>
  <c r="E55" i="1"/>
  <c r="K55" i="1"/>
  <c r="L55" i="1"/>
  <c r="M55" i="1"/>
  <c r="N55" i="1"/>
  <c r="O55" i="1"/>
  <c r="V55" i="1"/>
  <c r="A56" i="1"/>
  <c r="B56" i="1"/>
  <c r="C56" i="1"/>
  <c r="D56" i="1"/>
  <c r="E56" i="1"/>
  <c r="K56" i="1"/>
  <c r="L56" i="1"/>
  <c r="M56" i="1"/>
  <c r="N56" i="1"/>
  <c r="O56" i="1"/>
  <c r="V56" i="1"/>
  <c r="A57" i="1"/>
  <c r="B57" i="1"/>
  <c r="C57" i="1"/>
  <c r="D57" i="1"/>
  <c r="E57" i="1"/>
  <c r="K57" i="1"/>
  <c r="L57" i="1"/>
  <c r="M57" i="1"/>
  <c r="N57" i="1"/>
  <c r="O57" i="1"/>
  <c r="V57" i="1"/>
  <c r="A58" i="1"/>
  <c r="B58" i="1"/>
  <c r="C58" i="1"/>
  <c r="D58" i="1"/>
  <c r="E58" i="1"/>
  <c r="K58" i="1"/>
  <c r="L58" i="1"/>
  <c r="M58" i="1"/>
  <c r="N58" i="1"/>
  <c r="O58" i="1"/>
  <c r="V58" i="1"/>
  <c r="A59" i="1"/>
  <c r="B59" i="1"/>
  <c r="C59" i="1"/>
  <c r="D59" i="1"/>
  <c r="E59" i="1"/>
  <c r="K59" i="1"/>
  <c r="L59" i="1"/>
  <c r="M59" i="1"/>
  <c r="N59" i="1"/>
  <c r="O59" i="1"/>
  <c r="V59" i="1"/>
  <c r="A60" i="1"/>
  <c r="B60" i="1"/>
  <c r="C60" i="1"/>
  <c r="D60" i="1"/>
  <c r="E60" i="1"/>
  <c r="K60" i="1"/>
  <c r="L60" i="1"/>
  <c r="M60" i="1"/>
  <c r="N60" i="1"/>
  <c r="O60" i="1"/>
  <c r="V60" i="1"/>
  <c r="A61" i="1"/>
  <c r="B61" i="1"/>
  <c r="C61" i="1"/>
  <c r="D61" i="1"/>
  <c r="E61" i="1"/>
  <c r="K61" i="1"/>
  <c r="L61" i="1"/>
  <c r="M61" i="1"/>
  <c r="N61" i="1"/>
  <c r="O61" i="1"/>
  <c r="V61" i="1"/>
  <c r="A62" i="1"/>
  <c r="B62" i="1"/>
  <c r="C62" i="1"/>
  <c r="D62" i="1"/>
  <c r="E62" i="1"/>
  <c r="K62" i="1"/>
  <c r="L62" i="1"/>
  <c r="M62" i="1"/>
  <c r="N62" i="1"/>
  <c r="O62" i="1"/>
  <c r="V62" i="1"/>
  <c r="A63" i="1"/>
  <c r="B63" i="1"/>
  <c r="C63" i="1"/>
  <c r="D63" i="1"/>
  <c r="E63" i="1"/>
  <c r="K63" i="1"/>
  <c r="L63" i="1"/>
  <c r="M63" i="1"/>
  <c r="N63" i="1"/>
  <c r="O63" i="1"/>
  <c r="V63" i="1"/>
  <c r="A64" i="1"/>
  <c r="B64" i="1"/>
  <c r="C64" i="1"/>
  <c r="D64" i="1"/>
  <c r="E64" i="1"/>
  <c r="K64" i="1"/>
  <c r="L64" i="1"/>
  <c r="M64" i="1"/>
  <c r="N64" i="1"/>
  <c r="O64" i="1"/>
  <c r="V64" i="1"/>
  <c r="A65" i="1"/>
  <c r="B65" i="1"/>
  <c r="C65" i="1"/>
  <c r="D65" i="1"/>
  <c r="E65" i="1"/>
  <c r="K65" i="1"/>
  <c r="L65" i="1"/>
  <c r="M65" i="1"/>
  <c r="N65" i="1"/>
  <c r="O65" i="1"/>
  <c r="V65" i="1"/>
  <c r="A66" i="1"/>
  <c r="B66" i="1"/>
  <c r="C66" i="1"/>
  <c r="D66" i="1"/>
  <c r="E66" i="1"/>
  <c r="K66" i="1"/>
  <c r="L66" i="1"/>
  <c r="M66" i="1"/>
  <c r="N66" i="1"/>
  <c r="O66" i="1"/>
  <c r="V66" i="1"/>
  <c r="A67" i="1"/>
  <c r="B67" i="1"/>
  <c r="C67" i="1"/>
  <c r="D67" i="1"/>
  <c r="E67" i="1"/>
  <c r="K67" i="1"/>
  <c r="L67" i="1"/>
  <c r="M67" i="1"/>
  <c r="N67" i="1"/>
  <c r="O67" i="1"/>
  <c r="V67" i="1"/>
  <c r="A68" i="1"/>
  <c r="B68" i="1"/>
  <c r="C68" i="1"/>
  <c r="D68" i="1"/>
  <c r="E68" i="1"/>
  <c r="K68" i="1"/>
  <c r="L68" i="1"/>
  <c r="M68" i="1"/>
  <c r="N68" i="1"/>
  <c r="O68" i="1"/>
  <c r="V68" i="1"/>
  <c r="A69" i="1"/>
  <c r="B69" i="1"/>
  <c r="C69" i="1"/>
  <c r="D69" i="1"/>
  <c r="E69" i="1"/>
  <c r="K69" i="1"/>
  <c r="L69" i="1"/>
  <c r="M69" i="1"/>
  <c r="N69" i="1"/>
  <c r="O69" i="1"/>
  <c r="V69" i="1"/>
  <c r="A70" i="1"/>
  <c r="B70" i="1"/>
  <c r="C70" i="1"/>
  <c r="D70" i="1"/>
  <c r="E70" i="1"/>
  <c r="K70" i="1"/>
  <c r="L70" i="1"/>
  <c r="M70" i="1"/>
  <c r="N70" i="1"/>
  <c r="O70" i="1"/>
  <c r="V70" i="1"/>
  <c r="A71" i="1"/>
  <c r="B71" i="1"/>
  <c r="C71" i="1"/>
  <c r="D71" i="1"/>
  <c r="E71" i="1"/>
  <c r="K71" i="1"/>
  <c r="L71" i="1"/>
  <c r="M71" i="1"/>
  <c r="N71" i="1"/>
  <c r="O71" i="1"/>
  <c r="V71" i="1"/>
  <c r="A72" i="1"/>
  <c r="B72" i="1"/>
  <c r="C72" i="1"/>
  <c r="D72" i="1"/>
  <c r="E72" i="1"/>
  <c r="K72" i="1"/>
  <c r="L72" i="1"/>
  <c r="M72" i="1"/>
  <c r="N72" i="1"/>
  <c r="O72" i="1"/>
  <c r="V72" i="1"/>
  <c r="A73" i="1"/>
  <c r="B73" i="1"/>
  <c r="C73" i="1"/>
  <c r="D73" i="1"/>
  <c r="E73" i="1"/>
  <c r="K73" i="1"/>
  <c r="L73" i="1"/>
  <c r="M73" i="1"/>
  <c r="N73" i="1"/>
  <c r="O73" i="1"/>
  <c r="V73" i="1"/>
  <c r="A74" i="1"/>
  <c r="B74" i="1"/>
  <c r="C74" i="1"/>
  <c r="D74" i="1"/>
  <c r="E74" i="1"/>
  <c r="K74" i="1"/>
  <c r="L74" i="1"/>
  <c r="M74" i="1"/>
  <c r="N74" i="1"/>
  <c r="O74" i="1"/>
  <c r="V74" i="1"/>
  <c r="A75" i="1"/>
  <c r="B75" i="1"/>
  <c r="C75" i="1"/>
  <c r="D75" i="1"/>
  <c r="E75" i="1"/>
  <c r="K75" i="1"/>
  <c r="L75" i="1"/>
  <c r="M75" i="1"/>
  <c r="N75" i="1"/>
  <c r="O75" i="1"/>
  <c r="V75" i="1"/>
  <c r="A76" i="1"/>
  <c r="B76" i="1"/>
  <c r="C76" i="1"/>
  <c r="D76" i="1"/>
  <c r="E76" i="1"/>
  <c r="K76" i="1"/>
  <c r="L76" i="1"/>
  <c r="M76" i="1"/>
  <c r="N76" i="1"/>
  <c r="O76" i="1"/>
  <c r="V76" i="1"/>
  <c r="A77" i="1"/>
  <c r="B77" i="1"/>
  <c r="C77" i="1"/>
  <c r="D77" i="1"/>
  <c r="E77" i="1"/>
  <c r="K77" i="1"/>
  <c r="L77" i="1"/>
  <c r="M77" i="1"/>
  <c r="N77" i="1"/>
  <c r="O77" i="1"/>
  <c r="V77" i="1"/>
  <c r="A78" i="1"/>
  <c r="B78" i="1"/>
  <c r="C78" i="1"/>
  <c r="D78" i="1"/>
  <c r="E78" i="1"/>
  <c r="K78" i="1"/>
  <c r="L78" i="1"/>
  <c r="M78" i="1"/>
  <c r="N78" i="1"/>
  <c r="O78" i="1"/>
  <c r="V78" i="1"/>
  <c r="A79" i="1"/>
  <c r="B79" i="1"/>
  <c r="C79" i="1"/>
  <c r="D79" i="1"/>
  <c r="E79" i="1"/>
  <c r="K79" i="1"/>
  <c r="L79" i="1"/>
  <c r="M79" i="1"/>
  <c r="N79" i="1"/>
  <c r="O79" i="1"/>
  <c r="V79" i="1"/>
  <c r="A80" i="1"/>
  <c r="B80" i="1"/>
  <c r="C80" i="1"/>
  <c r="D80" i="1"/>
  <c r="E80" i="1"/>
  <c r="K80" i="1"/>
  <c r="L80" i="1"/>
  <c r="M80" i="1"/>
  <c r="N80" i="1"/>
  <c r="O80" i="1"/>
  <c r="V80" i="1"/>
  <c r="A81" i="1"/>
  <c r="B81" i="1"/>
  <c r="C81" i="1"/>
  <c r="D81" i="1"/>
  <c r="E81" i="1"/>
  <c r="K81" i="1"/>
  <c r="L81" i="1"/>
  <c r="M81" i="1"/>
  <c r="N81" i="1"/>
  <c r="O81" i="1"/>
  <c r="V81" i="1"/>
  <c r="A82" i="1"/>
  <c r="B82" i="1"/>
  <c r="C82" i="1"/>
  <c r="D82" i="1"/>
  <c r="E82" i="1"/>
  <c r="K82" i="1"/>
  <c r="L82" i="1"/>
  <c r="M82" i="1"/>
  <c r="N82" i="1"/>
  <c r="O82" i="1"/>
  <c r="V8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workbookViewId="0"/>
  </sheetViews>
  <sheetFormatPr defaultRowHeight="13.5" x14ac:dyDescent="0.15"/>
  <sheetData>
    <row r="1" spans="1:22" x14ac:dyDescent="0.15">
      <c r="A1" t="str">
        <f>"发生日期"</f>
        <v>发生日期</v>
      </c>
      <c r="B1" t="str">
        <f>"成交时间"</f>
        <v>成交时间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"成交数量"</f>
        <v>成交数量</v>
      </c>
      <c r="G1" t="str">
        <f>"成交价格"</f>
        <v>成交价格</v>
      </c>
      <c r="H1" t="str">
        <f>"成交金额"</f>
        <v>成交金额</v>
      </c>
      <c r="I1" t="str">
        <f>"发生金额"</f>
        <v>发生金额</v>
      </c>
      <c r="J1" t="str">
        <f>"剩余金额"</f>
        <v>剩余金额</v>
      </c>
      <c r="K1" t="str">
        <f>"申报序号"</f>
        <v>申报序号</v>
      </c>
      <c r="L1" t="str">
        <f>"股东代码"</f>
        <v>股东代码</v>
      </c>
      <c r="M1" t="str">
        <f>"席位代码"</f>
        <v>席位代码</v>
      </c>
      <c r="N1" t="str">
        <f>"委托编号"</f>
        <v>委托编号</v>
      </c>
      <c r="O1" t="str">
        <f>"成交编号"</f>
        <v>成交编号</v>
      </c>
      <c r="P1" t="str">
        <f>"证券数量"</f>
        <v>证券数量</v>
      </c>
      <c r="Q1" t="str">
        <f>"佣金"</f>
        <v>佣金</v>
      </c>
      <c r="R1" t="str">
        <f>"印花税"</f>
        <v>印花税</v>
      </c>
      <c r="S1" t="str">
        <f>"过户费"</f>
        <v>过户费</v>
      </c>
      <c r="T1" t="str">
        <f>"交易征费"</f>
        <v>交易征费</v>
      </c>
      <c r="U1" t="str">
        <f>"交易规费"</f>
        <v>交易规费</v>
      </c>
      <c r="V1" t="str">
        <f>"备注"</f>
        <v>备注</v>
      </c>
    </row>
    <row r="2" spans="1:22" x14ac:dyDescent="0.15">
      <c r="A2" t="str">
        <f>"20160405"</f>
        <v>20160405</v>
      </c>
      <c r="B2" t="str">
        <f>"13:53:54"</f>
        <v>13:53:54</v>
      </c>
      <c r="C2" t="str">
        <f>"204001"</f>
        <v>204001</v>
      </c>
      <c r="D2" t="str">
        <f>"GC001"</f>
        <v>GC001</v>
      </c>
      <c r="E2" t="str">
        <f>"卖出"</f>
        <v>卖出</v>
      </c>
      <c r="F2">
        <v>71000</v>
      </c>
      <c r="G2">
        <v>2.6349999999999998</v>
      </c>
      <c r="H2">
        <v>7100000</v>
      </c>
      <c r="I2">
        <v>-7100071</v>
      </c>
      <c r="J2">
        <v>63151.41</v>
      </c>
      <c r="K2" t="str">
        <f>"18108"</f>
        <v>18108</v>
      </c>
      <c r="L2" t="str">
        <f>"A450074252"</f>
        <v>A450074252</v>
      </c>
      <c r="M2" t="str">
        <f>"21986"</f>
        <v>21986</v>
      </c>
      <c r="N2" t="str">
        <f>"18108"</f>
        <v>18108</v>
      </c>
      <c r="O2" t="str">
        <f>"9294737"</f>
        <v>9294737</v>
      </c>
      <c r="P2">
        <v>0</v>
      </c>
      <c r="Q2">
        <v>71</v>
      </c>
      <c r="R2">
        <v>0</v>
      </c>
      <c r="S2">
        <v>0</v>
      </c>
      <c r="T2">
        <v>0</v>
      </c>
      <c r="U2">
        <v>0</v>
      </c>
      <c r="V2" t="str">
        <f>"融券回购购回日:20160406息:519.68-888880"</f>
        <v>融券回购购回日:20160406息:519.68-888880</v>
      </c>
    </row>
    <row r="3" spans="1:22" x14ac:dyDescent="0.15">
      <c r="A3" t="str">
        <f>"20160406"</f>
        <v>20160406</v>
      </c>
      <c r="B3" t="str">
        <f>"14:28:30"</f>
        <v>14:28:30</v>
      </c>
      <c r="C3" t="str">
        <f>"204001"</f>
        <v>204001</v>
      </c>
      <c r="D3" t="str">
        <f>"GC001"</f>
        <v>GC001</v>
      </c>
      <c r="E3" t="str">
        <f>"卖出"</f>
        <v>卖出</v>
      </c>
      <c r="F3">
        <v>71000</v>
      </c>
      <c r="G3">
        <v>2.16</v>
      </c>
      <c r="H3">
        <v>7100000</v>
      </c>
      <c r="I3">
        <v>-7100071</v>
      </c>
      <c r="J3">
        <v>-7036919.5899999999</v>
      </c>
      <c r="K3" t="str">
        <f>"22823"</f>
        <v>22823</v>
      </c>
      <c r="L3" t="str">
        <f>"A450074252"</f>
        <v>A450074252</v>
      </c>
      <c r="M3" t="str">
        <f>"21986"</f>
        <v>21986</v>
      </c>
      <c r="N3" t="str">
        <f>"22823"</f>
        <v>22823</v>
      </c>
      <c r="O3" t="str">
        <f>"10961542"</f>
        <v>10961542</v>
      </c>
      <c r="P3">
        <v>0</v>
      </c>
      <c r="Q3">
        <v>71</v>
      </c>
      <c r="R3">
        <v>0</v>
      </c>
      <c r="S3">
        <v>0</v>
      </c>
      <c r="T3">
        <v>0</v>
      </c>
      <c r="U3">
        <v>0</v>
      </c>
      <c r="V3" t="str">
        <f>"融券回购购回日:20160407息:426-888880"</f>
        <v>融券回购购回日:20160407息:426-888880</v>
      </c>
    </row>
    <row r="4" spans="1:22" x14ac:dyDescent="0.15">
      <c r="A4" t="str">
        <f>"20160406"</f>
        <v>20160406</v>
      </c>
      <c r="B4" t="str">
        <f>"19:03:27"</f>
        <v>19:03:27</v>
      </c>
      <c r="C4" t="str">
        <f>"204001"</f>
        <v>204001</v>
      </c>
      <c r="D4" t="str">
        <f>"GC001"</f>
        <v>GC001</v>
      </c>
      <c r="E4" t="str">
        <f>"卖出"</f>
        <v>卖出</v>
      </c>
      <c r="F4">
        <v>-71000</v>
      </c>
      <c r="G4">
        <v>2.6349999999999998</v>
      </c>
      <c r="H4">
        <v>7100000</v>
      </c>
      <c r="I4">
        <v>7100519.6799999997</v>
      </c>
      <c r="J4">
        <v>63600.09</v>
      </c>
      <c r="K4" t="str">
        <f>"18108"</f>
        <v>18108</v>
      </c>
      <c r="L4" t="str">
        <f>"A450074252"</f>
        <v>A450074252</v>
      </c>
      <c r="M4" t="str">
        <f>"21986"</f>
        <v>21986</v>
      </c>
      <c r="N4" t="str">
        <f>"18108"</f>
        <v>18108</v>
      </c>
      <c r="O4" t="str">
        <f>"9294737"</f>
        <v>9294737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tr">
        <f>"融券购回:519.68-888880"</f>
        <v>融券购回:519.68-888880</v>
      </c>
    </row>
    <row r="5" spans="1:22" x14ac:dyDescent="0.15">
      <c r="A5" t="str">
        <f>"20160407"</f>
        <v>20160407</v>
      </c>
      <c r="B5" t="str">
        <f>"14:48:19"</f>
        <v>14:48:19</v>
      </c>
      <c r="C5" t="str">
        <f>"204001"</f>
        <v>204001</v>
      </c>
      <c r="D5" t="str">
        <f>"GC001"</f>
        <v>GC001</v>
      </c>
      <c r="E5" t="str">
        <f>"卖出"</f>
        <v>卖出</v>
      </c>
      <c r="F5">
        <v>60000</v>
      </c>
      <c r="G5">
        <v>2.42</v>
      </c>
      <c r="H5">
        <v>6000000</v>
      </c>
      <c r="I5">
        <v>-6000060</v>
      </c>
      <c r="J5">
        <v>-5936459.9100000001</v>
      </c>
      <c r="K5" t="str">
        <f>"20665"</f>
        <v>20665</v>
      </c>
      <c r="L5" t="str">
        <f>"A450074252"</f>
        <v>A450074252</v>
      </c>
      <c r="M5" t="str">
        <f>"21986"</f>
        <v>21986</v>
      </c>
      <c r="N5" t="str">
        <f>"20665"</f>
        <v>20665</v>
      </c>
      <c r="O5" t="str">
        <f>"11557030"</f>
        <v>11557030</v>
      </c>
      <c r="P5">
        <v>0</v>
      </c>
      <c r="Q5">
        <v>60</v>
      </c>
      <c r="R5">
        <v>0</v>
      </c>
      <c r="S5">
        <v>0</v>
      </c>
      <c r="T5">
        <v>0</v>
      </c>
      <c r="U5">
        <v>0</v>
      </c>
      <c r="V5" t="str">
        <f>"融券回购购回日:20160408息:403.33-888880"</f>
        <v>融券回购购回日:20160408息:403.33-888880</v>
      </c>
    </row>
    <row r="6" spans="1:22" x14ac:dyDescent="0.15">
      <c r="A6" t="str">
        <f>"20160407"</f>
        <v>20160407</v>
      </c>
      <c r="B6" t="str">
        <f>"13:27:29"</f>
        <v>13:27:29</v>
      </c>
      <c r="C6" t="str">
        <f>"002038"</f>
        <v>002038</v>
      </c>
      <c r="D6" t="str">
        <f>"双鹭药业"</f>
        <v>双鹭药业</v>
      </c>
      <c r="E6" t="str">
        <f>"买入"</f>
        <v>买入</v>
      </c>
      <c r="F6">
        <v>30000</v>
      </c>
      <c r="G6">
        <v>26.08</v>
      </c>
      <c r="H6">
        <v>782400</v>
      </c>
      <c r="I6">
        <v>-782634.72</v>
      </c>
      <c r="J6">
        <v>-6719094.6299999999</v>
      </c>
      <c r="K6" t="str">
        <f>"14510"</f>
        <v>14510</v>
      </c>
      <c r="L6" t="str">
        <f>"0157127191"</f>
        <v>0157127191</v>
      </c>
      <c r="M6" t="str">
        <f>"274000"</f>
        <v>274000</v>
      </c>
      <c r="N6" t="str">
        <f>"14510"</f>
        <v>14510</v>
      </c>
      <c r="O6" t="str">
        <f>"20017148"</f>
        <v>20017148</v>
      </c>
      <c r="P6">
        <v>30000</v>
      </c>
      <c r="Q6">
        <v>234.72</v>
      </c>
      <c r="R6">
        <v>0</v>
      </c>
      <c r="S6">
        <v>0</v>
      </c>
      <c r="T6">
        <v>0</v>
      </c>
      <c r="U6">
        <v>0</v>
      </c>
      <c r="V6" t="str">
        <f>"证券买入"</f>
        <v>证券买入</v>
      </c>
    </row>
    <row r="7" spans="1:22" x14ac:dyDescent="0.15">
      <c r="A7" t="str">
        <f>"20160407"</f>
        <v>20160407</v>
      </c>
      <c r="B7" t="str">
        <f>"18:49:32"</f>
        <v>18:49:32</v>
      </c>
      <c r="C7" t="str">
        <f>"204001"</f>
        <v>204001</v>
      </c>
      <c r="D7" t="str">
        <f>"GC001"</f>
        <v>GC001</v>
      </c>
      <c r="E7" t="str">
        <f>"卖出"</f>
        <v>卖出</v>
      </c>
      <c r="F7">
        <v>-71000</v>
      </c>
      <c r="G7">
        <v>2.16</v>
      </c>
      <c r="H7">
        <v>7100000</v>
      </c>
      <c r="I7">
        <v>7100426</v>
      </c>
      <c r="J7">
        <v>381331.37</v>
      </c>
      <c r="K7" t="str">
        <f>"22823"</f>
        <v>22823</v>
      </c>
      <c r="L7" t="str">
        <f>"A450074252"</f>
        <v>A450074252</v>
      </c>
      <c r="M7" t="str">
        <f>"21986"</f>
        <v>21986</v>
      </c>
      <c r="N7" t="str">
        <f>"22823"</f>
        <v>22823</v>
      </c>
      <c r="O7" t="str">
        <f>"10961542"</f>
        <v>10961542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tr">
        <f>"融券购回:426-888880"</f>
        <v>融券购回:426-888880</v>
      </c>
    </row>
    <row r="8" spans="1:22" x14ac:dyDescent="0.15">
      <c r="A8" t="str">
        <f t="shared" ref="A8:A15" si="0">"20160408"</f>
        <v>20160408</v>
      </c>
      <c r="B8" t="str">
        <f>"14:47:42"</f>
        <v>14:47:42</v>
      </c>
      <c r="C8" t="str">
        <f>"204001"</f>
        <v>204001</v>
      </c>
      <c r="D8" t="str">
        <f>"GC001"</f>
        <v>GC001</v>
      </c>
      <c r="E8" t="str">
        <f>"卖出"</f>
        <v>卖出</v>
      </c>
      <c r="F8">
        <v>25000</v>
      </c>
      <c r="G8">
        <v>1.96</v>
      </c>
      <c r="H8">
        <v>2500000</v>
      </c>
      <c r="I8">
        <v>-2500025</v>
      </c>
      <c r="J8">
        <v>-2118693.63</v>
      </c>
      <c r="K8" t="str">
        <f>"20397"</f>
        <v>20397</v>
      </c>
      <c r="L8" t="str">
        <f>"A450074252"</f>
        <v>A450074252</v>
      </c>
      <c r="M8" t="str">
        <f>"21986"</f>
        <v>21986</v>
      </c>
      <c r="N8" t="str">
        <f>"20397"</f>
        <v>20397</v>
      </c>
      <c r="O8" t="str">
        <f>"10328493"</f>
        <v>10328493</v>
      </c>
      <c r="P8">
        <v>0</v>
      </c>
      <c r="Q8">
        <v>25</v>
      </c>
      <c r="R8">
        <v>0</v>
      </c>
      <c r="S8">
        <v>0</v>
      </c>
      <c r="T8">
        <v>0</v>
      </c>
      <c r="U8">
        <v>0</v>
      </c>
      <c r="V8" t="str">
        <f>"融券回购购回日:20160409息:136.11-888880"</f>
        <v>融券回购购回日:20160409息:136.11-888880</v>
      </c>
    </row>
    <row r="9" spans="1:22" x14ac:dyDescent="0.15">
      <c r="A9" t="str">
        <f t="shared" si="0"/>
        <v>20160408</v>
      </c>
      <c r="B9" t="str">
        <f>"10:50:51"</f>
        <v>10:50:51</v>
      </c>
      <c r="C9" t="str">
        <f>"002038"</f>
        <v>002038</v>
      </c>
      <c r="D9" t="str">
        <f>"双鹭药业"</f>
        <v>双鹭药业</v>
      </c>
      <c r="E9" t="str">
        <f>"买入"</f>
        <v>买入</v>
      </c>
      <c r="F9">
        <v>50000</v>
      </c>
      <c r="G9">
        <v>25.44</v>
      </c>
      <c r="H9">
        <v>1272000</v>
      </c>
      <c r="I9">
        <v>-1272381.6000000001</v>
      </c>
      <c r="J9">
        <v>-3391075.23</v>
      </c>
      <c r="K9" t="str">
        <f>"10224"</f>
        <v>10224</v>
      </c>
      <c r="L9" t="str">
        <f>"0157127191"</f>
        <v>0157127191</v>
      </c>
      <c r="M9" t="str">
        <f>"274000"</f>
        <v>274000</v>
      </c>
      <c r="N9" t="str">
        <f>"10224"</f>
        <v>10224</v>
      </c>
      <c r="O9" t="str">
        <f>"16040408"</f>
        <v>16040408</v>
      </c>
      <c r="P9">
        <v>80000</v>
      </c>
      <c r="Q9">
        <v>381.6</v>
      </c>
      <c r="R9">
        <v>0</v>
      </c>
      <c r="S9">
        <v>0</v>
      </c>
      <c r="T9">
        <v>0</v>
      </c>
      <c r="U9">
        <v>0</v>
      </c>
      <c r="V9" t="str">
        <f>"证券买入"</f>
        <v>证券买入</v>
      </c>
    </row>
    <row r="10" spans="1:22" x14ac:dyDescent="0.15">
      <c r="A10" t="str">
        <f t="shared" si="0"/>
        <v>20160408</v>
      </c>
      <c r="B10" t="str">
        <f>"10:52:07"</f>
        <v>10:52:07</v>
      </c>
      <c r="C10" t="str">
        <f>"002038"</f>
        <v>002038</v>
      </c>
      <c r="D10" t="str">
        <f>"双鹭药业"</f>
        <v>双鹭药业</v>
      </c>
      <c r="E10" t="str">
        <f>"买入"</f>
        <v>买入</v>
      </c>
      <c r="F10">
        <v>30000</v>
      </c>
      <c r="G10">
        <v>25.42</v>
      </c>
      <c r="H10">
        <v>762600</v>
      </c>
      <c r="I10">
        <v>-762828.78</v>
      </c>
      <c r="J10">
        <v>-4153904.01</v>
      </c>
      <c r="K10" t="str">
        <f>"9399"</f>
        <v>9399</v>
      </c>
      <c r="L10" t="str">
        <f>"0157127191"</f>
        <v>0157127191</v>
      </c>
      <c r="M10" t="str">
        <f>"274000"</f>
        <v>274000</v>
      </c>
      <c r="N10" t="str">
        <f>"9399"</f>
        <v>9399</v>
      </c>
      <c r="O10" t="str">
        <f>"16265040"</f>
        <v>16265040</v>
      </c>
      <c r="P10">
        <v>110000</v>
      </c>
      <c r="Q10">
        <v>228.78</v>
      </c>
      <c r="R10">
        <v>0</v>
      </c>
      <c r="S10">
        <v>0</v>
      </c>
      <c r="T10">
        <v>0</v>
      </c>
      <c r="U10">
        <v>0</v>
      </c>
      <c r="V10" t="str">
        <f>"证券买入"</f>
        <v>证券买入</v>
      </c>
    </row>
    <row r="11" spans="1:22" x14ac:dyDescent="0.15">
      <c r="A11" t="str">
        <f t="shared" si="0"/>
        <v>20160408</v>
      </c>
      <c r="B11" t="str">
        <f>"11:04:54"</f>
        <v>11:04:54</v>
      </c>
      <c r="C11" t="str">
        <f>"002038"</f>
        <v>002038</v>
      </c>
      <c r="D11" t="str">
        <f>"双鹭药业"</f>
        <v>双鹭药业</v>
      </c>
      <c r="E11" t="str">
        <f>"买入"</f>
        <v>买入</v>
      </c>
      <c r="F11">
        <v>1100</v>
      </c>
      <c r="G11">
        <v>25.41</v>
      </c>
      <c r="H11">
        <v>27951</v>
      </c>
      <c r="I11">
        <v>-27959.39</v>
      </c>
      <c r="J11">
        <v>-4181863.4</v>
      </c>
      <c r="K11" t="str">
        <f>"11593"</f>
        <v>11593</v>
      </c>
      <c r="L11" t="str">
        <f>"0157127191"</f>
        <v>0157127191</v>
      </c>
      <c r="M11" t="str">
        <f>"274000"</f>
        <v>274000</v>
      </c>
      <c r="N11" t="str">
        <f>"11593"</f>
        <v>11593</v>
      </c>
      <c r="O11" t="str">
        <f>"17952585"</f>
        <v>17952585</v>
      </c>
      <c r="P11">
        <v>111100</v>
      </c>
      <c r="Q11">
        <v>8.39</v>
      </c>
      <c r="R11">
        <v>0</v>
      </c>
      <c r="S11">
        <v>0</v>
      </c>
      <c r="T11">
        <v>0</v>
      </c>
      <c r="U11">
        <v>0</v>
      </c>
      <c r="V11" t="str">
        <f>"证券买入"</f>
        <v>证券买入</v>
      </c>
    </row>
    <row r="12" spans="1:22" x14ac:dyDescent="0.15">
      <c r="A12" t="str">
        <f t="shared" si="0"/>
        <v>20160408</v>
      </c>
      <c r="B12" t="str">
        <f>"14:01:54"</f>
        <v>14:01:54</v>
      </c>
      <c r="C12" t="str">
        <f>"002038"</f>
        <v>002038</v>
      </c>
      <c r="D12" t="str">
        <f>"双鹭药业"</f>
        <v>双鹭药业</v>
      </c>
      <c r="E12" t="str">
        <f>"买入"</f>
        <v>买入</v>
      </c>
      <c r="F12">
        <v>30000</v>
      </c>
      <c r="G12">
        <v>25.32</v>
      </c>
      <c r="H12">
        <v>759600</v>
      </c>
      <c r="I12">
        <v>-759827.88</v>
      </c>
      <c r="J12">
        <v>-4941691.28</v>
      </c>
      <c r="K12" t="str">
        <f>"11321"</f>
        <v>11321</v>
      </c>
      <c r="L12" t="str">
        <f>"0157127191"</f>
        <v>0157127191</v>
      </c>
      <c r="M12" t="str">
        <f>"274000"</f>
        <v>274000</v>
      </c>
      <c r="N12" t="str">
        <f>"11321"</f>
        <v>11321</v>
      </c>
      <c r="O12" t="str">
        <f>"26462580"</f>
        <v>26462580</v>
      </c>
      <c r="P12">
        <v>141100</v>
      </c>
      <c r="Q12">
        <v>227.88</v>
      </c>
      <c r="R12">
        <v>0</v>
      </c>
      <c r="S12">
        <v>0</v>
      </c>
      <c r="T12">
        <v>0</v>
      </c>
      <c r="U12">
        <v>0</v>
      </c>
      <c r="V12" t="str">
        <f>"证券买入"</f>
        <v>证券买入</v>
      </c>
    </row>
    <row r="13" spans="1:22" x14ac:dyDescent="0.15">
      <c r="A13" t="str">
        <f t="shared" si="0"/>
        <v>20160408</v>
      </c>
      <c r="B13" t="str">
        <f>"14:28:58"</f>
        <v>14:28:58</v>
      </c>
      <c r="C13" t="str">
        <f>"002038"</f>
        <v>002038</v>
      </c>
      <c r="D13" t="str">
        <f>"双鹭药业"</f>
        <v>双鹭药业</v>
      </c>
      <c r="E13" t="str">
        <f>"买入"</f>
        <v>买入</v>
      </c>
      <c r="F13">
        <v>20000</v>
      </c>
      <c r="G13">
        <v>25.2</v>
      </c>
      <c r="H13">
        <v>504000</v>
      </c>
      <c r="I13">
        <v>-504151.2</v>
      </c>
      <c r="J13">
        <v>-5445842.4800000004</v>
      </c>
      <c r="K13" t="str">
        <f>"18407"</f>
        <v>18407</v>
      </c>
      <c r="L13" t="str">
        <f>"0157127191"</f>
        <v>0157127191</v>
      </c>
      <c r="M13" t="str">
        <f>"274000"</f>
        <v>274000</v>
      </c>
      <c r="N13" t="str">
        <f>"18407"</f>
        <v>18407</v>
      </c>
      <c r="O13" t="str">
        <f>"29770829"</f>
        <v>29770829</v>
      </c>
      <c r="P13">
        <v>161100</v>
      </c>
      <c r="Q13">
        <v>151.19999999999999</v>
      </c>
      <c r="R13">
        <v>0</v>
      </c>
      <c r="S13">
        <v>0</v>
      </c>
      <c r="T13">
        <v>0</v>
      </c>
      <c r="U13">
        <v>0</v>
      </c>
      <c r="V13" t="str">
        <f>"证券买入"</f>
        <v>证券买入</v>
      </c>
    </row>
    <row r="14" spans="1:22" x14ac:dyDescent="0.15">
      <c r="A14" t="str">
        <f t="shared" si="0"/>
        <v>20160408</v>
      </c>
      <c r="B14" t="str">
        <f>"18:46:36"</f>
        <v>18:46:36</v>
      </c>
      <c r="C14" t="str">
        <f>"204001"</f>
        <v>204001</v>
      </c>
      <c r="D14" t="str">
        <f>"GC001"</f>
        <v>GC001</v>
      </c>
      <c r="E14" t="str">
        <f>"卖出"</f>
        <v>卖出</v>
      </c>
      <c r="F14">
        <v>-60000</v>
      </c>
      <c r="G14">
        <v>2.42</v>
      </c>
      <c r="H14">
        <v>6000000</v>
      </c>
      <c r="I14">
        <v>6000403.3300000001</v>
      </c>
      <c r="J14">
        <v>554560.85</v>
      </c>
      <c r="K14" t="str">
        <f>"20665"</f>
        <v>20665</v>
      </c>
      <c r="L14" t="str">
        <f>"A450074252"</f>
        <v>A450074252</v>
      </c>
      <c r="M14" t="str">
        <f>"21986"</f>
        <v>21986</v>
      </c>
      <c r="N14" t="str">
        <f>"20665"</f>
        <v>20665</v>
      </c>
      <c r="O14" t="str">
        <f>"11557030"</f>
        <v>11557030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tr">
        <f>"融券购回:403.33-888880"</f>
        <v>融券购回:403.33-888880</v>
      </c>
    </row>
    <row r="15" spans="1:22" x14ac:dyDescent="0.15">
      <c r="A15" t="str">
        <f t="shared" si="0"/>
        <v>20160408</v>
      </c>
      <c r="B15" t="str">
        <f>"21:17:04"</f>
        <v>21:17:04</v>
      </c>
      <c r="C15" t="str">
        <f>"300508"</f>
        <v>300508</v>
      </c>
      <c r="D15" t="str">
        <f>"维宏股份"</f>
        <v>维宏股份</v>
      </c>
      <c r="E15" t="str">
        <f>"买入"</f>
        <v>买入</v>
      </c>
      <c r="F15">
        <v>11</v>
      </c>
      <c r="G15">
        <v>0</v>
      </c>
      <c r="H15">
        <v>0</v>
      </c>
      <c r="I15">
        <v>0</v>
      </c>
      <c r="J15">
        <v>554560.85</v>
      </c>
      <c r="K15" t="str">
        <f>"0"</f>
        <v>0</v>
      </c>
      <c r="L15" t="str">
        <f>"0157127191"</f>
        <v>0157127191</v>
      </c>
      <c r="M15" t="str">
        <f>"274000"</f>
        <v>274000</v>
      </c>
      <c r="N15" t="str">
        <f>"20366"</f>
        <v>20366</v>
      </c>
      <c r="O15" t="str">
        <f>"0"</f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tr">
        <f>"起始配号:65478344"</f>
        <v>起始配号:65478344</v>
      </c>
    </row>
    <row r="16" spans="1:22" x14ac:dyDescent="0.15">
      <c r="A16" t="str">
        <f>"20160411"</f>
        <v>20160411</v>
      </c>
      <c r="B16" t="str">
        <f>"18:42:16"</f>
        <v>18:42:16</v>
      </c>
      <c r="C16" t="str">
        <f>"204001"</f>
        <v>204001</v>
      </c>
      <c r="D16" t="str">
        <f>"GC001"</f>
        <v>GC001</v>
      </c>
      <c r="E16" t="str">
        <f>"卖出"</f>
        <v>卖出</v>
      </c>
      <c r="F16">
        <v>-25000</v>
      </c>
      <c r="G16">
        <v>1.96</v>
      </c>
      <c r="H16">
        <v>2500000</v>
      </c>
      <c r="I16">
        <v>2500136.11</v>
      </c>
      <c r="J16">
        <v>3054696.96</v>
      </c>
      <c r="K16" t="str">
        <f>"20397"</f>
        <v>20397</v>
      </c>
      <c r="L16" t="str">
        <f>"A450074252"</f>
        <v>A450074252</v>
      </c>
      <c r="M16" t="str">
        <f>"21986"</f>
        <v>21986</v>
      </c>
      <c r="N16" t="str">
        <f>"20397"</f>
        <v>20397</v>
      </c>
      <c r="O16" t="str">
        <f>"10328493"</f>
        <v>10328493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tr">
        <f>"融券购回:136.11-888880"</f>
        <v>融券购回:136.11-888880</v>
      </c>
    </row>
    <row r="17" spans="1:22" x14ac:dyDescent="0.15">
      <c r="A17" t="str">
        <f>"20160413"</f>
        <v>20160413</v>
      </c>
      <c r="B17" t="str">
        <f>"09:42:13"</f>
        <v>09:42:13</v>
      </c>
      <c r="C17" t="str">
        <f>"002038"</f>
        <v>002038</v>
      </c>
      <c r="D17" t="str">
        <f>"双鹭药业"</f>
        <v>双鹭药业</v>
      </c>
      <c r="E17" t="str">
        <f t="shared" ref="E17:E27" si="1">"买入"</f>
        <v>买入</v>
      </c>
      <c r="F17">
        <v>7700</v>
      </c>
      <c r="G17">
        <v>25.85</v>
      </c>
      <c r="H17">
        <v>199045</v>
      </c>
      <c r="I17">
        <v>-199104.71</v>
      </c>
      <c r="J17">
        <v>2555592.25</v>
      </c>
      <c r="K17" t="str">
        <f>"2059"</f>
        <v>2059</v>
      </c>
      <c r="L17" t="str">
        <f t="shared" ref="L17:L48" si="2">"0157127191"</f>
        <v>0157127191</v>
      </c>
      <c r="M17" t="str">
        <f t="shared" ref="M17:M48" si="3">"274000"</f>
        <v>274000</v>
      </c>
      <c r="N17" t="str">
        <f>"2059"</f>
        <v>2059</v>
      </c>
      <c r="O17" t="str">
        <f>"2840857"</f>
        <v>2840857</v>
      </c>
      <c r="P17">
        <v>168800</v>
      </c>
      <c r="Q17">
        <v>59.71</v>
      </c>
      <c r="R17">
        <v>0</v>
      </c>
      <c r="S17">
        <v>0</v>
      </c>
      <c r="T17">
        <v>0</v>
      </c>
      <c r="U17">
        <v>0</v>
      </c>
      <c r="V17" t="str">
        <f t="shared" ref="V17:V26" si="4">"证券买入"</f>
        <v>证券买入</v>
      </c>
    </row>
    <row r="18" spans="1:22" x14ac:dyDescent="0.15">
      <c r="A18" t="str">
        <f>"20160413"</f>
        <v>20160413</v>
      </c>
      <c r="B18" t="str">
        <f>"09:42:42"</f>
        <v>09:42:42</v>
      </c>
      <c r="C18" t="str">
        <f>"002038"</f>
        <v>002038</v>
      </c>
      <c r="D18" t="str">
        <f>"双鹭药业"</f>
        <v>双鹭药业</v>
      </c>
      <c r="E18" t="str">
        <f t="shared" si="1"/>
        <v>买入</v>
      </c>
      <c r="F18">
        <v>10000</v>
      </c>
      <c r="G18">
        <v>25.81</v>
      </c>
      <c r="H18">
        <v>258100</v>
      </c>
      <c r="I18">
        <v>-258177.43</v>
      </c>
      <c r="J18">
        <v>2297414.8199999998</v>
      </c>
      <c r="K18" t="str">
        <f>"1216"</f>
        <v>1216</v>
      </c>
      <c r="L18" t="str">
        <f t="shared" si="2"/>
        <v>0157127191</v>
      </c>
      <c r="M18" t="str">
        <f t="shared" si="3"/>
        <v>274000</v>
      </c>
      <c r="N18" t="str">
        <f>"1216"</f>
        <v>1216</v>
      </c>
      <c r="O18" t="str">
        <f>"2930086"</f>
        <v>2930086</v>
      </c>
      <c r="P18">
        <v>178800</v>
      </c>
      <c r="Q18">
        <v>77.430000000000007</v>
      </c>
      <c r="R18">
        <v>0</v>
      </c>
      <c r="S18">
        <v>0</v>
      </c>
      <c r="T18">
        <v>0</v>
      </c>
      <c r="U18">
        <v>0</v>
      </c>
      <c r="V18" t="str">
        <f t="shared" si="4"/>
        <v>证券买入</v>
      </c>
    </row>
    <row r="19" spans="1:22" x14ac:dyDescent="0.15">
      <c r="A19" t="str">
        <f>"20160413"</f>
        <v>20160413</v>
      </c>
      <c r="B19" t="str">
        <f>"14:30:04"</f>
        <v>14:30:04</v>
      </c>
      <c r="C19" t="str">
        <f>"002038"</f>
        <v>002038</v>
      </c>
      <c r="D19" t="str">
        <f>"双鹭药业"</f>
        <v>双鹭药业</v>
      </c>
      <c r="E19" t="str">
        <f t="shared" si="1"/>
        <v>买入</v>
      </c>
      <c r="F19">
        <v>20000</v>
      </c>
      <c r="G19">
        <v>25.9</v>
      </c>
      <c r="H19">
        <v>518000</v>
      </c>
      <c r="I19">
        <v>-518155.4</v>
      </c>
      <c r="J19">
        <v>1779259.42</v>
      </c>
      <c r="K19" t="str">
        <f>"6796"</f>
        <v>6796</v>
      </c>
      <c r="L19" t="str">
        <f t="shared" si="2"/>
        <v>0157127191</v>
      </c>
      <c r="M19" t="str">
        <f t="shared" si="3"/>
        <v>274000</v>
      </c>
      <c r="N19" t="str">
        <f>"6796"</f>
        <v>6796</v>
      </c>
      <c r="O19" t="str">
        <f>"26674238"</f>
        <v>26674238</v>
      </c>
      <c r="P19">
        <v>198800</v>
      </c>
      <c r="Q19">
        <v>155.4</v>
      </c>
      <c r="R19">
        <v>0</v>
      </c>
      <c r="S19">
        <v>0</v>
      </c>
      <c r="T19">
        <v>0</v>
      </c>
      <c r="U19">
        <v>0</v>
      </c>
      <c r="V19" t="str">
        <f t="shared" si="4"/>
        <v>证券买入</v>
      </c>
    </row>
    <row r="20" spans="1:22" x14ac:dyDescent="0.15">
      <c r="A20" t="str">
        <f t="shared" ref="A20:A27" si="5">"20160414"</f>
        <v>20160414</v>
      </c>
      <c r="B20" t="str">
        <f>"14:46:13"</f>
        <v>14:46:13</v>
      </c>
      <c r="C20" t="str">
        <f t="shared" ref="C20:C26" si="6">"000889"</f>
        <v>000889</v>
      </c>
      <c r="D20" t="str">
        <f t="shared" ref="D20:D26" si="7">"茂业通信"</f>
        <v>茂业通信</v>
      </c>
      <c r="E20" t="str">
        <f t="shared" si="1"/>
        <v>买入</v>
      </c>
      <c r="F20">
        <v>30000</v>
      </c>
      <c r="G20">
        <v>10.98</v>
      </c>
      <c r="H20">
        <v>329400</v>
      </c>
      <c r="I20">
        <v>-329498.82</v>
      </c>
      <c r="J20">
        <v>1449760.6</v>
      </c>
      <c r="K20" t="str">
        <f>"21226"</f>
        <v>21226</v>
      </c>
      <c r="L20" t="str">
        <f t="shared" si="2"/>
        <v>0157127191</v>
      </c>
      <c r="M20" t="str">
        <f t="shared" si="3"/>
        <v>274000</v>
      </c>
      <c r="N20" t="str">
        <f>"21226"</f>
        <v>21226</v>
      </c>
      <c r="O20" t="str">
        <f>"32070112"</f>
        <v>32070112</v>
      </c>
      <c r="P20">
        <v>30000</v>
      </c>
      <c r="Q20">
        <v>98.82</v>
      </c>
      <c r="R20">
        <v>0</v>
      </c>
      <c r="S20">
        <v>0</v>
      </c>
      <c r="T20">
        <v>0</v>
      </c>
      <c r="U20">
        <v>0</v>
      </c>
      <c r="V20" t="str">
        <f t="shared" si="4"/>
        <v>证券买入</v>
      </c>
    </row>
    <row r="21" spans="1:22" x14ac:dyDescent="0.15">
      <c r="A21" t="str">
        <f t="shared" si="5"/>
        <v>20160414</v>
      </c>
      <c r="B21" t="str">
        <f>"14:46:29"</f>
        <v>14:46:29</v>
      </c>
      <c r="C21" t="str">
        <f t="shared" si="6"/>
        <v>000889</v>
      </c>
      <c r="D21" t="str">
        <f t="shared" si="7"/>
        <v>茂业通信</v>
      </c>
      <c r="E21" t="str">
        <f t="shared" si="1"/>
        <v>买入</v>
      </c>
      <c r="F21">
        <v>30000</v>
      </c>
      <c r="G21">
        <v>10.98</v>
      </c>
      <c r="H21">
        <v>329400</v>
      </c>
      <c r="I21">
        <v>-329498.82</v>
      </c>
      <c r="J21">
        <v>1120261.78</v>
      </c>
      <c r="K21" t="str">
        <f>"21263"</f>
        <v>21263</v>
      </c>
      <c r="L21" t="str">
        <f t="shared" si="2"/>
        <v>0157127191</v>
      </c>
      <c r="M21" t="str">
        <f t="shared" si="3"/>
        <v>274000</v>
      </c>
      <c r="N21" t="str">
        <f>"21263"</f>
        <v>21263</v>
      </c>
      <c r="O21" t="str">
        <f>"32125983"</f>
        <v>32125983</v>
      </c>
      <c r="P21">
        <v>60000</v>
      </c>
      <c r="Q21">
        <v>98.82</v>
      </c>
      <c r="R21">
        <v>0</v>
      </c>
      <c r="S21">
        <v>0</v>
      </c>
      <c r="T21">
        <v>0</v>
      </c>
      <c r="U21">
        <v>0</v>
      </c>
      <c r="V21" t="str">
        <f t="shared" si="4"/>
        <v>证券买入</v>
      </c>
    </row>
    <row r="22" spans="1:22" x14ac:dyDescent="0.15">
      <c r="A22" t="str">
        <f t="shared" si="5"/>
        <v>20160414</v>
      </c>
      <c r="B22" t="str">
        <f>"14:46:46"</f>
        <v>14:46:46</v>
      </c>
      <c r="C22" t="str">
        <f t="shared" si="6"/>
        <v>000889</v>
      </c>
      <c r="D22" t="str">
        <f t="shared" si="7"/>
        <v>茂业通信</v>
      </c>
      <c r="E22" t="str">
        <f t="shared" si="1"/>
        <v>买入</v>
      </c>
      <c r="F22">
        <v>20400</v>
      </c>
      <c r="G22">
        <v>10.97</v>
      </c>
      <c r="H22">
        <v>223788</v>
      </c>
      <c r="I22">
        <v>-223855.14</v>
      </c>
      <c r="J22">
        <v>896406.64</v>
      </c>
      <c r="K22" t="str">
        <f>"21282"</f>
        <v>21282</v>
      </c>
      <c r="L22" t="str">
        <f t="shared" si="2"/>
        <v>0157127191</v>
      </c>
      <c r="M22" t="str">
        <f t="shared" si="3"/>
        <v>274000</v>
      </c>
      <c r="N22" t="str">
        <f>"21282"</f>
        <v>21282</v>
      </c>
      <c r="O22" t="str">
        <f>"32185340"</f>
        <v>32185340</v>
      </c>
      <c r="P22">
        <v>80400</v>
      </c>
      <c r="Q22">
        <v>67.14</v>
      </c>
      <c r="R22">
        <v>0</v>
      </c>
      <c r="S22">
        <v>0</v>
      </c>
      <c r="T22">
        <v>0</v>
      </c>
      <c r="U22">
        <v>0</v>
      </c>
      <c r="V22" t="str">
        <f t="shared" si="4"/>
        <v>证券买入</v>
      </c>
    </row>
    <row r="23" spans="1:22" x14ac:dyDescent="0.15">
      <c r="A23" t="str">
        <f t="shared" si="5"/>
        <v>20160414</v>
      </c>
      <c r="B23" t="str">
        <f>"14:50:21"</f>
        <v>14:50:21</v>
      </c>
      <c r="C23" t="str">
        <f t="shared" si="6"/>
        <v>000889</v>
      </c>
      <c r="D23" t="str">
        <f t="shared" si="7"/>
        <v>茂业通信</v>
      </c>
      <c r="E23" t="str">
        <f t="shared" si="1"/>
        <v>买入</v>
      </c>
      <c r="F23">
        <v>11600</v>
      </c>
      <c r="G23">
        <v>10.97</v>
      </c>
      <c r="H23">
        <v>127252</v>
      </c>
      <c r="I23">
        <v>-127290.18</v>
      </c>
      <c r="J23">
        <v>769116.46</v>
      </c>
      <c r="K23" t="str">
        <f>"21365"</f>
        <v>21365</v>
      </c>
      <c r="L23" t="str">
        <f t="shared" si="2"/>
        <v>0157127191</v>
      </c>
      <c r="M23" t="str">
        <f t="shared" si="3"/>
        <v>274000</v>
      </c>
      <c r="N23" t="str">
        <f>"21365"</f>
        <v>21365</v>
      </c>
      <c r="O23" t="str">
        <f>"33394513"</f>
        <v>33394513</v>
      </c>
      <c r="P23">
        <v>92000</v>
      </c>
      <c r="Q23">
        <v>38.18</v>
      </c>
      <c r="R23">
        <v>0</v>
      </c>
      <c r="S23">
        <v>0</v>
      </c>
      <c r="T23">
        <v>0</v>
      </c>
      <c r="U23">
        <v>0</v>
      </c>
      <c r="V23" t="str">
        <f t="shared" si="4"/>
        <v>证券买入</v>
      </c>
    </row>
    <row r="24" spans="1:22" x14ac:dyDescent="0.15">
      <c r="A24" t="str">
        <f t="shared" si="5"/>
        <v>20160414</v>
      </c>
      <c r="B24" t="str">
        <f>"14:51:51"</f>
        <v>14:51:51</v>
      </c>
      <c r="C24" t="str">
        <f t="shared" si="6"/>
        <v>000889</v>
      </c>
      <c r="D24" t="str">
        <f t="shared" si="7"/>
        <v>茂业通信</v>
      </c>
      <c r="E24" t="str">
        <f t="shared" si="1"/>
        <v>买入</v>
      </c>
      <c r="F24">
        <v>20000</v>
      </c>
      <c r="G24">
        <v>10.98</v>
      </c>
      <c r="H24">
        <v>219600</v>
      </c>
      <c r="I24">
        <v>-219665.88</v>
      </c>
      <c r="J24">
        <v>549450.57999999996</v>
      </c>
      <c r="K24" t="str">
        <f>"21990"</f>
        <v>21990</v>
      </c>
      <c r="L24" t="str">
        <f t="shared" si="2"/>
        <v>0157127191</v>
      </c>
      <c r="M24" t="str">
        <f t="shared" si="3"/>
        <v>274000</v>
      </c>
      <c r="N24" t="str">
        <f>"21990"</f>
        <v>21990</v>
      </c>
      <c r="O24" t="str">
        <f>"33222901"</f>
        <v>33222901</v>
      </c>
      <c r="P24">
        <v>112000</v>
      </c>
      <c r="Q24">
        <v>65.88</v>
      </c>
      <c r="R24">
        <v>0</v>
      </c>
      <c r="S24">
        <v>0</v>
      </c>
      <c r="T24">
        <v>0</v>
      </c>
      <c r="U24">
        <v>0</v>
      </c>
      <c r="V24" t="str">
        <f t="shared" si="4"/>
        <v>证券买入</v>
      </c>
    </row>
    <row r="25" spans="1:22" x14ac:dyDescent="0.15">
      <c r="A25" t="str">
        <f t="shared" si="5"/>
        <v>20160414</v>
      </c>
      <c r="B25" t="str">
        <f>"14:52:41"</f>
        <v>14:52:41</v>
      </c>
      <c r="C25" t="str">
        <f t="shared" si="6"/>
        <v>000889</v>
      </c>
      <c r="D25" t="str">
        <f t="shared" si="7"/>
        <v>茂业通信</v>
      </c>
      <c r="E25" t="str">
        <f t="shared" si="1"/>
        <v>买入</v>
      </c>
      <c r="F25">
        <v>28000</v>
      </c>
      <c r="G25">
        <v>10.97</v>
      </c>
      <c r="H25">
        <v>307160</v>
      </c>
      <c r="I25">
        <v>-307252.15000000002</v>
      </c>
      <c r="J25">
        <v>242198.43</v>
      </c>
      <c r="K25" t="str">
        <f>"21431"</f>
        <v>21431</v>
      </c>
      <c r="L25" t="str">
        <f t="shared" si="2"/>
        <v>0157127191</v>
      </c>
      <c r="M25" t="str">
        <f t="shared" si="3"/>
        <v>274000</v>
      </c>
      <c r="N25" t="str">
        <f>"21431"</f>
        <v>21431</v>
      </c>
      <c r="O25" t="str">
        <f>"33442388"</f>
        <v>33442388</v>
      </c>
      <c r="P25">
        <v>140000</v>
      </c>
      <c r="Q25">
        <v>92.15</v>
      </c>
      <c r="R25">
        <v>0</v>
      </c>
      <c r="S25">
        <v>0</v>
      </c>
      <c r="T25">
        <v>0</v>
      </c>
      <c r="U25">
        <v>0</v>
      </c>
      <c r="V25" t="str">
        <f t="shared" si="4"/>
        <v>证券买入</v>
      </c>
    </row>
    <row r="26" spans="1:22" x14ac:dyDescent="0.15">
      <c r="A26" t="str">
        <f t="shared" si="5"/>
        <v>20160414</v>
      </c>
      <c r="B26" t="str">
        <f>"14:53:07"</f>
        <v>14:53:07</v>
      </c>
      <c r="C26" t="str">
        <f t="shared" si="6"/>
        <v>000889</v>
      </c>
      <c r="D26" t="str">
        <f t="shared" si="7"/>
        <v>茂业通信</v>
      </c>
      <c r="E26" t="str">
        <f t="shared" si="1"/>
        <v>买入</v>
      </c>
      <c r="F26">
        <v>22000</v>
      </c>
      <c r="G26">
        <v>10.97</v>
      </c>
      <c r="H26">
        <v>241340</v>
      </c>
      <c r="I26">
        <v>-241412.4</v>
      </c>
      <c r="J26">
        <v>786.03</v>
      </c>
      <c r="K26" t="str">
        <f>"21731"</f>
        <v>21731</v>
      </c>
      <c r="L26" t="str">
        <f t="shared" si="2"/>
        <v>0157127191</v>
      </c>
      <c r="M26" t="str">
        <f t="shared" si="3"/>
        <v>274000</v>
      </c>
      <c r="N26" t="str">
        <f>"21731"</f>
        <v>21731</v>
      </c>
      <c r="O26" t="str">
        <f>"33486776"</f>
        <v>33486776</v>
      </c>
      <c r="P26">
        <v>162000</v>
      </c>
      <c r="Q26">
        <v>72.400000000000006</v>
      </c>
      <c r="R26">
        <v>0</v>
      </c>
      <c r="S26">
        <v>0</v>
      </c>
      <c r="T26">
        <v>0</v>
      </c>
      <c r="U26">
        <v>0</v>
      </c>
      <c r="V26" t="str">
        <f t="shared" si="4"/>
        <v>证券买入</v>
      </c>
    </row>
    <row r="27" spans="1:22" x14ac:dyDescent="0.15">
      <c r="A27" t="str">
        <f t="shared" si="5"/>
        <v>20160414</v>
      </c>
      <c r="B27" t="str">
        <f>"22:41:02"</f>
        <v>22:41:02</v>
      </c>
      <c r="C27" t="str">
        <f>"300509"</f>
        <v>300509</v>
      </c>
      <c r="D27" t="str">
        <f>"新美星"</f>
        <v>新美星</v>
      </c>
      <c r="E27" t="str">
        <f t="shared" si="1"/>
        <v>买入</v>
      </c>
      <c r="F27">
        <v>40</v>
      </c>
      <c r="G27">
        <v>0</v>
      </c>
      <c r="H27">
        <v>0</v>
      </c>
      <c r="I27">
        <v>0</v>
      </c>
      <c r="J27">
        <v>786.03</v>
      </c>
      <c r="K27" t="str">
        <f>"0"</f>
        <v>0</v>
      </c>
      <c r="L27" t="str">
        <f t="shared" si="2"/>
        <v>0157127191</v>
      </c>
      <c r="M27" t="str">
        <f t="shared" si="3"/>
        <v>274000</v>
      </c>
      <c r="N27" t="str">
        <f>"8739"</f>
        <v>8739</v>
      </c>
      <c r="O27" t="str">
        <f>"0"</f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tr">
        <f>"起始配号:66976549"</f>
        <v>起始配号:66976549</v>
      </c>
    </row>
    <row r="28" spans="1:22" x14ac:dyDescent="0.15">
      <c r="A28" t="str">
        <f t="shared" ref="A28:A47" si="8">"20160415"</f>
        <v>20160415</v>
      </c>
      <c r="B28" t="str">
        <f>"09:57:44"</f>
        <v>09:57:44</v>
      </c>
      <c r="C28" t="str">
        <f>"000889"</f>
        <v>000889</v>
      </c>
      <c r="D28" t="str">
        <f>"茂业通信"</f>
        <v>茂业通信</v>
      </c>
      <c r="E28" t="str">
        <f>"卖出"</f>
        <v>卖出</v>
      </c>
      <c r="F28">
        <v>-5000</v>
      </c>
      <c r="G28">
        <v>11.1</v>
      </c>
      <c r="H28">
        <v>55500</v>
      </c>
      <c r="I28">
        <v>55427.85</v>
      </c>
      <c r="J28">
        <v>56213.88</v>
      </c>
      <c r="K28" t="str">
        <f>"5299"</f>
        <v>5299</v>
      </c>
      <c r="L28" t="str">
        <f t="shared" si="2"/>
        <v>0157127191</v>
      </c>
      <c r="M28" t="str">
        <f t="shared" si="3"/>
        <v>274000</v>
      </c>
      <c r="N28" t="str">
        <f>"5299"</f>
        <v>5299</v>
      </c>
      <c r="O28" t="str">
        <f>"5143966"</f>
        <v>5143966</v>
      </c>
      <c r="P28">
        <v>157000</v>
      </c>
      <c r="Q28">
        <v>16.649999999999999</v>
      </c>
      <c r="R28">
        <v>55.5</v>
      </c>
      <c r="S28">
        <v>0</v>
      </c>
      <c r="T28">
        <v>0</v>
      </c>
      <c r="U28">
        <v>0</v>
      </c>
      <c r="V28" t="str">
        <f>"证券卖出"</f>
        <v>证券卖出</v>
      </c>
    </row>
    <row r="29" spans="1:22" x14ac:dyDescent="0.15">
      <c r="A29" t="str">
        <f t="shared" si="8"/>
        <v>20160415</v>
      </c>
      <c r="B29" t="str">
        <f>"09:57:47"</f>
        <v>09:57:47</v>
      </c>
      <c r="C29" t="str">
        <f>"000889"</f>
        <v>000889</v>
      </c>
      <c r="D29" t="str">
        <f>"茂业通信"</f>
        <v>茂业通信</v>
      </c>
      <c r="E29" t="str">
        <f>"卖出"</f>
        <v>卖出</v>
      </c>
      <c r="F29">
        <v>-5000</v>
      </c>
      <c r="G29">
        <v>11.1</v>
      </c>
      <c r="H29">
        <v>55500</v>
      </c>
      <c r="I29">
        <v>55427.85</v>
      </c>
      <c r="J29">
        <v>111641.73</v>
      </c>
      <c r="K29" t="str">
        <f>"5303"</f>
        <v>5303</v>
      </c>
      <c r="L29" t="str">
        <f t="shared" si="2"/>
        <v>0157127191</v>
      </c>
      <c r="M29" t="str">
        <f t="shared" si="3"/>
        <v>274000</v>
      </c>
      <c r="N29" t="str">
        <f>"5303"</f>
        <v>5303</v>
      </c>
      <c r="O29" t="str">
        <f>"5154728"</f>
        <v>5154728</v>
      </c>
      <c r="P29">
        <v>152000</v>
      </c>
      <c r="Q29">
        <v>16.649999999999999</v>
      </c>
      <c r="R29">
        <v>55.5</v>
      </c>
      <c r="S29">
        <v>0</v>
      </c>
      <c r="T29">
        <v>0</v>
      </c>
      <c r="U29">
        <v>0</v>
      </c>
      <c r="V29" t="str">
        <f>"证券卖出"</f>
        <v>证券卖出</v>
      </c>
    </row>
    <row r="30" spans="1:22" x14ac:dyDescent="0.15">
      <c r="A30" t="str">
        <f t="shared" si="8"/>
        <v>20160415</v>
      </c>
      <c r="B30" t="str">
        <f>"09:58:33"</f>
        <v>09:58:33</v>
      </c>
      <c r="C30" t="str">
        <f>"000889"</f>
        <v>000889</v>
      </c>
      <c r="D30" t="str">
        <f>"茂业通信"</f>
        <v>茂业通信</v>
      </c>
      <c r="E30" t="str">
        <f>"卖出"</f>
        <v>卖出</v>
      </c>
      <c r="F30">
        <v>-135000</v>
      </c>
      <c r="G30">
        <v>11.058999999999999</v>
      </c>
      <c r="H30">
        <v>1492933.25</v>
      </c>
      <c r="I30">
        <v>1490992.44</v>
      </c>
      <c r="J30">
        <v>1602634.17</v>
      </c>
      <c r="K30" t="str">
        <f>"5418"</f>
        <v>5418</v>
      </c>
      <c r="L30" t="str">
        <f t="shared" si="2"/>
        <v>0157127191</v>
      </c>
      <c r="M30" t="str">
        <f t="shared" si="3"/>
        <v>274000</v>
      </c>
      <c r="N30" t="str">
        <f>"5418"</f>
        <v>5418</v>
      </c>
      <c r="O30" t="str">
        <f>"5306765"</f>
        <v>5306765</v>
      </c>
      <c r="P30">
        <v>17000</v>
      </c>
      <c r="Q30">
        <v>447.88</v>
      </c>
      <c r="R30">
        <v>1492.93</v>
      </c>
      <c r="S30">
        <v>0</v>
      </c>
      <c r="T30">
        <v>0</v>
      </c>
      <c r="U30">
        <v>0</v>
      </c>
      <c r="V30" t="str">
        <f>"证券卖出"</f>
        <v>证券卖出</v>
      </c>
    </row>
    <row r="31" spans="1:22" x14ac:dyDescent="0.15">
      <c r="A31" t="str">
        <f t="shared" si="8"/>
        <v>20160415</v>
      </c>
      <c r="B31" t="str">
        <f>"09:58:45"</f>
        <v>09:58:45</v>
      </c>
      <c r="C31" t="str">
        <f>"000889"</f>
        <v>000889</v>
      </c>
      <c r="D31" t="str">
        <f>"茂业通信"</f>
        <v>茂业通信</v>
      </c>
      <c r="E31" t="str">
        <f>"卖出"</f>
        <v>卖出</v>
      </c>
      <c r="F31">
        <v>-17000</v>
      </c>
      <c r="G31">
        <v>11.05</v>
      </c>
      <c r="H31">
        <v>187850</v>
      </c>
      <c r="I31">
        <v>187605.79</v>
      </c>
      <c r="J31">
        <v>1790239.96</v>
      </c>
      <c r="K31" t="str">
        <f>"5453"</f>
        <v>5453</v>
      </c>
      <c r="L31" t="str">
        <f t="shared" si="2"/>
        <v>0157127191</v>
      </c>
      <c r="M31" t="str">
        <f t="shared" si="3"/>
        <v>274000</v>
      </c>
      <c r="N31" t="str">
        <f>"5453"</f>
        <v>5453</v>
      </c>
      <c r="O31" t="str">
        <f>"5345065"</f>
        <v>5345065</v>
      </c>
      <c r="P31">
        <v>0</v>
      </c>
      <c r="Q31">
        <v>56.36</v>
      </c>
      <c r="R31">
        <v>187.85</v>
      </c>
      <c r="S31">
        <v>0</v>
      </c>
      <c r="T31">
        <v>0</v>
      </c>
      <c r="U31">
        <v>0</v>
      </c>
      <c r="V31" t="str">
        <f>"证券卖出"</f>
        <v>证券卖出</v>
      </c>
    </row>
    <row r="32" spans="1:22" x14ac:dyDescent="0.15">
      <c r="A32" t="str">
        <f t="shared" si="8"/>
        <v>20160415</v>
      </c>
      <c r="B32" t="str">
        <f>"14:11:34"</f>
        <v>14:11:34</v>
      </c>
      <c r="C32" t="str">
        <f t="shared" ref="C32:C47" si="9">"002240"</f>
        <v>002240</v>
      </c>
      <c r="D32" t="str">
        <f t="shared" ref="D32:D47" si="10">"威华股份"</f>
        <v>威华股份</v>
      </c>
      <c r="E32" t="str">
        <f t="shared" ref="E32:E47" si="11">"买入"</f>
        <v>买入</v>
      </c>
      <c r="F32">
        <v>5000</v>
      </c>
      <c r="G32">
        <v>11.377000000000001</v>
      </c>
      <c r="H32">
        <v>56886</v>
      </c>
      <c r="I32">
        <v>-56903.07</v>
      </c>
      <c r="J32">
        <v>1733336.89</v>
      </c>
      <c r="K32" t="str">
        <f>"17995"</f>
        <v>17995</v>
      </c>
      <c r="L32" t="str">
        <f t="shared" si="2"/>
        <v>0157127191</v>
      </c>
      <c r="M32" t="str">
        <f t="shared" si="3"/>
        <v>274000</v>
      </c>
      <c r="N32" t="str">
        <f>"17995"</f>
        <v>17995</v>
      </c>
      <c r="O32" t="str">
        <f>"19365797"</f>
        <v>19365797</v>
      </c>
      <c r="P32">
        <v>5000</v>
      </c>
      <c r="Q32">
        <v>17.07</v>
      </c>
      <c r="R32">
        <v>0</v>
      </c>
      <c r="S32">
        <v>0</v>
      </c>
      <c r="T32">
        <v>0</v>
      </c>
      <c r="U32">
        <v>0</v>
      </c>
      <c r="V32" t="str">
        <f t="shared" ref="V32:V47" si="12">"证券买入"</f>
        <v>证券买入</v>
      </c>
    </row>
    <row r="33" spans="1:22" x14ac:dyDescent="0.15">
      <c r="A33" t="str">
        <f t="shared" si="8"/>
        <v>20160415</v>
      </c>
      <c r="B33" t="str">
        <f>"14:11:40"</f>
        <v>14:11:40</v>
      </c>
      <c r="C33" t="str">
        <f t="shared" si="9"/>
        <v>002240</v>
      </c>
      <c r="D33" t="str">
        <f t="shared" si="10"/>
        <v>威华股份</v>
      </c>
      <c r="E33" t="str">
        <f t="shared" si="11"/>
        <v>买入</v>
      </c>
      <c r="F33">
        <v>30000</v>
      </c>
      <c r="G33">
        <v>11.35</v>
      </c>
      <c r="H33">
        <v>340500</v>
      </c>
      <c r="I33">
        <v>-340602.15</v>
      </c>
      <c r="J33">
        <v>1392734.74</v>
      </c>
      <c r="K33" t="str">
        <f>"17944"</f>
        <v>17944</v>
      </c>
      <c r="L33" t="str">
        <f t="shared" si="2"/>
        <v>0157127191</v>
      </c>
      <c r="M33" t="str">
        <f t="shared" si="3"/>
        <v>274000</v>
      </c>
      <c r="N33" t="str">
        <f>"17944"</f>
        <v>17944</v>
      </c>
      <c r="O33" t="str">
        <f>"19367717"</f>
        <v>19367717</v>
      </c>
      <c r="P33">
        <v>35000</v>
      </c>
      <c r="Q33">
        <v>102.15</v>
      </c>
      <c r="R33">
        <v>0</v>
      </c>
      <c r="S33">
        <v>0</v>
      </c>
      <c r="T33">
        <v>0</v>
      </c>
      <c r="U33">
        <v>0</v>
      </c>
      <c r="V33" t="str">
        <f t="shared" si="12"/>
        <v>证券买入</v>
      </c>
    </row>
    <row r="34" spans="1:22" x14ac:dyDescent="0.15">
      <c r="A34" t="str">
        <f t="shared" si="8"/>
        <v>20160415</v>
      </c>
      <c r="B34" t="str">
        <f>"14:11:41"</f>
        <v>14:11:41</v>
      </c>
      <c r="C34" t="str">
        <f t="shared" si="9"/>
        <v>002240</v>
      </c>
      <c r="D34" t="str">
        <f t="shared" si="10"/>
        <v>威华股份</v>
      </c>
      <c r="E34" t="str">
        <f t="shared" si="11"/>
        <v>买入</v>
      </c>
      <c r="F34">
        <v>5000</v>
      </c>
      <c r="G34">
        <v>11.375999999999999</v>
      </c>
      <c r="H34">
        <v>56882</v>
      </c>
      <c r="I34">
        <v>-56899.06</v>
      </c>
      <c r="J34">
        <v>1335835.68</v>
      </c>
      <c r="K34" t="str">
        <f>"18003"</f>
        <v>18003</v>
      </c>
      <c r="L34" t="str">
        <f t="shared" si="2"/>
        <v>0157127191</v>
      </c>
      <c r="M34" t="str">
        <f t="shared" si="3"/>
        <v>274000</v>
      </c>
      <c r="N34" t="str">
        <f>"18003"</f>
        <v>18003</v>
      </c>
      <c r="O34" t="str">
        <f>"19369577"</f>
        <v>19369577</v>
      </c>
      <c r="P34">
        <v>40000</v>
      </c>
      <c r="Q34">
        <v>17.059999999999999</v>
      </c>
      <c r="R34">
        <v>0</v>
      </c>
      <c r="S34">
        <v>0</v>
      </c>
      <c r="T34">
        <v>0</v>
      </c>
      <c r="U34">
        <v>0</v>
      </c>
      <c r="V34" t="str">
        <f t="shared" si="12"/>
        <v>证券买入</v>
      </c>
    </row>
    <row r="35" spans="1:22" x14ac:dyDescent="0.15">
      <c r="A35" t="str">
        <f t="shared" si="8"/>
        <v>20160415</v>
      </c>
      <c r="B35" t="str">
        <f>"14:12:40"</f>
        <v>14:12:40</v>
      </c>
      <c r="C35" t="str">
        <f t="shared" si="9"/>
        <v>002240</v>
      </c>
      <c r="D35" t="str">
        <f t="shared" si="10"/>
        <v>威华股份</v>
      </c>
      <c r="E35" t="str">
        <f t="shared" si="11"/>
        <v>买入</v>
      </c>
      <c r="F35">
        <v>5000</v>
      </c>
      <c r="G35">
        <v>11.35</v>
      </c>
      <c r="H35">
        <v>56750</v>
      </c>
      <c r="I35">
        <v>-56767.03</v>
      </c>
      <c r="J35">
        <v>1279068.6499999999</v>
      </c>
      <c r="K35" t="str">
        <f>"18077"</f>
        <v>18077</v>
      </c>
      <c r="L35" t="str">
        <f t="shared" si="2"/>
        <v>0157127191</v>
      </c>
      <c r="M35" t="str">
        <f t="shared" si="3"/>
        <v>274000</v>
      </c>
      <c r="N35" t="str">
        <f>"18077"</f>
        <v>18077</v>
      </c>
      <c r="O35" t="str">
        <f>"19471156"</f>
        <v>19471156</v>
      </c>
      <c r="P35">
        <v>45000</v>
      </c>
      <c r="Q35">
        <v>17.03</v>
      </c>
      <c r="R35">
        <v>0</v>
      </c>
      <c r="S35">
        <v>0</v>
      </c>
      <c r="T35">
        <v>0</v>
      </c>
      <c r="U35">
        <v>0</v>
      </c>
      <c r="V35" t="str">
        <f t="shared" si="12"/>
        <v>证券买入</v>
      </c>
    </row>
    <row r="36" spans="1:22" x14ac:dyDescent="0.15">
      <c r="A36" t="str">
        <f t="shared" si="8"/>
        <v>20160415</v>
      </c>
      <c r="B36" t="str">
        <f>"14:12:49"</f>
        <v>14:12:49</v>
      </c>
      <c r="C36" t="str">
        <f t="shared" si="9"/>
        <v>002240</v>
      </c>
      <c r="D36" t="str">
        <f t="shared" si="10"/>
        <v>威华股份</v>
      </c>
      <c r="E36" t="str">
        <f t="shared" si="11"/>
        <v>买入</v>
      </c>
      <c r="F36">
        <v>5000</v>
      </c>
      <c r="G36">
        <v>11.35</v>
      </c>
      <c r="H36">
        <v>56750</v>
      </c>
      <c r="I36">
        <v>-56767.03</v>
      </c>
      <c r="J36">
        <v>1222301.6200000001</v>
      </c>
      <c r="K36" t="str">
        <f>"18090"</f>
        <v>18090</v>
      </c>
      <c r="L36" t="str">
        <f t="shared" si="2"/>
        <v>0157127191</v>
      </c>
      <c r="M36" t="str">
        <f t="shared" si="3"/>
        <v>274000</v>
      </c>
      <c r="N36" t="str">
        <f>"18090"</f>
        <v>18090</v>
      </c>
      <c r="O36" t="str">
        <f>"19483027"</f>
        <v>19483027</v>
      </c>
      <c r="P36">
        <v>50000</v>
      </c>
      <c r="Q36">
        <v>17.03</v>
      </c>
      <c r="R36">
        <v>0</v>
      </c>
      <c r="S36">
        <v>0</v>
      </c>
      <c r="T36">
        <v>0</v>
      </c>
      <c r="U36">
        <v>0</v>
      </c>
      <c r="V36" t="str">
        <f t="shared" si="12"/>
        <v>证券买入</v>
      </c>
    </row>
    <row r="37" spans="1:22" x14ac:dyDescent="0.15">
      <c r="A37" t="str">
        <f t="shared" si="8"/>
        <v>20160415</v>
      </c>
      <c r="B37" t="str">
        <f>"14:13:18"</f>
        <v>14:13:18</v>
      </c>
      <c r="C37" t="str">
        <f t="shared" si="9"/>
        <v>002240</v>
      </c>
      <c r="D37" t="str">
        <f t="shared" si="10"/>
        <v>威华股份</v>
      </c>
      <c r="E37" t="str">
        <f t="shared" si="11"/>
        <v>买入</v>
      </c>
      <c r="F37">
        <v>5000</v>
      </c>
      <c r="G37">
        <v>11.34</v>
      </c>
      <c r="H37">
        <v>56700</v>
      </c>
      <c r="I37">
        <v>-56717.01</v>
      </c>
      <c r="J37">
        <v>1165584.6100000001</v>
      </c>
      <c r="K37" t="str">
        <f>"18121"</f>
        <v>18121</v>
      </c>
      <c r="L37" t="str">
        <f t="shared" si="2"/>
        <v>0157127191</v>
      </c>
      <c r="M37" t="str">
        <f t="shared" si="3"/>
        <v>274000</v>
      </c>
      <c r="N37" t="str">
        <f>"18121"</f>
        <v>18121</v>
      </c>
      <c r="O37" t="str">
        <f>"19565253"</f>
        <v>19565253</v>
      </c>
      <c r="P37">
        <v>55000</v>
      </c>
      <c r="Q37">
        <v>17.010000000000002</v>
      </c>
      <c r="R37">
        <v>0</v>
      </c>
      <c r="S37">
        <v>0</v>
      </c>
      <c r="T37">
        <v>0</v>
      </c>
      <c r="U37">
        <v>0</v>
      </c>
      <c r="V37" t="str">
        <f t="shared" si="12"/>
        <v>证券买入</v>
      </c>
    </row>
    <row r="38" spans="1:22" x14ac:dyDescent="0.15">
      <c r="A38" t="str">
        <f t="shared" si="8"/>
        <v>20160415</v>
      </c>
      <c r="B38" t="str">
        <f>"14:13:44"</f>
        <v>14:13:44</v>
      </c>
      <c r="C38" t="str">
        <f t="shared" si="9"/>
        <v>002240</v>
      </c>
      <c r="D38" t="str">
        <f t="shared" si="10"/>
        <v>威华股份</v>
      </c>
      <c r="E38" t="str">
        <f t="shared" si="11"/>
        <v>买入</v>
      </c>
      <c r="F38">
        <v>8000</v>
      </c>
      <c r="G38">
        <v>11.34</v>
      </c>
      <c r="H38">
        <v>90720</v>
      </c>
      <c r="I38">
        <v>-90747.22</v>
      </c>
      <c r="J38">
        <v>1074837.3899999999</v>
      </c>
      <c r="K38" t="str">
        <f>"18132"</f>
        <v>18132</v>
      </c>
      <c r="L38" t="str">
        <f t="shared" si="2"/>
        <v>0157127191</v>
      </c>
      <c r="M38" t="str">
        <f t="shared" si="3"/>
        <v>274000</v>
      </c>
      <c r="N38" t="str">
        <f>"18132"</f>
        <v>18132</v>
      </c>
      <c r="O38" t="str">
        <f>"19602456"</f>
        <v>19602456</v>
      </c>
      <c r="P38">
        <v>63000</v>
      </c>
      <c r="Q38">
        <v>27.22</v>
      </c>
      <c r="R38">
        <v>0</v>
      </c>
      <c r="S38">
        <v>0</v>
      </c>
      <c r="T38">
        <v>0</v>
      </c>
      <c r="U38">
        <v>0</v>
      </c>
      <c r="V38" t="str">
        <f t="shared" si="12"/>
        <v>证券买入</v>
      </c>
    </row>
    <row r="39" spans="1:22" x14ac:dyDescent="0.15">
      <c r="A39" t="str">
        <f t="shared" si="8"/>
        <v>20160415</v>
      </c>
      <c r="B39" t="str">
        <f>"14:14:44"</f>
        <v>14:14:44</v>
      </c>
      <c r="C39" t="str">
        <f t="shared" si="9"/>
        <v>002240</v>
      </c>
      <c r="D39" t="str">
        <f t="shared" si="10"/>
        <v>威华股份</v>
      </c>
      <c r="E39" t="str">
        <f t="shared" si="11"/>
        <v>买入</v>
      </c>
      <c r="F39">
        <v>3800</v>
      </c>
      <c r="G39">
        <v>11.34</v>
      </c>
      <c r="H39">
        <v>43092</v>
      </c>
      <c r="I39">
        <v>-43104.93</v>
      </c>
      <c r="J39">
        <v>1031732.46</v>
      </c>
      <c r="K39" t="str">
        <f>"18226"</f>
        <v>18226</v>
      </c>
      <c r="L39" t="str">
        <f t="shared" si="2"/>
        <v>0157127191</v>
      </c>
      <c r="M39" t="str">
        <f t="shared" si="3"/>
        <v>274000</v>
      </c>
      <c r="N39" t="str">
        <f>"18226"</f>
        <v>18226</v>
      </c>
      <c r="O39" t="str">
        <f>"19674413"</f>
        <v>19674413</v>
      </c>
      <c r="P39">
        <v>66800</v>
      </c>
      <c r="Q39">
        <v>12.93</v>
      </c>
      <c r="R39">
        <v>0</v>
      </c>
      <c r="S39">
        <v>0</v>
      </c>
      <c r="T39">
        <v>0</v>
      </c>
      <c r="U39">
        <v>0</v>
      </c>
      <c r="V39" t="str">
        <f t="shared" si="12"/>
        <v>证券买入</v>
      </c>
    </row>
    <row r="40" spans="1:22" x14ac:dyDescent="0.15">
      <c r="A40" t="str">
        <f t="shared" si="8"/>
        <v>20160415</v>
      </c>
      <c r="B40" t="str">
        <f>"14:15:34"</f>
        <v>14:15:34</v>
      </c>
      <c r="C40" t="str">
        <f t="shared" si="9"/>
        <v>002240</v>
      </c>
      <c r="D40" t="str">
        <f t="shared" si="10"/>
        <v>威华股份</v>
      </c>
      <c r="E40" t="str">
        <f t="shared" si="11"/>
        <v>买入</v>
      </c>
      <c r="F40">
        <v>9900</v>
      </c>
      <c r="G40">
        <v>11.34</v>
      </c>
      <c r="H40">
        <v>112266</v>
      </c>
      <c r="I40">
        <v>-112299.68</v>
      </c>
      <c r="J40">
        <v>919432.78</v>
      </c>
      <c r="K40" t="str">
        <f>"18295"</f>
        <v>18295</v>
      </c>
      <c r="L40" t="str">
        <f t="shared" si="2"/>
        <v>0157127191</v>
      </c>
      <c r="M40" t="str">
        <f t="shared" si="3"/>
        <v>274000</v>
      </c>
      <c r="N40" t="str">
        <f>"18295"</f>
        <v>18295</v>
      </c>
      <c r="O40" t="str">
        <f>"19746224"</f>
        <v>19746224</v>
      </c>
      <c r="P40">
        <v>76700</v>
      </c>
      <c r="Q40">
        <v>33.68</v>
      </c>
      <c r="R40">
        <v>0</v>
      </c>
      <c r="S40">
        <v>0</v>
      </c>
      <c r="T40">
        <v>0</v>
      </c>
      <c r="U40">
        <v>0</v>
      </c>
      <c r="V40" t="str">
        <f t="shared" si="12"/>
        <v>证券买入</v>
      </c>
    </row>
    <row r="41" spans="1:22" x14ac:dyDescent="0.15">
      <c r="A41" t="str">
        <f t="shared" si="8"/>
        <v>20160415</v>
      </c>
      <c r="B41" t="str">
        <f>"14:16:36"</f>
        <v>14:16:36</v>
      </c>
      <c r="C41" t="str">
        <f t="shared" si="9"/>
        <v>002240</v>
      </c>
      <c r="D41" t="str">
        <f t="shared" si="10"/>
        <v>威华股份</v>
      </c>
      <c r="E41" t="str">
        <f t="shared" si="11"/>
        <v>买入</v>
      </c>
      <c r="F41">
        <v>3800</v>
      </c>
      <c r="G41">
        <v>11.34</v>
      </c>
      <c r="H41">
        <v>43092</v>
      </c>
      <c r="I41">
        <v>-43104.93</v>
      </c>
      <c r="J41">
        <v>876327.85</v>
      </c>
      <c r="K41" t="str">
        <f>"18367"</f>
        <v>18367</v>
      </c>
      <c r="L41" t="str">
        <f t="shared" si="2"/>
        <v>0157127191</v>
      </c>
      <c r="M41" t="str">
        <f t="shared" si="3"/>
        <v>274000</v>
      </c>
      <c r="N41" t="str">
        <f>"18367"</f>
        <v>18367</v>
      </c>
      <c r="O41" t="str">
        <f>"19834313"</f>
        <v>19834313</v>
      </c>
      <c r="P41">
        <v>80500</v>
      </c>
      <c r="Q41">
        <v>12.93</v>
      </c>
      <c r="R41">
        <v>0</v>
      </c>
      <c r="S41">
        <v>0</v>
      </c>
      <c r="T41">
        <v>0</v>
      </c>
      <c r="U41">
        <v>0</v>
      </c>
      <c r="V41" t="str">
        <f t="shared" si="12"/>
        <v>证券买入</v>
      </c>
    </row>
    <row r="42" spans="1:22" x14ac:dyDescent="0.15">
      <c r="A42" t="str">
        <f t="shared" si="8"/>
        <v>20160415</v>
      </c>
      <c r="B42" t="str">
        <f>"14:16:45"</f>
        <v>14:16:45</v>
      </c>
      <c r="C42" t="str">
        <f t="shared" si="9"/>
        <v>002240</v>
      </c>
      <c r="D42" t="str">
        <f t="shared" si="10"/>
        <v>威华股份</v>
      </c>
      <c r="E42" t="str">
        <f t="shared" si="11"/>
        <v>买入</v>
      </c>
      <c r="F42">
        <v>7100</v>
      </c>
      <c r="G42">
        <v>11.34</v>
      </c>
      <c r="H42">
        <v>80514</v>
      </c>
      <c r="I42">
        <v>-80538.149999999994</v>
      </c>
      <c r="J42">
        <v>795789.7</v>
      </c>
      <c r="K42" t="str">
        <f>"18373"</f>
        <v>18373</v>
      </c>
      <c r="L42" t="str">
        <f t="shared" si="2"/>
        <v>0157127191</v>
      </c>
      <c r="M42" t="str">
        <f t="shared" si="3"/>
        <v>274000</v>
      </c>
      <c r="N42" t="str">
        <f>"18373"</f>
        <v>18373</v>
      </c>
      <c r="O42" t="str">
        <f>"20186896"</f>
        <v>20186896</v>
      </c>
      <c r="P42">
        <v>87600</v>
      </c>
      <c r="Q42">
        <v>24.15</v>
      </c>
      <c r="R42">
        <v>0</v>
      </c>
      <c r="S42">
        <v>0</v>
      </c>
      <c r="T42">
        <v>0</v>
      </c>
      <c r="U42">
        <v>0</v>
      </c>
      <c r="V42" t="str">
        <f t="shared" si="12"/>
        <v>证券买入</v>
      </c>
    </row>
    <row r="43" spans="1:22" x14ac:dyDescent="0.15">
      <c r="A43" t="str">
        <f t="shared" si="8"/>
        <v>20160415</v>
      </c>
      <c r="B43" t="str">
        <f>"14:21:08"</f>
        <v>14:21:08</v>
      </c>
      <c r="C43" t="str">
        <f t="shared" si="9"/>
        <v>002240</v>
      </c>
      <c r="D43" t="str">
        <f t="shared" si="10"/>
        <v>威华股份</v>
      </c>
      <c r="E43" t="str">
        <f t="shared" si="11"/>
        <v>买入</v>
      </c>
      <c r="F43">
        <v>10000</v>
      </c>
      <c r="G43">
        <v>11.34</v>
      </c>
      <c r="H43">
        <v>113400</v>
      </c>
      <c r="I43">
        <v>-113434.02</v>
      </c>
      <c r="J43">
        <v>682355.68</v>
      </c>
      <c r="K43" t="str">
        <f>"18448"</f>
        <v>18448</v>
      </c>
      <c r="L43" t="str">
        <f t="shared" si="2"/>
        <v>0157127191</v>
      </c>
      <c r="M43" t="str">
        <f t="shared" si="3"/>
        <v>274000</v>
      </c>
      <c r="N43" t="str">
        <f>"18448"</f>
        <v>18448</v>
      </c>
      <c r="O43" t="str">
        <f>"20186904"</f>
        <v>20186904</v>
      </c>
      <c r="P43">
        <v>97600</v>
      </c>
      <c r="Q43">
        <v>34.020000000000003</v>
      </c>
      <c r="R43">
        <v>0</v>
      </c>
      <c r="S43">
        <v>0</v>
      </c>
      <c r="T43">
        <v>0</v>
      </c>
      <c r="U43">
        <v>0</v>
      </c>
      <c r="V43" t="str">
        <f t="shared" si="12"/>
        <v>证券买入</v>
      </c>
    </row>
    <row r="44" spans="1:22" x14ac:dyDescent="0.15">
      <c r="A44" t="str">
        <f t="shared" si="8"/>
        <v>20160415</v>
      </c>
      <c r="B44" t="str">
        <f>"14:22:28"</f>
        <v>14:22:28</v>
      </c>
      <c r="C44" t="str">
        <f t="shared" si="9"/>
        <v>002240</v>
      </c>
      <c r="D44" t="str">
        <f t="shared" si="10"/>
        <v>威华股份</v>
      </c>
      <c r="E44" t="str">
        <f t="shared" si="11"/>
        <v>买入</v>
      </c>
      <c r="F44">
        <v>4000</v>
      </c>
      <c r="G44">
        <v>11.33</v>
      </c>
      <c r="H44">
        <v>45320</v>
      </c>
      <c r="I44">
        <v>-45333.599999999999</v>
      </c>
      <c r="J44">
        <v>637022.07999999996</v>
      </c>
      <c r="K44" t="str">
        <f>"18355"</f>
        <v>18355</v>
      </c>
      <c r="L44" t="str">
        <f t="shared" si="2"/>
        <v>0157127191</v>
      </c>
      <c r="M44" t="str">
        <f t="shared" si="3"/>
        <v>274000</v>
      </c>
      <c r="N44" t="str">
        <f>"18355"</f>
        <v>18355</v>
      </c>
      <c r="O44" t="str">
        <f>"20291849"</f>
        <v>20291849</v>
      </c>
      <c r="P44">
        <v>101600</v>
      </c>
      <c r="Q44">
        <v>13.6</v>
      </c>
      <c r="R44">
        <v>0</v>
      </c>
      <c r="S44">
        <v>0</v>
      </c>
      <c r="T44">
        <v>0</v>
      </c>
      <c r="U44">
        <v>0</v>
      </c>
      <c r="V44" t="str">
        <f t="shared" si="12"/>
        <v>证券买入</v>
      </c>
    </row>
    <row r="45" spans="1:22" x14ac:dyDescent="0.15">
      <c r="A45" t="str">
        <f t="shared" si="8"/>
        <v>20160415</v>
      </c>
      <c r="B45" t="str">
        <f>"14:22:33"</f>
        <v>14:22:33</v>
      </c>
      <c r="C45" t="str">
        <f t="shared" si="9"/>
        <v>002240</v>
      </c>
      <c r="D45" t="str">
        <f t="shared" si="10"/>
        <v>威华股份</v>
      </c>
      <c r="E45" t="str">
        <f t="shared" si="11"/>
        <v>买入</v>
      </c>
      <c r="F45">
        <v>31000</v>
      </c>
      <c r="G45">
        <v>11.32</v>
      </c>
      <c r="H45">
        <v>350920</v>
      </c>
      <c r="I45">
        <v>-351025.28</v>
      </c>
      <c r="J45">
        <v>285996.79999999999</v>
      </c>
      <c r="K45" t="str">
        <f>"17970"</f>
        <v>17970</v>
      </c>
      <c r="L45" t="str">
        <f t="shared" si="2"/>
        <v>0157127191</v>
      </c>
      <c r="M45" t="str">
        <f t="shared" si="3"/>
        <v>274000</v>
      </c>
      <c r="N45" t="str">
        <f>"17970"</f>
        <v>17970</v>
      </c>
      <c r="O45" t="str">
        <f>"20291865"</f>
        <v>20291865</v>
      </c>
      <c r="P45">
        <v>132600</v>
      </c>
      <c r="Q45">
        <v>105.28</v>
      </c>
      <c r="R45">
        <v>0</v>
      </c>
      <c r="S45">
        <v>0</v>
      </c>
      <c r="T45">
        <v>0</v>
      </c>
      <c r="U45">
        <v>0</v>
      </c>
      <c r="V45" t="str">
        <f t="shared" si="12"/>
        <v>证券买入</v>
      </c>
    </row>
    <row r="46" spans="1:22" x14ac:dyDescent="0.15">
      <c r="A46" t="str">
        <f t="shared" si="8"/>
        <v>20160415</v>
      </c>
      <c r="B46" t="str">
        <f>"14:22:33"</f>
        <v>14:22:33</v>
      </c>
      <c r="C46" t="str">
        <f t="shared" si="9"/>
        <v>002240</v>
      </c>
      <c r="D46" t="str">
        <f t="shared" si="10"/>
        <v>威华股份</v>
      </c>
      <c r="E46" t="str">
        <f t="shared" si="11"/>
        <v>买入</v>
      </c>
      <c r="F46">
        <v>10100</v>
      </c>
      <c r="G46">
        <v>11.31</v>
      </c>
      <c r="H46">
        <v>114231</v>
      </c>
      <c r="I46">
        <v>-114265.27</v>
      </c>
      <c r="J46">
        <v>171731.53</v>
      </c>
      <c r="K46" t="str">
        <f>"18239"</f>
        <v>18239</v>
      </c>
      <c r="L46" t="str">
        <f t="shared" si="2"/>
        <v>0157127191</v>
      </c>
      <c r="M46" t="str">
        <f t="shared" si="3"/>
        <v>274000</v>
      </c>
      <c r="N46" t="str">
        <f>"18239"</f>
        <v>18239</v>
      </c>
      <c r="O46" t="str">
        <f>"20291887"</f>
        <v>20291887</v>
      </c>
      <c r="P46">
        <v>142700</v>
      </c>
      <c r="Q46">
        <v>34.270000000000003</v>
      </c>
      <c r="R46">
        <v>0</v>
      </c>
      <c r="S46">
        <v>0</v>
      </c>
      <c r="T46">
        <v>0</v>
      </c>
      <c r="U46">
        <v>0</v>
      </c>
      <c r="V46" t="str">
        <f t="shared" si="12"/>
        <v>证券买入</v>
      </c>
    </row>
    <row r="47" spans="1:22" x14ac:dyDescent="0.15">
      <c r="A47" t="str">
        <f t="shared" si="8"/>
        <v>20160415</v>
      </c>
      <c r="B47" t="str">
        <f>"14:22:33"</f>
        <v>14:22:33</v>
      </c>
      <c r="C47" t="str">
        <f t="shared" si="9"/>
        <v>002240</v>
      </c>
      <c r="D47" t="str">
        <f t="shared" si="10"/>
        <v>威华股份</v>
      </c>
      <c r="E47" t="str">
        <f t="shared" si="11"/>
        <v>买入</v>
      </c>
      <c r="F47">
        <v>15100</v>
      </c>
      <c r="G47">
        <v>11.33</v>
      </c>
      <c r="H47">
        <v>171083</v>
      </c>
      <c r="I47">
        <v>-171134.32</v>
      </c>
      <c r="J47">
        <v>597.21</v>
      </c>
      <c r="K47" t="str">
        <f>"18388"</f>
        <v>18388</v>
      </c>
      <c r="L47" t="str">
        <f t="shared" si="2"/>
        <v>0157127191</v>
      </c>
      <c r="M47" t="str">
        <f t="shared" si="3"/>
        <v>274000</v>
      </c>
      <c r="N47" t="str">
        <f>"18388"</f>
        <v>18388</v>
      </c>
      <c r="O47" t="str">
        <f>"20291852"</f>
        <v>20291852</v>
      </c>
      <c r="P47">
        <v>157800</v>
      </c>
      <c r="Q47">
        <v>51.32</v>
      </c>
      <c r="R47">
        <v>0</v>
      </c>
      <c r="S47">
        <v>0</v>
      </c>
      <c r="T47">
        <v>0</v>
      </c>
      <c r="U47">
        <v>0</v>
      </c>
      <c r="V47" t="str">
        <f t="shared" si="12"/>
        <v>证券买入</v>
      </c>
    </row>
    <row r="48" spans="1:22" x14ac:dyDescent="0.15">
      <c r="A48" t="str">
        <f t="shared" ref="A48:A81" si="13">"20160418"</f>
        <v>20160418</v>
      </c>
      <c r="B48" t="str">
        <f>"09:30:22"</f>
        <v>09:30:22</v>
      </c>
      <c r="C48" t="str">
        <f t="shared" ref="C48:C70" si="14">"002038"</f>
        <v>002038</v>
      </c>
      <c r="D48" t="str">
        <f t="shared" ref="D48:D70" si="15">"双鹭药业"</f>
        <v>双鹭药业</v>
      </c>
      <c r="E48" t="str">
        <f t="shared" ref="E48:E60" si="16">"卖出"</f>
        <v>卖出</v>
      </c>
      <c r="F48">
        <v>-30000</v>
      </c>
      <c r="G48">
        <v>25.95</v>
      </c>
      <c r="H48">
        <v>778500</v>
      </c>
      <c r="I48">
        <v>777487.92</v>
      </c>
      <c r="J48">
        <v>778085.13</v>
      </c>
      <c r="K48" t="str">
        <f>"898"</f>
        <v>898</v>
      </c>
      <c r="L48" t="str">
        <f t="shared" si="2"/>
        <v>0157127191</v>
      </c>
      <c r="M48" t="str">
        <f t="shared" si="3"/>
        <v>274000</v>
      </c>
      <c r="N48" t="str">
        <f>"898"</f>
        <v>898</v>
      </c>
      <c r="O48" t="str">
        <f>"19210883"</f>
        <v>19210883</v>
      </c>
      <c r="P48">
        <v>168800</v>
      </c>
      <c r="Q48">
        <v>233.55</v>
      </c>
      <c r="R48">
        <v>778.53</v>
      </c>
      <c r="S48">
        <v>0</v>
      </c>
      <c r="T48">
        <v>0</v>
      </c>
      <c r="U48">
        <v>0</v>
      </c>
      <c r="V48" t="str">
        <f t="shared" ref="V48:V60" si="17">"证券卖出"</f>
        <v>证券卖出</v>
      </c>
    </row>
    <row r="49" spans="1:22" x14ac:dyDescent="0.15">
      <c r="A49" t="str">
        <f t="shared" si="13"/>
        <v>20160418</v>
      </c>
      <c r="B49" t="str">
        <f>"09:36:47"</f>
        <v>09:36:47</v>
      </c>
      <c r="C49" t="str">
        <f t="shared" si="14"/>
        <v>002038</v>
      </c>
      <c r="D49" t="str">
        <f t="shared" si="15"/>
        <v>双鹭药业</v>
      </c>
      <c r="E49" t="str">
        <f t="shared" si="16"/>
        <v>卖出</v>
      </c>
      <c r="F49">
        <v>-5000</v>
      </c>
      <c r="G49">
        <v>25.7</v>
      </c>
      <c r="H49">
        <v>128500</v>
      </c>
      <c r="I49">
        <v>128332.95</v>
      </c>
      <c r="J49">
        <v>906418.08</v>
      </c>
      <c r="K49" t="str">
        <f>"2116"</f>
        <v>2116</v>
      </c>
      <c r="L49" t="str">
        <f t="shared" ref="L49:L82" si="18">"0157127191"</f>
        <v>0157127191</v>
      </c>
      <c r="M49" t="str">
        <f t="shared" ref="M49:M82" si="19">"274000"</f>
        <v>274000</v>
      </c>
      <c r="N49" t="str">
        <f>"2116"</f>
        <v>2116</v>
      </c>
      <c r="O49" t="str">
        <f>"2097020"</f>
        <v>2097020</v>
      </c>
      <c r="P49">
        <v>163800</v>
      </c>
      <c r="Q49">
        <v>38.549999999999997</v>
      </c>
      <c r="R49">
        <v>128.5</v>
      </c>
      <c r="S49">
        <v>0</v>
      </c>
      <c r="T49">
        <v>0</v>
      </c>
      <c r="U49">
        <v>0</v>
      </c>
      <c r="V49" t="str">
        <f t="shared" si="17"/>
        <v>证券卖出</v>
      </c>
    </row>
    <row r="50" spans="1:22" x14ac:dyDescent="0.15">
      <c r="A50" t="str">
        <f t="shared" si="13"/>
        <v>20160418</v>
      </c>
      <c r="B50" t="str">
        <f>"09:37:04"</f>
        <v>09:37:04</v>
      </c>
      <c r="C50" t="str">
        <f t="shared" si="14"/>
        <v>002038</v>
      </c>
      <c r="D50" t="str">
        <f t="shared" si="15"/>
        <v>双鹭药业</v>
      </c>
      <c r="E50" t="str">
        <f t="shared" si="16"/>
        <v>卖出</v>
      </c>
      <c r="F50">
        <v>-5000</v>
      </c>
      <c r="G50">
        <v>25.75</v>
      </c>
      <c r="H50">
        <v>128750</v>
      </c>
      <c r="I50">
        <v>128582.62</v>
      </c>
      <c r="J50">
        <v>1035000.7</v>
      </c>
      <c r="K50" t="str">
        <f>"2185"</f>
        <v>2185</v>
      </c>
      <c r="L50" t="str">
        <f t="shared" si="18"/>
        <v>0157127191</v>
      </c>
      <c r="M50" t="str">
        <f t="shared" si="19"/>
        <v>274000</v>
      </c>
      <c r="N50" t="str">
        <f>"2185"</f>
        <v>2185</v>
      </c>
      <c r="O50" t="str">
        <f>"2178853"</f>
        <v>2178853</v>
      </c>
      <c r="P50">
        <v>158800</v>
      </c>
      <c r="Q50">
        <v>38.630000000000003</v>
      </c>
      <c r="R50">
        <v>128.75</v>
      </c>
      <c r="S50">
        <v>0</v>
      </c>
      <c r="T50">
        <v>0</v>
      </c>
      <c r="U50">
        <v>0</v>
      </c>
      <c r="V50" t="str">
        <f t="shared" si="17"/>
        <v>证券卖出</v>
      </c>
    </row>
    <row r="51" spans="1:22" x14ac:dyDescent="0.15">
      <c r="A51" t="str">
        <f t="shared" si="13"/>
        <v>20160418</v>
      </c>
      <c r="B51" t="str">
        <f>"09:37:34"</f>
        <v>09:37:34</v>
      </c>
      <c r="C51" t="str">
        <f t="shared" si="14"/>
        <v>002038</v>
      </c>
      <c r="D51" t="str">
        <f t="shared" si="15"/>
        <v>双鹭药业</v>
      </c>
      <c r="E51" t="str">
        <f t="shared" si="16"/>
        <v>卖出</v>
      </c>
      <c r="F51">
        <v>-15800</v>
      </c>
      <c r="G51">
        <v>25.83</v>
      </c>
      <c r="H51">
        <v>408114</v>
      </c>
      <c r="I51">
        <v>407583.46</v>
      </c>
      <c r="J51">
        <v>1442584.16</v>
      </c>
      <c r="K51" t="str">
        <f>"2276"</f>
        <v>2276</v>
      </c>
      <c r="L51" t="str">
        <f t="shared" si="18"/>
        <v>0157127191</v>
      </c>
      <c r="M51" t="str">
        <f t="shared" si="19"/>
        <v>274000</v>
      </c>
      <c r="N51" t="str">
        <f>"2276"</f>
        <v>2276</v>
      </c>
      <c r="O51" t="str">
        <f>"2310799"</f>
        <v>2310799</v>
      </c>
      <c r="P51">
        <v>143000</v>
      </c>
      <c r="Q51">
        <v>122.43</v>
      </c>
      <c r="R51">
        <v>408.11</v>
      </c>
      <c r="S51">
        <v>0</v>
      </c>
      <c r="T51">
        <v>0</v>
      </c>
      <c r="U51">
        <v>0</v>
      </c>
      <c r="V51" t="str">
        <f t="shared" si="17"/>
        <v>证券卖出</v>
      </c>
    </row>
    <row r="52" spans="1:22" x14ac:dyDescent="0.15">
      <c r="A52" t="str">
        <f t="shared" si="13"/>
        <v>20160418</v>
      </c>
      <c r="B52" t="str">
        <f>"09:44:15"</f>
        <v>09:44:15</v>
      </c>
      <c r="C52" t="str">
        <f t="shared" si="14"/>
        <v>002038</v>
      </c>
      <c r="D52" t="str">
        <f t="shared" si="15"/>
        <v>双鹭药业</v>
      </c>
      <c r="E52" t="str">
        <f t="shared" si="16"/>
        <v>卖出</v>
      </c>
      <c r="F52">
        <v>-3000</v>
      </c>
      <c r="G52">
        <v>25.67</v>
      </c>
      <c r="H52">
        <v>77010</v>
      </c>
      <c r="I52">
        <v>76909.89</v>
      </c>
      <c r="J52">
        <v>1519494.05</v>
      </c>
      <c r="K52" t="str">
        <f>"3429"</f>
        <v>3429</v>
      </c>
      <c r="L52" t="str">
        <f t="shared" si="18"/>
        <v>0157127191</v>
      </c>
      <c r="M52" t="str">
        <f t="shared" si="19"/>
        <v>274000</v>
      </c>
      <c r="N52" t="str">
        <f>"3429"</f>
        <v>3429</v>
      </c>
      <c r="O52" t="str">
        <f>"3680997"</f>
        <v>3680997</v>
      </c>
      <c r="P52">
        <v>140000</v>
      </c>
      <c r="Q52">
        <v>23.1</v>
      </c>
      <c r="R52">
        <v>77.010000000000005</v>
      </c>
      <c r="S52">
        <v>0</v>
      </c>
      <c r="T52">
        <v>0</v>
      </c>
      <c r="U52">
        <v>0</v>
      </c>
      <c r="V52" t="str">
        <f t="shared" si="17"/>
        <v>证券卖出</v>
      </c>
    </row>
    <row r="53" spans="1:22" x14ac:dyDescent="0.15">
      <c r="A53" t="str">
        <f t="shared" si="13"/>
        <v>20160418</v>
      </c>
      <c r="B53" t="str">
        <f>"09:44:22"</f>
        <v>09:44:22</v>
      </c>
      <c r="C53" t="str">
        <f t="shared" si="14"/>
        <v>002038</v>
      </c>
      <c r="D53" t="str">
        <f t="shared" si="15"/>
        <v>双鹭药业</v>
      </c>
      <c r="E53" t="str">
        <f t="shared" si="16"/>
        <v>卖出</v>
      </c>
      <c r="F53">
        <v>-6000</v>
      </c>
      <c r="G53">
        <v>25.661000000000001</v>
      </c>
      <c r="H53">
        <v>153965</v>
      </c>
      <c r="I53">
        <v>153764.84</v>
      </c>
      <c r="J53">
        <v>1673258.89</v>
      </c>
      <c r="K53" t="str">
        <f>"3444"</f>
        <v>3444</v>
      </c>
      <c r="L53" t="str">
        <f t="shared" si="18"/>
        <v>0157127191</v>
      </c>
      <c r="M53" t="str">
        <f t="shared" si="19"/>
        <v>274000</v>
      </c>
      <c r="N53" t="str">
        <f>"3444"</f>
        <v>3444</v>
      </c>
      <c r="O53" t="str">
        <f>"3702072"</f>
        <v>3702072</v>
      </c>
      <c r="P53">
        <v>134000</v>
      </c>
      <c r="Q53">
        <v>46.19</v>
      </c>
      <c r="R53">
        <v>153.97</v>
      </c>
      <c r="S53">
        <v>0</v>
      </c>
      <c r="T53">
        <v>0</v>
      </c>
      <c r="U53">
        <v>0</v>
      </c>
      <c r="V53" t="str">
        <f t="shared" si="17"/>
        <v>证券卖出</v>
      </c>
    </row>
    <row r="54" spans="1:22" x14ac:dyDescent="0.15">
      <c r="A54" t="str">
        <f t="shared" si="13"/>
        <v>20160418</v>
      </c>
      <c r="B54" t="str">
        <f>"09:44:33"</f>
        <v>09:44:33</v>
      </c>
      <c r="C54" t="str">
        <f t="shared" si="14"/>
        <v>002038</v>
      </c>
      <c r="D54" t="str">
        <f t="shared" si="15"/>
        <v>双鹭药业</v>
      </c>
      <c r="E54" t="str">
        <f t="shared" si="16"/>
        <v>卖出</v>
      </c>
      <c r="F54">
        <v>-6000</v>
      </c>
      <c r="G54">
        <v>25.652999999999999</v>
      </c>
      <c r="H54">
        <v>153920</v>
      </c>
      <c r="I54">
        <v>153719.9</v>
      </c>
      <c r="J54">
        <v>1826978.79</v>
      </c>
      <c r="K54" t="str">
        <f>"3482"</f>
        <v>3482</v>
      </c>
      <c r="L54" t="str">
        <f t="shared" si="18"/>
        <v>0157127191</v>
      </c>
      <c r="M54" t="str">
        <f t="shared" si="19"/>
        <v>274000</v>
      </c>
      <c r="N54" t="str">
        <f>"3482"</f>
        <v>3482</v>
      </c>
      <c r="O54" t="str">
        <f>"3738884"</f>
        <v>3738884</v>
      </c>
      <c r="P54">
        <v>128000</v>
      </c>
      <c r="Q54">
        <v>46.18</v>
      </c>
      <c r="R54">
        <v>153.91999999999999</v>
      </c>
      <c r="S54">
        <v>0</v>
      </c>
      <c r="T54">
        <v>0</v>
      </c>
      <c r="U54">
        <v>0</v>
      </c>
      <c r="V54" t="str">
        <f t="shared" si="17"/>
        <v>证券卖出</v>
      </c>
    </row>
    <row r="55" spans="1:22" x14ac:dyDescent="0.15">
      <c r="A55" t="str">
        <f t="shared" si="13"/>
        <v>20160418</v>
      </c>
      <c r="B55" t="str">
        <f>"09:44:38"</f>
        <v>09:44:38</v>
      </c>
      <c r="C55" t="str">
        <f t="shared" si="14"/>
        <v>002038</v>
      </c>
      <c r="D55" t="str">
        <f t="shared" si="15"/>
        <v>双鹭药业</v>
      </c>
      <c r="E55" t="str">
        <f t="shared" si="16"/>
        <v>卖出</v>
      </c>
      <c r="F55">
        <v>-6000</v>
      </c>
      <c r="G55">
        <v>25.65</v>
      </c>
      <c r="H55">
        <v>153900</v>
      </c>
      <c r="I55">
        <v>153699.9</v>
      </c>
      <c r="J55">
        <v>1980678.69</v>
      </c>
      <c r="K55" t="str">
        <f>"3496"</f>
        <v>3496</v>
      </c>
      <c r="L55" t="str">
        <f t="shared" si="18"/>
        <v>0157127191</v>
      </c>
      <c r="M55" t="str">
        <f t="shared" si="19"/>
        <v>274000</v>
      </c>
      <c r="N55" t="str">
        <f>"3496"</f>
        <v>3496</v>
      </c>
      <c r="O55" t="str">
        <f>"3754477"</f>
        <v>3754477</v>
      </c>
      <c r="P55">
        <v>122000</v>
      </c>
      <c r="Q55">
        <v>46.17</v>
      </c>
      <c r="R55">
        <v>153.93</v>
      </c>
      <c r="S55">
        <v>0</v>
      </c>
      <c r="T55">
        <v>0</v>
      </c>
      <c r="U55">
        <v>0</v>
      </c>
      <c r="V55" t="str">
        <f t="shared" si="17"/>
        <v>证券卖出</v>
      </c>
    </row>
    <row r="56" spans="1:22" x14ac:dyDescent="0.15">
      <c r="A56" t="str">
        <f t="shared" si="13"/>
        <v>20160418</v>
      </c>
      <c r="B56" t="str">
        <f>"09:44:50"</f>
        <v>09:44:50</v>
      </c>
      <c r="C56" t="str">
        <f t="shared" si="14"/>
        <v>002038</v>
      </c>
      <c r="D56" t="str">
        <f t="shared" si="15"/>
        <v>双鹭药业</v>
      </c>
      <c r="E56" t="str">
        <f t="shared" si="16"/>
        <v>卖出</v>
      </c>
      <c r="F56">
        <v>-5600</v>
      </c>
      <c r="G56">
        <v>25.609000000000002</v>
      </c>
      <c r="H56">
        <v>143408</v>
      </c>
      <c r="I56">
        <v>143221.56</v>
      </c>
      <c r="J56">
        <v>2123900.25</v>
      </c>
      <c r="K56" t="str">
        <f>"3536"</f>
        <v>3536</v>
      </c>
      <c r="L56" t="str">
        <f t="shared" si="18"/>
        <v>0157127191</v>
      </c>
      <c r="M56" t="str">
        <f t="shared" si="19"/>
        <v>274000</v>
      </c>
      <c r="N56" t="str">
        <f>"3536"</f>
        <v>3536</v>
      </c>
      <c r="O56" t="str">
        <f>"3793218"</f>
        <v>3793218</v>
      </c>
      <c r="P56">
        <v>116400</v>
      </c>
      <c r="Q56">
        <v>43.02</v>
      </c>
      <c r="R56">
        <v>143.41999999999999</v>
      </c>
      <c r="S56">
        <v>0</v>
      </c>
      <c r="T56">
        <v>0</v>
      </c>
      <c r="U56">
        <v>0</v>
      </c>
      <c r="V56" t="str">
        <f t="shared" si="17"/>
        <v>证券卖出</v>
      </c>
    </row>
    <row r="57" spans="1:22" x14ac:dyDescent="0.15">
      <c r="A57" t="str">
        <f t="shared" si="13"/>
        <v>20160418</v>
      </c>
      <c r="B57" t="str">
        <f>"09:45:01"</f>
        <v>09:45:01</v>
      </c>
      <c r="C57" t="str">
        <f t="shared" si="14"/>
        <v>002038</v>
      </c>
      <c r="D57" t="str">
        <f t="shared" si="15"/>
        <v>双鹭药业</v>
      </c>
      <c r="E57" t="str">
        <f t="shared" si="16"/>
        <v>卖出</v>
      </c>
      <c r="F57">
        <v>-6300</v>
      </c>
      <c r="G57">
        <v>25.6</v>
      </c>
      <c r="H57">
        <v>161280</v>
      </c>
      <c r="I57">
        <v>161070.34</v>
      </c>
      <c r="J57">
        <v>2284970.59</v>
      </c>
      <c r="K57" t="str">
        <f>"3566"</f>
        <v>3566</v>
      </c>
      <c r="L57" t="str">
        <f t="shared" si="18"/>
        <v>0157127191</v>
      </c>
      <c r="M57" t="str">
        <f t="shared" si="19"/>
        <v>274000</v>
      </c>
      <c r="N57" t="str">
        <f>"3566"</f>
        <v>3566</v>
      </c>
      <c r="O57" t="str">
        <f>"3826347"</f>
        <v>3826347</v>
      </c>
      <c r="P57">
        <v>110100</v>
      </c>
      <c r="Q57">
        <v>48.38</v>
      </c>
      <c r="R57">
        <v>161.28</v>
      </c>
      <c r="S57">
        <v>0</v>
      </c>
      <c r="T57">
        <v>0</v>
      </c>
      <c r="U57">
        <v>0</v>
      </c>
      <c r="V57" t="str">
        <f t="shared" si="17"/>
        <v>证券卖出</v>
      </c>
    </row>
    <row r="58" spans="1:22" x14ac:dyDescent="0.15">
      <c r="A58" t="str">
        <f t="shared" si="13"/>
        <v>20160418</v>
      </c>
      <c r="B58" t="str">
        <f>"09:46:32"</f>
        <v>09:46:32</v>
      </c>
      <c r="C58" t="str">
        <f t="shared" si="14"/>
        <v>002038</v>
      </c>
      <c r="D58" t="str">
        <f t="shared" si="15"/>
        <v>双鹭药业</v>
      </c>
      <c r="E58" t="str">
        <f t="shared" si="16"/>
        <v>卖出</v>
      </c>
      <c r="F58">
        <v>-16100</v>
      </c>
      <c r="G58">
        <v>25.7</v>
      </c>
      <c r="H58">
        <v>413770</v>
      </c>
      <c r="I58">
        <v>413232.1</v>
      </c>
      <c r="J58">
        <v>2698202.69</v>
      </c>
      <c r="K58" t="str">
        <f>"3630"</f>
        <v>3630</v>
      </c>
      <c r="L58" t="str">
        <f t="shared" si="18"/>
        <v>0157127191</v>
      </c>
      <c r="M58" t="str">
        <f t="shared" si="19"/>
        <v>274000</v>
      </c>
      <c r="N58" t="str">
        <f>"3630"</f>
        <v>3630</v>
      </c>
      <c r="O58" t="str">
        <f>"4624282"</f>
        <v>4624282</v>
      </c>
      <c r="P58">
        <v>94000</v>
      </c>
      <c r="Q58">
        <v>124.13</v>
      </c>
      <c r="R58">
        <v>413.77</v>
      </c>
      <c r="S58">
        <v>0</v>
      </c>
      <c r="T58">
        <v>0</v>
      </c>
      <c r="U58">
        <v>0</v>
      </c>
      <c r="V58" t="str">
        <f t="shared" si="17"/>
        <v>证券卖出</v>
      </c>
    </row>
    <row r="59" spans="1:22" x14ac:dyDescent="0.15">
      <c r="A59" t="str">
        <f t="shared" si="13"/>
        <v>20160418</v>
      </c>
      <c r="B59" t="str">
        <f>"09:59:01"</f>
        <v>09:59:01</v>
      </c>
      <c r="C59" t="str">
        <f t="shared" si="14"/>
        <v>002038</v>
      </c>
      <c r="D59" t="str">
        <f t="shared" si="15"/>
        <v>双鹭药业</v>
      </c>
      <c r="E59" t="str">
        <f t="shared" si="16"/>
        <v>卖出</v>
      </c>
      <c r="F59">
        <v>-11000</v>
      </c>
      <c r="G59">
        <v>25.742000000000001</v>
      </c>
      <c r="H59">
        <v>283163.36</v>
      </c>
      <c r="I59">
        <v>282795.24</v>
      </c>
      <c r="J59">
        <v>2980997.93</v>
      </c>
      <c r="K59" t="str">
        <f>"5555"</f>
        <v>5555</v>
      </c>
      <c r="L59" t="str">
        <f t="shared" si="18"/>
        <v>0157127191</v>
      </c>
      <c r="M59" t="str">
        <f t="shared" si="19"/>
        <v>274000</v>
      </c>
      <c r="N59" t="str">
        <f>"5555"</f>
        <v>5555</v>
      </c>
      <c r="O59" t="str">
        <f>"18256678"</f>
        <v>18256678</v>
      </c>
      <c r="P59">
        <v>83000</v>
      </c>
      <c r="Q59">
        <v>84.95</v>
      </c>
      <c r="R59">
        <v>283.17</v>
      </c>
      <c r="S59">
        <v>0</v>
      </c>
      <c r="T59">
        <v>0</v>
      </c>
      <c r="U59">
        <v>0</v>
      </c>
      <c r="V59" t="str">
        <f t="shared" si="17"/>
        <v>证券卖出</v>
      </c>
    </row>
    <row r="60" spans="1:22" x14ac:dyDescent="0.15">
      <c r="A60" t="str">
        <f t="shared" si="13"/>
        <v>20160418</v>
      </c>
      <c r="B60" t="str">
        <f>"10:08:03"</f>
        <v>10:08:03</v>
      </c>
      <c r="C60" t="str">
        <f t="shared" si="14"/>
        <v>002038</v>
      </c>
      <c r="D60" t="str">
        <f t="shared" si="15"/>
        <v>双鹭药业</v>
      </c>
      <c r="E60" t="str">
        <f t="shared" si="16"/>
        <v>卖出</v>
      </c>
      <c r="F60">
        <v>-11000</v>
      </c>
      <c r="G60">
        <v>25.71</v>
      </c>
      <c r="H60">
        <v>282810</v>
      </c>
      <c r="I60">
        <v>282442.34999999998</v>
      </c>
      <c r="J60">
        <v>3263440.28</v>
      </c>
      <c r="K60" t="str">
        <f>"6338"</f>
        <v>6338</v>
      </c>
      <c r="L60" t="str">
        <f t="shared" si="18"/>
        <v>0157127191</v>
      </c>
      <c r="M60" t="str">
        <f t="shared" si="19"/>
        <v>274000</v>
      </c>
      <c r="N60" t="str">
        <f>"6338"</f>
        <v>6338</v>
      </c>
      <c r="O60" t="str">
        <f>"7453954"</f>
        <v>7453954</v>
      </c>
      <c r="P60">
        <v>72000</v>
      </c>
      <c r="Q60">
        <v>84.84</v>
      </c>
      <c r="R60">
        <v>282.81</v>
      </c>
      <c r="S60">
        <v>0</v>
      </c>
      <c r="T60">
        <v>0</v>
      </c>
      <c r="U60">
        <v>0</v>
      </c>
      <c r="V60" t="str">
        <f t="shared" si="17"/>
        <v>证券卖出</v>
      </c>
    </row>
    <row r="61" spans="1:22" x14ac:dyDescent="0.15">
      <c r="A61" t="str">
        <f t="shared" si="13"/>
        <v>20160418</v>
      </c>
      <c r="B61" t="str">
        <f>"10:30:59"</f>
        <v>10:30:59</v>
      </c>
      <c r="C61" t="str">
        <f t="shared" si="14"/>
        <v>002038</v>
      </c>
      <c r="D61" t="str">
        <f t="shared" si="15"/>
        <v>双鹭药业</v>
      </c>
      <c r="E61" t="str">
        <f t="shared" ref="E61:E70" si="20">"买入"</f>
        <v>买入</v>
      </c>
      <c r="F61">
        <v>5000</v>
      </c>
      <c r="G61">
        <v>25.49</v>
      </c>
      <c r="H61">
        <v>127450</v>
      </c>
      <c r="I61">
        <v>-127488.24</v>
      </c>
      <c r="J61">
        <v>3135952.04</v>
      </c>
      <c r="K61" t="str">
        <f>"8941"</f>
        <v>8941</v>
      </c>
      <c r="L61" t="str">
        <f t="shared" si="18"/>
        <v>0157127191</v>
      </c>
      <c r="M61" t="str">
        <f t="shared" si="19"/>
        <v>274000</v>
      </c>
      <c r="N61" t="str">
        <f>"8941"</f>
        <v>8941</v>
      </c>
      <c r="O61" t="str">
        <f>"9546131"</f>
        <v>9546131</v>
      </c>
      <c r="P61">
        <v>77000</v>
      </c>
      <c r="Q61">
        <v>38.24</v>
      </c>
      <c r="R61">
        <v>0</v>
      </c>
      <c r="S61">
        <v>0</v>
      </c>
      <c r="T61">
        <v>0</v>
      </c>
      <c r="U61">
        <v>0</v>
      </c>
      <c r="V61" t="str">
        <f t="shared" ref="V61:V70" si="21">"证券买入"</f>
        <v>证券买入</v>
      </c>
    </row>
    <row r="62" spans="1:22" x14ac:dyDescent="0.15">
      <c r="A62" t="str">
        <f t="shared" si="13"/>
        <v>20160418</v>
      </c>
      <c r="B62" t="str">
        <f>"10:31:22"</f>
        <v>10:31:22</v>
      </c>
      <c r="C62" t="str">
        <f t="shared" si="14"/>
        <v>002038</v>
      </c>
      <c r="D62" t="str">
        <f t="shared" si="15"/>
        <v>双鹭药业</v>
      </c>
      <c r="E62" t="str">
        <f t="shared" si="20"/>
        <v>买入</v>
      </c>
      <c r="F62">
        <v>5000</v>
      </c>
      <c r="G62">
        <v>25.49</v>
      </c>
      <c r="H62">
        <v>127450</v>
      </c>
      <c r="I62">
        <v>-127488.24</v>
      </c>
      <c r="J62">
        <v>3008463.8</v>
      </c>
      <c r="K62" t="str">
        <f>"8951"</f>
        <v>8951</v>
      </c>
      <c r="L62" t="str">
        <f t="shared" si="18"/>
        <v>0157127191</v>
      </c>
      <c r="M62" t="str">
        <f t="shared" si="19"/>
        <v>274000</v>
      </c>
      <c r="N62" t="str">
        <f>"8951"</f>
        <v>8951</v>
      </c>
      <c r="O62" t="str">
        <f>"9597010"</f>
        <v>9597010</v>
      </c>
      <c r="P62">
        <v>82000</v>
      </c>
      <c r="Q62">
        <v>38.24</v>
      </c>
      <c r="R62">
        <v>0</v>
      </c>
      <c r="S62">
        <v>0</v>
      </c>
      <c r="T62">
        <v>0</v>
      </c>
      <c r="U62">
        <v>0</v>
      </c>
      <c r="V62" t="str">
        <f t="shared" si="21"/>
        <v>证券买入</v>
      </c>
    </row>
    <row r="63" spans="1:22" x14ac:dyDescent="0.15">
      <c r="A63" t="str">
        <f t="shared" si="13"/>
        <v>20160418</v>
      </c>
      <c r="B63" t="str">
        <f>"10:31:51"</f>
        <v>10:31:51</v>
      </c>
      <c r="C63" t="str">
        <f t="shared" si="14"/>
        <v>002038</v>
      </c>
      <c r="D63" t="str">
        <f t="shared" si="15"/>
        <v>双鹭药业</v>
      </c>
      <c r="E63" t="str">
        <f t="shared" si="20"/>
        <v>买入</v>
      </c>
      <c r="F63">
        <v>6000</v>
      </c>
      <c r="G63">
        <v>25.49</v>
      </c>
      <c r="H63">
        <v>152940</v>
      </c>
      <c r="I63">
        <v>-152985.88</v>
      </c>
      <c r="J63">
        <v>2855477.92</v>
      </c>
      <c r="K63" t="str">
        <f>"8999"</f>
        <v>8999</v>
      </c>
      <c r="L63" t="str">
        <f t="shared" si="18"/>
        <v>0157127191</v>
      </c>
      <c r="M63" t="str">
        <f t="shared" si="19"/>
        <v>274000</v>
      </c>
      <c r="N63" t="str">
        <f>"8999"</f>
        <v>8999</v>
      </c>
      <c r="O63" t="str">
        <f>"9642476"</f>
        <v>9642476</v>
      </c>
      <c r="P63">
        <v>88000</v>
      </c>
      <c r="Q63">
        <v>45.88</v>
      </c>
      <c r="R63">
        <v>0</v>
      </c>
      <c r="S63">
        <v>0</v>
      </c>
      <c r="T63">
        <v>0</v>
      </c>
      <c r="U63">
        <v>0</v>
      </c>
      <c r="V63" t="str">
        <f t="shared" si="21"/>
        <v>证券买入</v>
      </c>
    </row>
    <row r="64" spans="1:22" x14ac:dyDescent="0.15">
      <c r="A64" t="str">
        <f t="shared" si="13"/>
        <v>20160418</v>
      </c>
      <c r="B64" t="str">
        <f>"10:32:24"</f>
        <v>10:32:24</v>
      </c>
      <c r="C64" t="str">
        <f t="shared" si="14"/>
        <v>002038</v>
      </c>
      <c r="D64" t="str">
        <f t="shared" si="15"/>
        <v>双鹭药业</v>
      </c>
      <c r="E64" t="str">
        <f t="shared" si="20"/>
        <v>买入</v>
      </c>
      <c r="F64">
        <v>6600</v>
      </c>
      <c r="G64">
        <v>25.49</v>
      </c>
      <c r="H64">
        <v>168234</v>
      </c>
      <c r="I64">
        <v>-168284.47</v>
      </c>
      <c r="J64">
        <v>2687193.45</v>
      </c>
      <c r="K64" t="str">
        <f>"9033"</f>
        <v>9033</v>
      </c>
      <c r="L64" t="str">
        <f t="shared" si="18"/>
        <v>0157127191</v>
      </c>
      <c r="M64" t="str">
        <f t="shared" si="19"/>
        <v>274000</v>
      </c>
      <c r="N64" t="str">
        <f>"9033"</f>
        <v>9033</v>
      </c>
      <c r="O64" t="str">
        <f>"9864302"</f>
        <v>9864302</v>
      </c>
      <c r="P64">
        <v>94600</v>
      </c>
      <c r="Q64">
        <v>50.47</v>
      </c>
      <c r="R64">
        <v>0</v>
      </c>
      <c r="S64">
        <v>0</v>
      </c>
      <c r="T64">
        <v>0</v>
      </c>
      <c r="U64">
        <v>0</v>
      </c>
      <c r="V64" t="str">
        <f t="shared" si="21"/>
        <v>证券买入</v>
      </c>
    </row>
    <row r="65" spans="1:22" x14ac:dyDescent="0.15">
      <c r="A65" t="str">
        <f t="shared" si="13"/>
        <v>20160418</v>
      </c>
      <c r="B65" t="str">
        <f>"10:36:05"</f>
        <v>10:36:05</v>
      </c>
      <c r="C65" t="str">
        <f t="shared" si="14"/>
        <v>002038</v>
      </c>
      <c r="D65" t="str">
        <f t="shared" si="15"/>
        <v>双鹭药业</v>
      </c>
      <c r="E65" t="str">
        <f t="shared" si="20"/>
        <v>买入</v>
      </c>
      <c r="F65">
        <v>900</v>
      </c>
      <c r="G65">
        <v>25.48</v>
      </c>
      <c r="H65">
        <v>22932</v>
      </c>
      <c r="I65">
        <v>-22938.880000000001</v>
      </c>
      <c r="J65">
        <v>2664254.5699999998</v>
      </c>
      <c r="K65" t="str">
        <f>"9243"</f>
        <v>9243</v>
      </c>
      <c r="L65" t="str">
        <f t="shared" si="18"/>
        <v>0157127191</v>
      </c>
      <c r="M65" t="str">
        <f t="shared" si="19"/>
        <v>274000</v>
      </c>
      <c r="N65" t="str">
        <f>"9243"</f>
        <v>9243</v>
      </c>
      <c r="O65" t="str">
        <f>"9945179"</f>
        <v>9945179</v>
      </c>
      <c r="P65">
        <v>95500</v>
      </c>
      <c r="Q65">
        <v>6.88</v>
      </c>
      <c r="R65">
        <v>0</v>
      </c>
      <c r="S65">
        <v>0</v>
      </c>
      <c r="T65">
        <v>0</v>
      </c>
      <c r="U65">
        <v>0</v>
      </c>
      <c r="V65" t="str">
        <f t="shared" si="21"/>
        <v>证券买入</v>
      </c>
    </row>
    <row r="66" spans="1:22" x14ac:dyDescent="0.15">
      <c r="A66" t="str">
        <f t="shared" si="13"/>
        <v>20160418</v>
      </c>
      <c r="B66" t="str">
        <f>"10:36:05"</f>
        <v>10:36:05</v>
      </c>
      <c r="C66" t="str">
        <f t="shared" si="14"/>
        <v>002038</v>
      </c>
      <c r="D66" t="str">
        <f t="shared" si="15"/>
        <v>双鹭药业</v>
      </c>
      <c r="E66" t="str">
        <f t="shared" si="20"/>
        <v>买入</v>
      </c>
      <c r="F66">
        <v>15900</v>
      </c>
      <c r="G66">
        <v>25.48</v>
      </c>
      <c r="H66">
        <v>405132</v>
      </c>
      <c r="I66">
        <v>-405253.54</v>
      </c>
      <c r="J66">
        <v>2259001.0299999998</v>
      </c>
      <c r="K66" t="str">
        <f>"9251"</f>
        <v>9251</v>
      </c>
      <c r="L66" t="str">
        <f t="shared" si="18"/>
        <v>0157127191</v>
      </c>
      <c r="M66" t="str">
        <f t="shared" si="19"/>
        <v>274000</v>
      </c>
      <c r="N66" t="str">
        <f>"9251"</f>
        <v>9251</v>
      </c>
      <c r="O66" t="str">
        <f>"11550396"</f>
        <v>11550396</v>
      </c>
      <c r="P66">
        <v>111400</v>
      </c>
      <c r="Q66">
        <v>121.54</v>
      </c>
      <c r="R66">
        <v>0</v>
      </c>
      <c r="S66">
        <v>0</v>
      </c>
      <c r="T66">
        <v>0</v>
      </c>
      <c r="U66">
        <v>0</v>
      </c>
      <c r="V66" t="str">
        <f t="shared" si="21"/>
        <v>证券买入</v>
      </c>
    </row>
    <row r="67" spans="1:22" x14ac:dyDescent="0.15">
      <c r="A67" t="str">
        <f t="shared" si="13"/>
        <v>20160418</v>
      </c>
      <c r="B67" t="str">
        <f>"11:02:51"</f>
        <v>11:02:51</v>
      </c>
      <c r="C67" t="str">
        <f t="shared" si="14"/>
        <v>002038</v>
      </c>
      <c r="D67" t="str">
        <f t="shared" si="15"/>
        <v>双鹭药业</v>
      </c>
      <c r="E67" t="str">
        <f t="shared" si="20"/>
        <v>买入</v>
      </c>
      <c r="F67">
        <v>6500</v>
      </c>
      <c r="G67">
        <v>25.41</v>
      </c>
      <c r="H67">
        <v>165165</v>
      </c>
      <c r="I67">
        <v>-165214.54999999999</v>
      </c>
      <c r="J67">
        <v>2093786.48</v>
      </c>
      <c r="K67" t="str">
        <f>"10773"</f>
        <v>10773</v>
      </c>
      <c r="L67" t="str">
        <f t="shared" si="18"/>
        <v>0157127191</v>
      </c>
      <c r="M67" t="str">
        <f t="shared" si="19"/>
        <v>274000</v>
      </c>
      <c r="N67" t="str">
        <f>"10773"</f>
        <v>10773</v>
      </c>
      <c r="O67" t="str">
        <f>"11873427"</f>
        <v>11873427</v>
      </c>
      <c r="P67">
        <v>117900</v>
      </c>
      <c r="Q67">
        <v>49.55</v>
      </c>
      <c r="R67">
        <v>0</v>
      </c>
      <c r="S67">
        <v>0</v>
      </c>
      <c r="T67">
        <v>0</v>
      </c>
      <c r="U67">
        <v>0</v>
      </c>
      <c r="V67" t="str">
        <f t="shared" si="21"/>
        <v>证券买入</v>
      </c>
    </row>
    <row r="68" spans="1:22" x14ac:dyDescent="0.15">
      <c r="A68" t="str">
        <f t="shared" si="13"/>
        <v>20160418</v>
      </c>
      <c r="B68" t="str">
        <f>"11:03:09"</f>
        <v>11:03:09</v>
      </c>
      <c r="C68" t="str">
        <f t="shared" si="14"/>
        <v>002038</v>
      </c>
      <c r="D68" t="str">
        <f t="shared" si="15"/>
        <v>双鹭药业</v>
      </c>
      <c r="E68" t="str">
        <f t="shared" si="20"/>
        <v>买入</v>
      </c>
      <c r="F68">
        <v>7100</v>
      </c>
      <c r="G68">
        <v>25.41</v>
      </c>
      <c r="H68">
        <v>180411</v>
      </c>
      <c r="I68">
        <v>-180465.12</v>
      </c>
      <c r="J68">
        <v>1913321.36</v>
      </c>
      <c r="K68" t="str">
        <f>"10783"</f>
        <v>10783</v>
      </c>
      <c r="L68" t="str">
        <f t="shared" si="18"/>
        <v>0157127191</v>
      </c>
      <c r="M68" t="str">
        <f t="shared" si="19"/>
        <v>274000</v>
      </c>
      <c r="N68" t="str">
        <f>"10783"</f>
        <v>10783</v>
      </c>
      <c r="O68" t="str">
        <f>"11913895"</f>
        <v>11913895</v>
      </c>
      <c r="P68">
        <v>125000</v>
      </c>
      <c r="Q68">
        <v>54.12</v>
      </c>
      <c r="R68">
        <v>0</v>
      </c>
      <c r="S68">
        <v>0</v>
      </c>
      <c r="T68">
        <v>0</v>
      </c>
      <c r="U68">
        <v>0</v>
      </c>
      <c r="V68" t="str">
        <f t="shared" si="21"/>
        <v>证券买入</v>
      </c>
    </row>
    <row r="69" spans="1:22" x14ac:dyDescent="0.15">
      <c r="A69" t="str">
        <f t="shared" si="13"/>
        <v>20160418</v>
      </c>
      <c r="B69" t="str">
        <f>"11:03:33"</f>
        <v>11:03:33</v>
      </c>
      <c r="C69" t="str">
        <f t="shared" si="14"/>
        <v>002038</v>
      </c>
      <c r="D69" t="str">
        <f t="shared" si="15"/>
        <v>双鹭药业</v>
      </c>
      <c r="E69" t="str">
        <f t="shared" si="20"/>
        <v>买入</v>
      </c>
      <c r="F69">
        <v>6700</v>
      </c>
      <c r="G69">
        <v>25.41</v>
      </c>
      <c r="H69">
        <v>170247</v>
      </c>
      <c r="I69">
        <v>-170298.07</v>
      </c>
      <c r="J69">
        <v>1743023.29</v>
      </c>
      <c r="K69" t="str">
        <f>"10811"</f>
        <v>10811</v>
      </c>
      <c r="L69" t="str">
        <f t="shared" si="18"/>
        <v>0157127191</v>
      </c>
      <c r="M69" t="str">
        <f t="shared" si="19"/>
        <v>274000</v>
      </c>
      <c r="N69" t="str">
        <f>"10811"</f>
        <v>10811</v>
      </c>
      <c r="O69" t="str">
        <f>"11913897"</f>
        <v>11913897</v>
      </c>
      <c r="P69">
        <v>131700</v>
      </c>
      <c r="Q69">
        <v>51.07</v>
      </c>
      <c r="R69">
        <v>0</v>
      </c>
      <c r="S69">
        <v>0</v>
      </c>
      <c r="T69">
        <v>0</v>
      </c>
      <c r="U69">
        <v>0</v>
      </c>
      <c r="V69" t="str">
        <f t="shared" si="21"/>
        <v>证券买入</v>
      </c>
    </row>
    <row r="70" spans="1:22" x14ac:dyDescent="0.15">
      <c r="A70" t="str">
        <f t="shared" si="13"/>
        <v>20160418</v>
      </c>
      <c r="B70" t="str">
        <f>"11:05:25"</f>
        <v>11:05:25</v>
      </c>
      <c r="C70" t="str">
        <f t="shared" si="14"/>
        <v>002038</v>
      </c>
      <c r="D70" t="str">
        <f t="shared" si="15"/>
        <v>双鹭药业</v>
      </c>
      <c r="E70" t="str">
        <f t="shared" si="20"/>
        <v>买入</v>
      </c>
      <c r="F70">
        <v>5200</v>
      </c>
      <c r="G70">
        <v>25.41</v>
      </c>
      <c r="H70">
        <v>132132</v>
      </c>
      <c r="I70">
        <v>-132171.64000000001</v>
      </c>
      <c r="J70">
        <v>1610851.65</v>
      </c>
      <c r="K70" t="str">
        <f>"10862"</f>
        <v>10862</v>
      </c>
      <c r="L70" t="str">
        <f t="shared" si="18"/>
        <v>0157127191</v>
      </c>
      <c r="M70" t="str">
        <f t="shared" si="19"/>
        <v>274000</v>
      </c>
      <c r="N70" t="str">
        <f>"10862"</f>
        <v>10862</v>
      </c>
      <c r="O70" t="str">
        <f>"12299704"</f>
        <v>12299704</v>
      </c>
      <c r="P70">
        <v>136900</v>
      </c>
      <c r="Q70">
        <v>39.64</v>
      </c>
      <c r="R70">
        <v>0</v>
      </c>
      <c r="S70">
        <v>0</v>
      </c>
      <c r="T70">
        <v>0</v>
      </c>
      <c r="U70">
        <v>0</v>
      </c>
      <c r="V70" t="str">
        <f t="shared" si="21"/>
        <v>证券买入</v>
      </c>
    </row>
    <row r="71" spans="1:22" x14ac:dyDescent="0.15">
      <c r="A71" t="str">
        <f t="shared" si="13"/>
        <v>20160418</v>
      </c>
      <c r="B71" t="str">
        <f>"13:18:57"</f>
        <v>13:18:57</v>
      </c>
      <c r="C71" t="str">
        <f>"002240"</f>
        <v>002240</v>
      </c>
      <c r="D71" t="str">
        <f>"威华股份"</f>
        <v>威华股份</v>
      </c>
      <c r="E71" t="str">
        <f>"卖出"</f>
        <v>卖出</v>
      </c>
      <c r="F71">
        <v>-40000</v>
      </c>
      <c r="G71">
        <v>11.526999999999999</v>
      </c>
      <c r="H71">
        <v>461067</v>
      </c>
      <c r="I71">
        <v>460467.6</v>
      </c>
      <c r="J71">
        <v>2071319.25</v>
      </c>
      <c r="K71" t="str">
        <f>"13250"</f>
        <v>13250</v>
      </c>
      <c r="L71" t="str">
        <f t="shared" si="18"/>
        <v>0157127191</v>
      </c>
      <c r="M71" t="str">
        <f t="shared" si="19"/>
        <v>274000</v>
      </c>
      <c r="N71" t="str">
        <f>"13250"</f>
        <v>13250</v>
      </c>
      <c r="O71" t="str">
        <f>"14748980"</f>
        <v>14748980</v>
      </c>
      <c r="P71">
        <v>117800</v>
      </c>
      <c r="Q71">
        <v>138.32</v>
      </c>
      <c r="R71">
        <v>461.08</v>
      </c>
      <c r="S71">
        <v>0</v>
      </c>
      <c r="T71">
        <v>0</v>
      </c>
      <c r="U71">
        <v>0</v>
      </c>
      <c r="V71" t="str">
        <f>"证券卖出"</f>
        <v>证券卖出</v>
      </c>
    </row>
    <row r="72" spans="1:22" x14ac:dyDescent="0.15">
      <c r="A72" t="str">
        <f t="shared" si="13"/>
        <v>20160418</v>
      </c>
      <c r="B72" t="str">
        <f>"13:19:24"</f>
        <v>13:19:24</v>
      </c>
      <c r="C72" t="str">
        <f>"002240"</f>
        <v>002240</v>
      </c>
      <c r="D72" t="str">
        <f>"威华股份"</f>
        <v>威华股份</v>
      </c>
      <c r="E72" t="str">
        <f>"卖出"</f>
        <v>卖出</v>
      </c>
      <c r="F72">
        <v>-50000</v>
      </c>
      <c r="G72">
        <v>11.516999999999999</v>
      </c>
      <c r="H72">
        <v>575864</v>
      </c>
      <c r="I72">
        <v>575115.37</v>
      </c>
      <c r="J72">
        <v>2646434.62</v>
      </c>
      <c r="K72" t="str">
        <f>"13289"</f>
        <v>13289</v>
      </c>
      <c r="L72" t="str">
        <f t="shared" si="18"/>
        <v>0157127191</v>
      </c>
      <c r="M72" t="str">
        <f t="shared" si="19"/>
        <v>274000</v>
      </c>
      <c r="N72" t="str">
        <f>"13289"</f>
        <v>13289</v>
      </c>
      <c r="O72" t="str">
        <f>"14800905"</f>
        <v>14800905</v>
      </c>
      <c r="P72">
        <v>67800</v>
      </c>
      <c r="Q72">
        <v>172.76</v>
      </c>
      <c r="R72">
        <v>575.87</v>
      </c>
      <c r="S72">
        <v>0</v>
      </c>
      <c r="T72">
        <v>0</v>
      </c>
      <c r="U72">
        <v>0</v>
      </c>
      <c r="V72" t="str">
        <f>"证券卖出"</f>
        <v>证券卖出</v>
      </c>
    </row>
    <row r="73" spans="1:22" x14ac:dyDescent="0.15">
      <c r="A73" t="str">
        <f t="shared" si="13"/>
        <v>20160418</v>
      </c>
      <c r="B73" t="str">
        <f>"13:19:29"</f>
        <v>13:19:29</v>
      </c>
      <c r="C73" t="str">
        <f>"002240"</f>
        <v>002240</v>
      </c>
      <c r="D73" t="str">
        <f>"威华股份"</f>
        <v>威华股份</v>
      </c>
      <c r="E73" t="str">
        <f>"卖出"</f>
        <v>卖出</v>
      </c>
      <c r="F73">
        <v>-50000</v>
      </c>
      <c r="G73">
        <v>11.516999999999999</v>
      </c>
      <c r="H73">
        <v>575850</v>
      </c>
      <c r="I73">
        <v>575101.39</v>
      </c>
      <c r="J73">
        <v>3221536.01</v>
      </c>
      <c r="K73" t="str">
        <f>"13298"</f>
        <v>13298</v>
      </c>
      <c r="L73" t="str">
        <f t="shared" si="18"/>
        <v>0157127191</v>
      </c>
      <c r="M73" t="str">
        <f t="shared" si="19"/>
        <v>274000</v>
      </c>
      <c r="N73" t="str">
        <f>"13298"</f>
        <v>13298</v>
      </c>
      <c r="O73" t="str">
        <f>"14811118"</f>
        <v>14811118</v>
      </c>
      <c r="P73">
        <v>17800</v>
      </c>
      <c r="Q73">
        <v>172.76</v>
      </c>
      <c r="R73">
        <v>575.85</v>
      </c>
      <c r="S73">
        <v>0</v>
      </c>
      <c r="T73">
        <v>0</v>
      </c>
      <c r="U73">
        <v>0</v>
      </c>
      <c r="V73" t="str">
        <f>"证券卖出"</f>
        <v>证券卖出</v>
      </c>
    </row>
    <row r="74" spans="1:22" x14ac:dyDescent="0.15">
      <c r="A74" t="str">
        <f t="shared" si="13"/>
        <v>20160418</v>
      </c>
      <c r="B74" t="str">
        <f>"13:20:37"</f>
        <v>13:20:37</v>
      </c>
      <c r="C74" t="str">
        <f>"002038"</f>
        <v>002038</v>
      </c>
      <c r="D74" t="str">
        <f>"双鹭药业"</f>
        <v>双鹭药业</v>
      </c>
      <c r="E74" t="str">
        <f>"买入"</f>
        <v>买入</v>
      </c>
      <c r="F74">
        <v>3800</v>
      </c>
      <c r="G74">
        <v>25.41</v>
      </c>
      <c r="H74">
        <v>96558</v>
      </c>
      <c r="I74">
        <v>-96586.97</v>
      </c>
      <c r="J74">
        <v>3124949.04</v>
      </c>
      <c r="K74" t="str">
        <f>"11341"</f>
        <v>11341</v>
      </c>
      <c r="L74" t="str">
        <f t="shared" si="18"/>
        <v>0157127191</v>
      </c>
      <c r="M74" t="str">
        <f t="shared" si="19"/>
        <v>274000</v>
      </c>
      <c r="N74" t="str">
        <f>"11341"</f>
        <v>11341</v>
      </c>
      <c r="O74" t="str">
        <f>"15001876"</f>
        <v>15001876</v>
      </c>
      <c r="P74">
        <v>140700</v>
      </c>
      <c r="Q74">
        <v>28.97</v>
      </c>
      <c r="R74">
        <v>0</v>
      </c>
      <c r="S74">
        <v>0</v>
      </c>
      <c r="T74">
        <v>0</v>
      </c>
      <c r="U74">
        <v>0</v>
      </c>
      <c r="V74" t="str">
        <f>"证券买入"</f>
        <v>证券买入</v>
      </c>
    </row>
    <row r="75" spans="1:22" x14ac:dyDescent="0.15">
      <c r="A75" t="str">
        <f t="shared" si="13"/>
        <v>20160418</v>
      </c>
      <c r="B75" t="str">
        <f>"13:24:40"</f>
        <v>13:24:40</v>
      </c>
      <c r="C75" t="str">
        <f>"002038"</f>
        <v>002038</v>
      </c>
      <c r="D75" t="str">
        <f>"双鹭药业"</f>
        <v>双鹭药业</v>
      </c>
      <c r="E75" t="str">
        <f>"买入"</f>
        <v>买入</v>
      </c>
      <c r="F75">
        <v>5900</v>
      </c>
      <c r="G75">
        <v>25.4</v>
      </c>
      <c r="H75">
        <v>149860</v>
      </c>
      <c r="I75">
        <v>-149904.95999999999</v>
      </c>
      <c r="J75">
        <v>2975044.08</v>
      </c>
      <c r="K75" t="str">
        <f>"10843"</f>
        <v>10843</v>
      </c>
      <c r="L75" t="str">
        <f t="shared" si="18"/>
        <v>0157127191</v>
      </c>
      <c r="M75" t="str">
        <f t="shared" si="19"/>
        <v>274000</v>
      </c>
      <c r="N75" t="str">
        <f>"10843"</f>
        <v>10843</v>
      </c>
      <c r="O75" t="str">
        <f>"15511624"</f>
        <v>15511624</v>
      </c>
      <c r="P75">
        <v>146600</v>
      </c>
      <c r="Q75">
        <v>44.96</v>
      </c>
      <c r="R75">
        <v>0</v>
      </c>
      <c r="S75">
        <v>0</v>
      </c>
      <c r="T75">
        <v>0</v>
      </c>
      <c r="U75">
        <v>0</v>
      </c>
      <c r="V75" t="str">
        <f>"证券买入"</f>
        <v>证券买入</v>
      </c>
    </row>
    <row r="76" spans="1:22" x14ac:dyDescent="0.15">
      <c r="A76" t="str">
        <f t="shared" si="13"/>
        <v>20160418</v>
      </c>
      <c r="B76" t="str">
        <f>"13:24:40"</f>
        <v>13:24:40</v>
      </c>
      <c r="C76" t="str">
        <f>"002038"</f>
        <v>002038</v>
      </c>
      <c r="D76" t="str">
        <f>"双鹭药业"</f>
        <v>双鹭药业</v>
      </c>
      <c r="E76" t="str">
        <f>"买入"</f>
        <v>买入</v>
      </c>
      <c r="F76">
        <v>4900</v>
      </c>
      <c r="G76">
        <v>25.4</v>
      </c>
      <c r="H76">
        <v>124460</v>
      </c>
      <c r="I76">
        <v>-124497.34</v>
      </c>
      <c r="J76">
        <v>2850546.74</v>
      </c>
      <c r="K76" t="str">
        <f>"11132"</f>
        <v>11132</v>
      </c>
      <c r="L76" t="str">
        <f t="shared" si="18"/>
        <v>0157127191</v>
      </c>
      <c r="M76" t="str">
        <f t="shared" si="19"/>
        <v>274000</v>
      </c>
      <c r="N76" t="str">
        <f>"11132"</f>
        <v>11132</v>
      </c>
      <c r="O76" t="str">
        <f>"15511633"</f>
        <v>15511633</v>
      </c>
      <c r="P76">
        <v>151500</v>
      </c>
      <c r="Q76">
        <v>37.340000000000003</v>
      </c>
      <c r="R76">
        <v>0</v>
      </c>
      <c r="S76">
        <v>0</v>
      </c>
      <c r="T76">
        <v>0</v>
      </c>
      <c r="U76">
        <v>0</v>
      </c>
      <c r="V76" t="str">
        <f>"证券买入"</f>
        <v>证券买入</v>
      </c>
    </row>
    <row r="77" spans="1:22" x14ac:dyDescent="0.15">
      <c r="A77" t="str">
        <f t="shared" si="13"/>
        <v>20160418</v>
      </c>
      <c r="B77" t="str">
        <f>"13:24:40"</f>
        <v>13:24:40</v>
      </c>
      <c r="C77" t="str">
        <f>"002038"</f>
        <v>002038</v>
      </c>
      <c r="D77" t="str">
        <f>"双鹭药业"</f>
        <v>双鹭药业</v>
      </c>
      <c r="E77" t="str">
        <f>"买入"</f>
        <v>买入</v>
      </c>
      <c r="F77">
        <v>3000</v>
      </c>
      <c r="G77">
        <v>25.41</v>
      </c>
      <c r="H77">
        <v>76230</v>
      </c>
      <c r="I77">
        <v>-76252.87</v>
      </c>
      <c r="J77">
        <v>2774293.87</v>
      </c>
      <c r="K77" t="str">
        <f>"13531"</f>
        <v>13531</v>
      </c>
      <c r="L77" t="str">
        <f t="shared" si="18"/>
        <v>0157127191</v>
      </c>
      <c r="M77" t="str">
        <f t="shared" si="19"/>
        <v>274000</v>
      </c>
      <c r="N77" t="str">
        <f>"13531"</f>
        <v>13531</v>
      </c>
      <c r="O77" t="str">
        <f>"15511614"</f>
        <v>15511614</v>
      </c>
      <c r="P77">
        <v>154500</v>
      </c>
      <c r="Q77">
        <v>22.87</v>
      </c>
      <c r="R77">
        <v>0</v>
      </c>
      <c r="S77">
        <v>0</v>
      </c>
      <c r="T77">
        <v>0</v>
      </c>
      <c r="U77">
        <v>0</v>
      </c>
      <c r="V77" t="str">
        <f>"证券买入"</f>
        <v>证券买入</v>
      </c>
    </row>
    <row r="78" spans="1:22" x14ac:dyDescent="0.15">
      <c r="A78" t="str">
        <f t="shared" si="13"/>
        <v>20160418</v>
      </c>
      <c r="B78" t="str">
        <f>"13:24:40"</f>
        <v>13:24:40</v>
      </c>
      <c r="C78" t="str">
        <f>"002038"</f>
        <v>002038</v>
      </c>
      <c r="D78" t="str">
        <f>"双鹭药业"</f>
        <v>双鹭药业</v>
      </c>
      <c r="E78" t="str">
        <f>"买入"</f>
        <v>买入</v>
      </c>
      <c r="F78">
        <v>8500</v>
      </c>
      <c r="G78">
        <v>25.41</v>
      </c>
      <c r="H78">
        <v>215985</v>
      </c>
      <c r="I78">
        <v>-216049.8</v>
      </c>
      <c r="J78">
        <v>2558244.0699999998</v>
      </c>
      <c r="K78" t="str">
        <f>"13549"</f>
        <v>13549</v>
      </c>
      <c r="L78" t="str">
        <f t="shared" si="18"/>
        <v>0157127191</v>
      </c>
      <c r="M78" t="str">
        <f t="shared" si="19"/>
        <v>274000</v>
      </c>
      <c r="N78" t="str">
        <f>"13549"</f>
        <v>13549</v>
      </c>
      <c r="O78" t="str">
        <f>"15511617"</f>
        <v>15511617</v>
      </c>
      <c r="P78">
        <v>163000</v>
      </c>
      <c r="Q78">
        <v>64.8</v>
      </c>
      <c r="R78">
        <v>0</v>
      </c>
      <c r="S78">
        <v>0</v>
      </c>
      <c r="T78">
        <v>0</v>
      </c>
      <c r="U78">
        <v>0</v>
      </c>
      <c r="V78" t="str">
        <f>"证券买入"</f>
        <v>证券买入</v>
      </c>
    </row>
    <row r="79" spans="1:22" x14ac:dyDescent="0.15">
      <c r="A79" t="str">
        <f t="shared" si="13"/>
        <v>20160418</v>
      </c>
      <c r="B79" t="str">
        <f>"14:23:30"</f>
        <v>14:23:30</v>
      </c>
      <c r="C79" t="str">
        <f>"002240"</f>
        <v>002240</v>
      </c>
      <c r="D79" t="str">
        <f>"威华股份"</f>
        <v>威华股份</v>
      </c>
      <c r="E79" t="str">
        <f>"卖出"</f>
        <v>卖出</v>
      </c>
      <c r="F79">
        <v>-17800</v>
      </c>
      <c r="G79">
        <v>11.99</v>
      </c>
      <c r="H79">
        <v>213422</v>
      </c>
      <c r="I79">
        <v>213144.53</v>
      </c>
      <c r="J79">
        <v>2771388.6</v>
      </c>
      <c r="K79" t="str">
        <f>"15959"</f>
        <v>15959</v>
      </c>
      <c r="L79" t="str">
        <f t="shared" si="18"/>
        <v>0157127191</v>
      </c>
      <c r="M79" t="str">
        <f t="shared" si="19"/>
        <v>274000</v>
      </c>
      <c r="N79" t="str">
        <f>"15959"</f>
        <v>15959</v>
      </c>
      <c r="O79" t="str">
        <f>"19999328"</f>
        <v>19999328</v>
      </c>
      <c r="P79">
        <v>0</v>
      </c>
      <c r="Q79">
        <v>64.03</v>
      </c>
      <c r="R79">
        <v>213.44</v>
      </c>
      <c r="S79">
        <v>0</v>
      </c>
      <c r="T79">
        <v>0</v>
      </c>
      <c r="U79">
        <v>0</v>
      </c>
      <c r="V79" t="str">
        <f>"证券卖出"</f>
        <v>证券卖出</v>
      </c>
    </row>
    <row r="80" spans="1:22" x14ac:dyDescent="0.15">
      <c r="A80" t="str">
        <f t="shared" si="13"/>
        <v>20160418</v>
      </c>
      <c r="B80" t="str">
        <f>"15:00:19"</f>
        <v>15:00:19</v>
      </c>
      <c r="C80" t="str">
        <f>"002048"</f>
        <v>002048</v>
      </c>
      <c r="D80" t="str">
        <f>"宁波华翔"</f>
        <v>宁波华翔</v>
      </c>
      <c r="E80" t="str">
        <f>"买入"</f>
        <v>买入</v>
      </c>
      <c r="F80">
        <v>60000</v>
      </c>
      <c r="G80">
        <v>17.899999999999999</v>
      </c>
      <c r="H80">
        <v>1074000</v>
      </c>
      <c r="I80">
        <v>-1074322.2</v>
      </c>
      <c r="J80">
        <v>1697066.4</v>
      </c>
      <c r="K80" t="str">
        <f>"20045"</f>
        <v>20045</v>
      </c>
      <c r="L80" t="str">
        <f t="shared" si="18"/>
        <v>0157127191</v>
      </c>
      <c r="M80" t="str">
        <f t="shared" si="19"/>
        <v>274000</v>
      </c>
      <c r="N80" t="str">
        <f>"20045"</f>
        <v>20045</v>
      </c>
      <c r="O80" t="str">
        <f>"24474079"</f>
        <v>24474079</v>
      </c>
      <c r="P80">
        <v>60000</v>
      </c>
      <c r="Q80">
        <v>322.2</v>
      </c>
      <c r="R80">
        <v>0</v>
      </c>
      <c r="S80">
        <v>0</v>
      </c>
      <c r="T80">
        <v>0</v>
      </c>
      <c r="U80">
        <v>0</v>
      </c>
      <c r="V80" t="str">
        <f>"证券买入"</f>
        <v>证券买入</v>
      </c>
    </row>
    <row r="81" spans="1:22" x14ac:dyDescent="0.15">
      <c r="A81" t="str">
        <f t="shared" si="13"/>
        <v>20160418</v>
      </c>
      <c r="B81" t="str">
        <f>"15:00:19"</f>
        <v>15:00:19</v>
      </c>
      <c r="C81" t="str">
        <f>"002048"</f>
        <v>002048</v>
      </c>
      <c r="D81" t="str">
        <f>"宁波华翔"</f>
        <v>宁波华翔</v>
      </c>
      <c r="E81" t="str">
        <f>"买入"</f>
        <v>买入</v>
      </c>
      <c r="F81">
        <v>40000</v>
      </c>
      <c r="G81">
        <v>17.899999999999999</v>
      </c>
      <c r="H81">
        <v>716000</v>
      </c>
      <c r="I81">
        <v>-716214.8</v>
      </c>
      <c r="J81">
        <v>980851.6</v>
      </c>
      <c r="K81" t="str">
        <f>"20246"</f>
        <v>20246</v>
      </c>
      <c r="L81" t="str">
        <f t="shared" si="18"/>
        <v>0157127191</v>
      </c>
      <c r="M81" t="str">
        <f t="shared" si="19"/>
        <v>274000</v>
      </c>
      <c r="N81" t="str">
        <f>"20246"</f>
        <v>20246</v>
      </c>
      <c r="O81" t="str">
        <f>"24477610"</f>
        <v>24477610</v>
      </c>
      <c r="P81">
        <v>100000</v>
      </c>
      <c r="Q81">
        <v>214.8</v>
      </c>
      <c r="R81">
        <v>0</v>
      </c>
      <c r="S81">
        <v>0</v>
      </c>
      <c r="T81">
        <v>0</v>
      </c>
      <c r="U81">
        <v>0</v>
      </c>
      <c r="V81" t="str">
        <f>"证券买入"</f>
        <v>证券买入</v>
      </c>
    </row>
    <row r="82" spans="1:22" x14ac:dyDescent="0.15">
      <c r="A82" t="str">
        <f>"20160419"</f>
        <v>20160419</v>
      </c>
      <c r="B82" t="str">
        <f>"14:07:09"</f>
        <v>14:07:09</v>
      </c>
      <c r="C82" t="str">
        <f>"002038"</f>
        <v>002038</v>
      </c>
      <c r="D82" t="str">
        <f>"双鹭药业"</f>
        <v>双鹭药业</v>
      </c>
      <c r="E82" t="str">
        <f>"买入"</f>
        <v>买入</v>
      </c>
      <c r="F82">
        <v>37300</v>
      </c>
      <c r="G82">
        <v>26.22</v>
      </c>
      <c r="H82">
        <v>978006</v>
      </c>
      <c r="I82">
        <v>-978299.4</v>
      </c>
      <c r="J82">
        <v>2552.1999999999998</v>
      </c>
      <c r="K82" t="str">
        <f>"10553"</f>
        <v>10553</v>
      </c>
      <c r="L82" t="str">
        <f t="shared" si="18"/>
        <v>0157127191</v>
      </c>
      <c r="M82" t="str">
        <f t="shared" si="19"/>
        <v>274000</v>
      </c>
      <c r="N82" t="str">
        <f>"10553"</f>
        <v>10553</v>
      </c>
      <c r="O82" t="str">
        <f>"26993093"</f>
        <v>26993093</v>
      </c>
      <c r="P82">
        <v>200300</v>
      </c>
      <c r="Q82">
        <v>293.39999999999998</v>
      </c>
      <c r="R82">
        <v>0</v>
      </c>
      <c r="S82">
        <v>0</v>
      </c>
      <c r="T82">
        <v>0</v>
      </c>
      <c r="U82">
        <v>0</v>
      </c>
      <c r="V82" t="str">
        <f>"证券买入"</f>
        <v>证券买入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交割单--中银普通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2016-04-28T08:41:13Z</dcterms:created>
  <dcterms:modified xsi:type="dcterms:W3CDTF">2016-04-28T08:41:13Z</dcterms:modified>
</cp:coreProperties>
</file>