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76" i="1" l="1"/>
  <c r="Q76" i="1"/>
  <c r="D76" i="1"/>
  <c r="C76" i="1"/>
  <c r="B76" i="1"/>
  <c r="A76" i="1"/>
  <c r="R75" i="1"/>
  <c r="Q75" i="1"/>
  <c r="D75" i="1"/>
  <c r="C75" i="1"/>
  <c r="B75" i="1"/>
  <c r="A75" i="1"/>
  <c r="R74" i="1"/>
  <c r="Q74" i="1"/>
  <c r="D74" i="1"/>
  <c r="C74" i="1"/>
  <c r="B74" i="1"/>
  <c r="A74" i="1"/>
  <c r="R73" i="1"/>
  <c r="Q73" i="1"/>
  <c r="D73" i="1"/>
  <c r="C73" i="1"/>
  <c r="B73" i="1"/>
  <c r="A73" i="1"/>
  <c r="R72" i="1"/>
  <c r="Q72" i="1"/>
  <c r="D72" i="1"/>
  <c r="C72" i="1"/>
  <c r="B72" i="1"/>
  <c r="A72" i="1"/>
  <c r="R71" i="1"/>
  <c r="Q71" i="1"/>
  <c r="D71" i="1"/>
  <c r="C71" i="1"/>
  <c r="B71" i="1"/>
  <c r="A71" i="1"/>
  <c r="R70" i="1"/>
  <c r="Q70" i="1"/>
  <c r="D70" i="1"/>
  <c r="C70" i="1"/>
  <c r="B70" i="1"/>
  <c r="A70" i="1"/>
  <c r="R69" i="1"/>
  <c r="Q69" i="1"/>
  <c r="D69" i="1"/>
  <c r="C69" i="1"/>
  <c r="B69" i="1"/>
  <c r="A69" i="1"/>
  <c r="R68" i="1"/>
  <c r="Q68" i="1"/>
  <c r="D68" i="1"/>
  <c r="C68" i="1"/>
  <c r="B68" i="1"/>
  <c r="A68" i="1"/>
  <c r="R67" i="1"/>
  <c r="Q67" i="1"/>
  <c r="D67" i="1"/>
  <c r="C67" i="1"/>
  <c r="B67" i="1"/>
  <c r="A67" i="1"/>
  <c r="R66" i="1"/>
  <c r="Q66" i="1"/>
  <c r="D66" i="1"/>
  <c r="C66" i="1"/>
  <c r="B66" i="1"/>
  <c r="A66" i="1"/>
  <c r="D65" i="1"/>
  <c r="C65" i="1"/>
  <c r="B65" i="1"/>
  <c r="A65" i="1"/>
  <c r="D64" i="1"/>
  <c r="C64" i="1"/>
  <c r="B64" i="1"/>
  <c r="A64" i="1"/>
  <c r="D63" i="1"/>
  <c r="C63" i="1"/>
  <c r="B63" i="1"/>
  <c r="A63" i="1"/>
  <c r="D62" i="1"/>
  <c r="C62" i="1"/>
  <c r="B62" i="1"/>
  <c r="A62" i="1"/>
  <c r="D61" i="1"/>
  <c r="C61" i="1"/>
  <c r="B61" i="1"/>
  <c r="A61" i="1"/>
  <c r="D60" i="1"/>
  <c r="C60" i="1"/>
  <c r="B60" i="1"/>
  <c r="A60" i="1"/>
  <c r="D59" i="1"/>
  <c r="C59" i="1"/>
  <c r="B59" i="1"/>
  <c r="A59" i="1"/>
  <c r="D58" i="1"/>
  <c r="C58" i="1"/>
  <c r="B58" i="1"/>
  <c r="A58" i="1"/>
  <c r="D57" i="1"/>
  <c r="C57" i="1"/>
  <c r="B57" i="1"/>
  <c r="A57" i="1"/>
  <c r="D56" i="1"/>
  <c r="C56" i="1"/>
  <c r="B56" i="1"/>
  <c r="A56" i="1"/>
  <c r="D55" i="1"/>
  <c r="C55" i="1"/>
  <c r="B55" i="1"/>
  <c r="A55" i="1"/>
  <c r="D54" i="1"/>
  <c r="C54" i="1"/>
  <c r="B54" i="1"/>
  <c r="A54" i="1"/>
  <c r="R53" i="1"/>
  <c r="C53" i="1"/>
  <c r="B53" i="1"/>
  <c r="A53" i="1"/>
  <c r="R52" i="1"/>
  <c r="Q52" i="1"/>
  <c r="D52" i="1"/>
  <c r="C52" i="1"/>
  <c r="B52" i="1"/>
  <c r="A52" i="1"/>
  <c r="R51" i="1"/>
  <c r="Q51" i="1"/>
  <c r="D51" i="1"/>
  <c r="C51" i="1"/>
  <c r="B51" i="1"/>
  <c r="A51" i="1"/>
  <c r="R50" i="1"/>
  <c r="C50" i="1"/>
  <c r="B50" i="1"/>
  <c r="A50" i="1"/>
  <c r="R49" i="1"/>
  <c r="D49" i="1"/>
  <c r="C49" i="1"/>
  <c r="B49" i="1"/>
  <c r="A49" i="1"/>
  <c r="R48" i="1"/>
  <c r="D48" i="1"/>
  <c r="C48" i="1"/>
  <c r="B48" i="1"/>
  <c r="A48" i="1"/>
  <c r="R47" i="1"/>
  <c r="D47" i="1"/>
  <c r="C47" i="1"/>
  <c r="B47" i="1"/>
  <c r="A47" i="1"/>
  <c r="R46" i="1"/>
  <c r="D46" i="1"/>
  <c r="C46" i="1"/>
  <c r="B46" i="1"/>
  <c r="A46" i="1"/>
  <c r="R45" i="1"/>
  <c r="D45" i="1"/>
  <c r="C45" i="1"/>
  <c r="B45" i="1"/>
  <c r="A45" i="1"/>
  <c r="R44" i="1"/>
  <c r="D44" i="1"/>
  <c r="C44" i="1"/>
  <c r="B44" i="1"/>
  <c r="A44" i="1"/>
  <c r="R43" i="1"/>
  <c r="Q43" i="1"/>
  <c r="D43" i="1"/>
  <c r="C43" i="1"/>
  <c r="B43" i="1"/>
  <c r="A43" i="1"/>
  <c r="R42" i="1"/>
  <c r="Q42" i="1"/>
  <c r="D42" i="1"/>
  <c r="C42" i="1"/>
  <c r="B42" i="1"/>
  <c r="A42" i="1"/>
  <c r="R41" i="1"/>
  <c r="Q41" i="1"/>
  <c r="D41" i="1"/>
  <c r="C41" i="1"/>
  <c r="B41" i="1"/>
  <c r="A41" i="1"/>
  <c r="R40" i="1"/>
  <c r="Q40" i="1"/>
  <c r="D40" i="1"/>
  <c r="C40" i="1"/>
  <c r="B40" i="1"/>
  <c r="A40" i="1"/>
  <c r="R39" i="1"/>
  <c r="Q39" i="1"/>
  <c r="D39" i="1"/>
  <c r="C39" i="1"/>
  <c r="B39" i="1"/>
  <c r="A39" i="1"/>
  <c r="R38" i="1"/>
  <c r="Q38" i="1"/>
  <c r="D38" i="1"/>
  <c r="C38" i="1"/>
  <c r="B38" i="1"/>
  <c r="A38" i="1"/>
  <c r="R37" i="1"/>
  <c r="Q37" i="1"/>
  <c r="D37" i="1"/>
  <c r="C37" i="1"/>
  <c r="B37" i="1"/>
  <c r="A37" i="1"/>
  <c r="R36" i="1"/>
  <c r="Q36" i="1"/>
  <c r="D36" i="1"/>
  <c r="C36" i="1"/>
  <c r="B36" i="1"/>
  <c r="A36" i="1"/>
  <c r="R35" i="1"/>
  <c r="Q35" i="1"/>
  <c r="D35" i="1"/>
  <c r="C35" i="1"/>
  <c r="B35" i="1"/>
  <c r="A35" i="1"/>
  <c r="R34" i="1"/>
  <c r="Q34" i="1"/>
  <c r="D34" i="1"/>
  <c r="C34" i="1"/>
  <c r="B34" i="1"/>
  <c r="A34" i="1"/>
  <c r="R33" i="1"/>
  <c r="Q33" i="1"/>
  <c r="D33" i="1"/>
  <c r="C33" i="1"/>
  <c r="B33" i="1"/>
  <c r="A33" i="1"/>
  <c r="R32" i="1"/>
  <c r="Q32" i="1"/>
  <c r="D32" i="1"/>
  <c r="C32" i="1"/>
  <c r="B32" i="1"/>
  <c r="A32" i="1"/>
  <c r="R31" i="1"/>
  <c r="Q31" i="1"/>
  <c r="D31" i="1"/>
  <c r="C31" i="1"/>
  <c r="B31" i="1"/>
  <c r="A31" i="1"/>
  <c r="R30" i="1"/>
  <c r="Q30" i="1"/>
  <c r="D30" i="1"/>
  <c r="C30" i="1"/>
  <c r="B30" i="1"/>
  <c r="A30" i="1"/>
  <c r="R29" i="1"/>
  <c r="Q29" i="1"/>
  <c r="D29" i="1"/>
  <c r="C29" i="1"/>
  <c r="B29" i="1"/>
  <c r="A29" i="1"/>
  <c r="R28" i="1"/>
  <c r="Q28" i="1"/>
  <c r="D28" i="1"/>
  <c r="C28" i="1"/>
  <c r="B28" i="1"/>
  <c r="A28" i="1"/>
  <c r="R27" i="1"/>
  <c r="Q27" i="1"/>
  <c r="D27" i="1"/>
  <c r="C27" i="1"/>
  <c r="B27" i="1"/>
  <c r="A27" i="1"/>
  <c r="R26" i="1"/>
  <c r="Q26" i="1"/>
  <c r="D26" i="1"/>
  <c r="C26" i="1"/>
  <c r="B26" i="1"/>
  <c r="A26" i="1"/>
  <c r="R25" i="1"/>
  <c r="Q25" i="1"/>
  <c r="D25" i="1"/>
  <c r="C25" i="1"/>
  <c r="B25" i="1"/>
  <c r="A25" i="1"/>
  <c r="R24" i="1"/>
  <c r="Q24" i="1"/>
  <c r="D24" i="1"/>
  <c r="C24" i="1"/>
  <c r="B24" i="1"/>
  <c r="A24" i="1"/>
  <c r="R23" i="1"/>
  <c r="Q23" i="1"/>
  <c r="D23" i="1"/>
  <c r="C23" i="1"/>
  <c r="B23" i="1"/>
  <c r="A23" i="1"/>
  <c r="R22" i="1"/>
  <c r="Q22" i="1"/>
  <c r="D22" i="1"/>
  <c r="C22" i="1"/>
  <c r="B22" i="1"/>
  <c r="A22" i="1"/>
  <c r="R21" i="1"/>
  <c r="Q21" i="1"/>
  <c r="D21" i="1"/>
  <c r="C21" i="1"/>
  <c r="B21" i="1"/>
  <c r="A21" i="1"/>
  <c r="R20" i="1"/>
  <c r="Q20" i="1"/>
  <c r="D20" i="1"/>
  <c r="C20" i="1"/>
  <c r="B20" i="1"/>
  <c r="A20" i="1"/>
  <c r="R19" i="1"/>
  <c r="Q19" i="1"/>
  <c r="D19" i="1"/>
  <c r="C19" i="1"/>
  <c r="B19" i="1"/>
  <c r="A19" i="1"/>
  <c r="R18" i="1"/>
  <c r="Q18" i="1"/>
  <c r="D18" i="1"/>
  <c r="C18" i="1"/>
  <c r="B18" i="1"/>
  <c r="A18" i="1"/>
  <c r="R17" i="1"/>
  <c r="Q17" i="1"/>
  <c r="D17" i="1"/>
  <c r="C17" i="1"/>
  <c r="B17" i="1"/>
  <c r="A17" i="1"/>
  <c r="R16" i="1"/>
  <c r="Q16" i="1"/>
  <c r="D16" i="1"/>
  <c r="C16" i="1"/>
  <c r="B16" i="1"/>
  <c r="A16" i="1"/>
  <c r="R15" i="1"/>
  <c r="Q15" i="1"/>
  <c r="D15" i="1"/>
  <c r="C15" i="1"/>
  <c r="B15" i="1"/>
  <c r="A15" i="1"/>
  <c r="R14" i="1"/>
  <c r="Q14" i="1"/>
  <c r="D14" i="1"/>
  <c r="C14" i="1"/>
  <c r="B14" i="1"/>
  <c r="A14" i="1"/>
  <c r="R13" i="1"/>
  <c r="Q13" i="1"/>
  <c r="D13" i="1"/>
  <c r="C13" i="1"/>
  <c r="B13" i="1"/>
  <c r="A13" i="1"/>
  <c r="R12" i="1"/>
  <c r="Q12" i="1"/>
  <c r="D12" i="1"/>
  <c r="C12" i="1"/>
  <c r="B12" i="1"/>
  <c r="A12" i="1"/>
  <c r="R11" i="1"/>
  <c r="Q11" i="1"/>
  <c r="D11" i="1"/>
  <c r="C11" i="1"/>
  <c r="B11" i="1"/>
  <c r="A11" i="1"/>
  <c r="R10" i="1"/>
  <c r="Q10" i="1"/>
  <c r="D10" i="1"/>
  <c r="C10" i="1"/>
  <c r="B10" i="1"/>
  <c r="A10" i="1"/>
  <c r="R9" i="1"/>
  <c r="Q9" i="1"/>
  <c r="D9" i="1"/>
  <c r="C9" i="1"/>
  <c r="B9" i="1"/>
  <c r="A9" i="1"/>
  <c r="R8" i="1"/>
  <c r="Q8" i="1"/>
  <c r="D8" i="1"/>
  <c r="C8" i="1"/>
  <c r="B8" i="1"/>
  <c r="A8" i="1"/>
  <c r="R7" i="1"/>
  <c r="Q7" i="1"/>
  <c r="D7" i="1"/>
  <c r="C7" i="1"/>
  <c r="B7" i="1"/>
  <c r="A7" i="1"/>
  <c r="R6" i="1"/>
  <c r="Q6" i="1"/>
  <c r="D6" i="1"/>
  <c r="C6" i="1"/>
  <c r="B6" i="1"/>
  <c r="A6" i="1"/>
  <c r="R5" i="1"/>
  <c r="Q5" i="1"/>
  <c r="D5" i="1"/>
  <c r="C5" i="1"/>
  <c r="B5" i="1"/>
  <c r="A5" i="1"/>
  <c r="R4" i="1"/>
  <c r="Q4" i="1"/>
  <c r="D4" i="1"/>
  <c r="C4" i="1"/>
  <c r="B4" i="1"/>
  <c r="A4" i="1"/>
  <c r="R3" i="1"/>
  <c r="D3" i="1"/>
  <c r="C3" i="1"/>
  <c r="B3" i="1"/>
  <c r="A3" i="1"/>
  <c r="B2" i="1"/>
  <c r="A2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haredStrings.xml><?xml version="1.0" encoding="utf-8"?>
<sst xmlns="http://schemas.openxmlformats.org/spreadsheetml/2006/main" count="76" uniqueCount="2">
  <si>
    <t>交易类别</t>
    <phoneticPr fontId="1" type="noConversion"/>
  </si>
  <si>
    <t>日内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</si>
</sst>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6"/>
  <sheetViews>
    <sheetView tabSelected="1" workbookViewId="0">
      <selection activeCell="B22" sqref="B22"/>
    </sheetView>
  </sheetViews>
  <sheetFormatPr defaultRowHeight="13.5" x14ac:dyDescent="0.15"/>
  <cols>
    <col min="2" max="2" width="17.25" customWidth="1"/>
  </cols>
  <sheetData>
    <row r="1" spans="1:19" x14ac:dyDescent="0.15">
      <c r="A1" s="1" t="str">
        <f>"成交日期"</f>
        <v>成交日期</v>
      </c>
      <c r="B1" s="1" t="str">
        <f>"业务名称"</f>
        <v>业务名称</v>
      </c>
      <c r="C1" s="1" t="str">
        <f>"证券代码"</f>
        <v>证券代码</v>
      </c>
      <c r="D1" s="1" t="str">
        <f>"证券名称"</f>
        <v>证券名称</v>
      </c>
      <c r="E1" s="1" t="str">
        <f>"成交价格"</f>
        <v>成交价格</v>
      </c>
      <c r="F1" s="1" t="str">
        <f>"成交数量"</f>
        <v>成交数量</v>
      </c>
      <c r="G1" s="1" t="str">
        <f>"剩余数量"</f>
        <v>剩余数量</v>
      </c>
      <c r="H1" s="1" t="str">
        <f>"成交金额"</f>
        <v>成交金额</v>
      </c>
      <c r="I1" s="1" t="str">
        <f>"清算金额"</f>
        <v>清算金额</v>
      </c>
      <c r="J1" s="1" t="str">
        <f>"剩余金额"</f>
        <v>剩余金额</v>
      </c>
      <c r="K1" s="1" t="str">
        <f>"净佣金"</f>
        <v>净佣金</v>
      </c>
      <c r="L1" s="1" t="str">
        <f>"规费"</f>
        <v>规费</v>
      </c>
      <c r="M1" s="1" t="str">
        <f>"印花税"</f>
        <v>印花税</v>
      </c>
      <c r="N1" s="1" t="str">
        <f>"过户费"</f>
        <v>过户费</v>
      </c>
      <c r="O1" s="1" t="str">
        <f>"结算费"</f>
        <v>结算费</v>
      </c>
      <c r="P1" s="1" t="str">
        <f>"附加费"</f>
        <v>附加费</v>
      </c>
      <c r="Q1" s="1" t="str">
        <f>"成交编号"</f>
        <v>成交编号</v>
      </c>
      <c r="R1" s="1" t="str">
        <f>"股东代码"</f>
        <v>股东代码</v>
      </c>
      <c r="S1" t="s">
        <v>0</v>
      </c>
    </row>
    <row r="2" spans="1:19" x14ac:dyDescent="0.15">
      <c r="A2" s="1" t="str">
        <f t="shared" ref="A2:A14" si="0">"20160728"</f>
        <v>20160728</v>
      </c>
      <c r="B2" s="1" t="str">
        <f>"证券转银行"</f>
        <v>证券转银行</v>
      </c>
      <c r="C2" s="1"/>
      <c r="D2" s="1"/>
      <c r="E2" s="1">
        <v>0</v>
      </c>
      <c r="F2" s="1">
        <v>0</v>
      </c>
      <c r="G2" s="1">
        <v>0</v>
      </c>
      <c r="H2" s="1">
        <v>0</v>
      </c>
      <c r="I2" s="1">
        <v>-11492.32</v>
      </c>
      <c r="J2" s="1">
        <v>17654048.640000001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/>
      <c r="R2" s="1"/>
      <c r="S2" t="s">
        <v>1</v>
      </c>
    </row>
    <row r="3" spans="1:19" x14ac:dyDescent="0.15">
      <c r="A3" s="1" t="str">
        <f t="shared" si="0"/>
        <v>20160728</v>
      </c>
      <c r="B3" s="1" t="str">
        <f>"红利入账"</f>
        <v>红利入账</v>
      </c>
      <c r="C3" s="1" t="str">
        <f>"000002"</f>
        <v>000002</v>
      </c>
      <c r="D3" s="1" t="str">
        <f>"万 科Ａ"</f>
        <v>万 科Ａ</v>
      </c>
      <c r="E3" s="1">
        <v>0</v>
      </c>
      <c r="F3" s="1">
        <v>0</v>
      </c>
      <c r="G3" s="1">
        <v>0</v>
      </c>
      <c r="H3" s="1">
        <v>248499.36</v>
      </c>
      <c r="I3" s="1">
        <v>248499.36</v>
      </c>
      <c r="J3" s="1">
        <v>17902548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/>
      <c r="R3" s="1" t="str">
        <f>"0604291857"</f>
        <v>0604291857</v>
      </c>
      <c r="S3" t="s">
        <v>1</v>
      </c>
    </row>
    <row r="4" spans="1:19" x14ac:dyDescent="0.15">
      <c r="A4" s="1" t="str">
        <f t="shared" si="0"/>
        <v>20160728</v>
      </c>
      <c r="B4" s="1" t="str">
        <f t="shared" ref="B4:B10" si="1">"普通买入"</f>
        <v>普通买入</v>
      </c>
      <c r="C4" s="1" t="str">
        <f t="shared" ref="C4:C10" si="2">"600763"</f>
        <v>600763</v>
      </c>
      <c r="D4" s="1" t="str">
        <f t="shared" ref="D4:D10" si="3">"通策医疗"</f>
        <v>通策医疗</v>
      </c>
      <c r="E4" s="1">
        <v>31.66</v>
      </c>
      <c r="F4" s="1">
        <v>1200</v>
      </c>
      <c r="G4" s="1">
        <v>125400</v>
      </c>
      <c r="H4" s="1">
        <v>37992</v>
      </c>
      <c r="I4" s="1">
        <v>-38002.26</v>
      </c>
      <c r="J4" s="1">
        <v>17864545.739999998</v>
      </c>
      <c r="K4" s="1">
        <v>6.89</v>
      </c>
      <c r="L4" s="1">
        <v>2.61</v>
      </c>
      <c r="M4" s="1">
        <v>0</v>
      </c>
      <c r="N4" s="1">
        <v>0.76</v>
      </c>
      <c r="O4" s="1">
        <v>0</v>
      </c>
      <c r="P4" s="1">
        <v>0</v>
      </c>
      <c r="Q4" s="1" t="str">
        <f>"1805700463"</f>
        <v>1805700463</v>
      </c>
      <c r="R4" s="1" t="str">
        <f t="shared" ref="R4:R10" si="4">"E042902565"</f>
        <v>E042902565</v>
      </c>
      <c r="S4" t="s">
        <v>1</v>
      </c>
    </row>
    <row r="5" spans="1:19" x14ac:dyDescent="0.15">
      <c r="A5" s="1" t="str">
        <f t="shared" si="0"/>
        <v>20160728</v>
      </c>
      <c r="B5" s="1" t="str">
        <f t="shared" si="1"/>
        <v>普通买入</v>
      </c>
      <c r="C5" s="1" t="str">
        <f t="shared" si="2"/>
        <v>600763</v>
      </c>
      <c r="D5" s="1" t="str">
        <f t="shared" si="3"/>
        <v>通策医疗</v>
      </c>
      <c r="E5" s="1">
        <v>31.687999999999999</v>
      </c>
      <c r="F5" s="1">
        <v>5822</v>
      </c>
      <c r="G5" s="1">
        <v>131222</v>
      </c>
      <c r="H5" s="1">
        <v>184488.18</v>
      </c>
      <c r="I5" s="1">
        <v>-184538</v>
      </c>
      <c r="J5" s="1">
        <v>17680007.739999998</v>
      </c>
      <c r="K5" s="1">
        <v>33.450000000000003</v>
      </c>
      <c r="L5" s="1">
        <v>12.67</v>
      </c>
      <c r="M5" s="1">
        <v>0</v>
      </c>
      <c r="N5" s="1">
        <v>3.7</v>
      </c>
      <c r="O5" s="1">
        <v>0</v>
      </c>
      <c r="P5" s="1">
        <v>0</v>
      </c>
      <c r="Q5" s="1" t="str">
        <f>"1805700464"</f>
        <v>1805700464</v>
      </c>
      <c r="R5" s="1" t="str">
        <f t="shared" si="4"/>
        <v>E042902565</v>
      </c>
      <c r="S5" t="s">
        <v>1</v>
      </c>
    </row>
    <row r="6" spans="1:19" x14ac:dyDescent="0.15">
      <c r="A6" s="1" t="str">
        <f t="shared" si="0"/>
        <v>20160728</v>
      </c>
      <c r="B6" s="1" t="str">
        <f t="shared" si="1"/>
        <v>普通买入</v>
      </c>
      <c r="C6" s="1" t="str">
        <f t="shared" si="2"/>
        <v>600763</v>
      </c>
      <c r="D6" s="1" t="str">
        <f t="shared" si="3"/>
        <v>通策医疗</v>
      </c>
      <c r="E6" s="1">
        <v>31.76</v>
      </c>
      <c r="F6" s="1">
        <v>700</v>
      </c>
      <c r="G6" s="1">
        <v>131922</v>
      </c>
      <c r="H6" s="1">
        <v>22232</v>
      </c>
      <c r="I6" s="1">
        <v>-22238</v>
      </c>
      <c r="J6" s="1">
        <v>17657769.739999998</v>
      </c>
      <c r="K6" s="1">
        <v>4.04</v>
      </c>
      <c r="L6" s="1">
        <v>1.52</v>
      </c>
      <c r="M6" s="1">
        <v>0</v>
      </c>
      <c r="N6" s="1">
        <v>0.44</v>
      </c>
      <c r="O6" s="1">
        <v>0</v>
      </c>
      <c r="P6" s="1">
        <v>0</v>
      </c>
      <c r="Q6" s="1" t="str">
        <f>"1805700539"</f>
        <v>1805700539</v>
      </c>
      <c r="R6" s="1" t="str">
        <f t="shared" si="4"/>
        <v>E042902565</v>
      </c>
      <c r="S6" t="s">
        <v>1</v>
      </c>
    </row>
    <row r="7" spans="1:19" x14ac:dyDescent="0.15">
      <c r="A7" s="1" t="str">
        <f t="shared" si="0"/>
        <v>20160728</v>
      </c>
      <c r="B7" s="1" t="str">
        <f t="shared" si="1"/>
        <v>普通买入</v>
      </c>
      <c r="C7" s="1" t="str">
        <f t="shared" si="2"/>
        <v>600763</v>
      </c>
      <c r="D7" s="1" t="str">
        <f t="shared" si="3"/>
        <v>通策医疗</v>
      </c>
      <c r="E7" s="1">
        <v>31.77</v>
      </c>
      <c r="F7" s="1">
        <v>3000</v>
      </c>
      <c r="G7" s="1">
        <v>134922</v>
      </c>
      <c r="H7" s="1">
        <v>95310</v>
      </c>
      <c r="I7" s="1">
        <v>-95335.73</v>
      </c>
      <c r="J7" s="1">
        <v>17562434.010000002</v>
      </c>
      <c r="K7" s="1">
        <v>17.3</v>
      </c>
      <c r="L7" s="1">
        <v>6.53</v>
      </c>
      <c r="M7" s="1">
        <v>0</v>
      </c>
      <c r="N7" s="1">
        <v>1.9</v>
      </c>
      <c r="O7" s="1">
        <v>0</v>
      </c>
      <c r="P7" s="1">
        <v>0</v>
      </c>
      <c r="Q7" s="1" t="str">
        <f>"1805700541"</f>
        <v>1805700541</v>
      </c>
      <c r="R7" s="1" t="str">
        <f t="shared" si="4"/>
        <v>E042902565</v>
      </c>
      <c r="S7" t="s">
        <v>1</v>
      </c>
    </row>
    <row r="8" spans="1:19" x14ac:dyDescent="0.15">
      <c r="A8" s="1" t="str">
        <f t="shared" si="0"/>
        <v>20160728</v>
      </c>
      <c r="B8" s="1" t="str">
        <f t="shared" si="1"/>
        <v>普通买入</v>
      </c>
      <c r="C8" s="1" t="str">
        <f t="shared" si="2"/>
        <v>600763</v>
      </c>
      <c r="D8" s="1" t="str">
        <f t="shared" si="3"/>
        <v>通策医疗</v>
      </c>
      <c r="E8" s="1">
        <v>31.9</v>
      </c>
      <c r="F8" s="1">
        <v>2000</v>
      </c>
      <c r="G8" s="1">
        <v>136922</v>
      </c>
      <c r="H8" s="1">
        <v>63800</v>
      </c>
      <c r="I8" s="1">
        <v>-63817.22</v>
      </c>
      <c r="J8" s="1">
        <v>17498616.789999999</v>
      </c>
      <c r="K8" s="1">
        <v>11.57</v>
      </c>
      <c r="L8" s="1">
        <v>4.38</v>
      </c>
      <c r="M8" s="1">
        <v>0</v>
      </c>
      <c r="N8" s="1">
        <v>1.27</v>
      </c>
      <c r="O8" s="1">
        <v>0</v>
      </c>
      <c r="P8" s="1">
        <v>0</v>
      </c>
      <c r="Q8" s="1" t="str">
        <f>"1805700600"</f>
        <v>1805700600</v>
      </c>
      <c r="R8" s="1" t="str">
        <f t="shared" si="4"/>
        <v>E042902565</v>
      </c>
      <c r="S8" t="s">
        <v>1</v>
      </c>
    </row>
    <row r="9" spans="1:19" x14ac:dyDescent="0.15">
      <c r="A9" s="1" t="str">
        <f t="shared" si="0"/>
        <v>20160728</v>
      </c>
      <c r="B9" s="1" t="str">
        <f t="shared" si="1"/>
        <v>普通买入</v>
      </c>
      <c r="C9" s="1" t="str">
        <f t="shared" si="2"/>
        <v>600763</v>
      </c>
      <c r="D9" s="1" t="str">
        <f t="shared" si="3"/>
        <v>通策医疗</v>
      </c>
      <c r="E9" s="1">
        <v>31.91</v>
      </c>
      <c r="F9" s="1">
        <v>1900</v>
      </c>
      <c r="G9" s="1">
        <v>138822</v>
      </c>
      <c r="H9" s="1">
        <v>60629</v>
      </c>
      <c r="I9" s="1">
        <v>-60645.37</v>
      </c>
      <c r="J9" s="1">
        <v>17437971.420000002</v>
      </c>
      <c r="K9" s="1">
        <v>11</v>
      </c>
      <c r="L9" s="1">
        <v>4.16</v>
      </c>
      <c r="M9" s="1">
        <v>0</v>
      </c>
      <c r="N9" s="1">
        <v>1.21</v>
      </c>
      <c r="O9" s="1">
        <v>0</v>
      </c>
      <c r="P9" s="1">
        <v>0</v>
      </c>
      <c r="Q9" s="1" t="str">
        <f>"1805700601"</f>
        <v>1805700601</v>
      </c>
      <c r="R9" s="1" t="str">
        <f t="shared" si="4"/>
        <v>E042902565</v>
      </c>
      <c r="S9" t="s">
        <v>1</v>
      </c>
    </row>
    <row r="10" spans="1:19" x14ac:dyDescent="0.15">
      <c r="A10" s="1" t="str">
        <f t="shared" si="0"/>
        <v>20160728</v>
      </c>
      <c r="B10" s="1" t="str">
        <f t="shared" si="1"/>
        <v>普通买入</v>
      </c>
      <c r="C10" s="1" t="str">
        <f t="shared" si="2"/>
        <v>600763</v>
      </c>
      <c r="D10" s="1" t="str">
        <f t="shared" si="3"/>
        <v>通策医疗</v>
      </c>
      <c r="E10" s="1">
        <v>31.997</v>
      </c>
      <c r="F10" s="1">
        <v>19000</v>
      </c>
      <c r="G10" s="1">
        <v>157822</v>
      </c>
      <c r="H10" s="1">
        <v>607950</v>
      </c>
      <c r="I10" s="1">
        <v>-608114.14</v>
      </c>
      <c r="J10" s="1">
        <v>16829857.280000001</v>
      </c>
      <c r="K10" s="1">
        <v>110.2</v>
      </c>
      <c r="L10" s="1">
        <v>41.79</v>
      </c>
      <c r="M10" s="1">
        <v>0</v>
      </c>
      <c r="N10" s="1">
        <v>12.15</v>
      </c>
      <c r="O10" s="1">
        <v>0</v>
      </c>
      <c r="P10" s="1">
        <v>0</v>
      </c>
      <c r="Q10" s="1" t="str">
        <f>"1805700605"</f>
        <v>1805700605</v>
      </c>
      <c r="R10" s="1" t="str">
        <f t="shared" si="4"/>
        <v>E042902565</v>
      </c>
      <c r="S10" t="s">
        <v>1</v>
      </c>
    </row>
    <row r="11" spans="1:19" x14ac:dyDescent="0.15">
      <c r="A11" s="1" t="str">
        <f t="shared" si="0"/>
        <v>20160728</v>
      </c>
      <c r="B11" s="1" t="str">
        <f>"普通卖出"</f>
        <v>普通卖出</v>
      </c>
      <c r="C11" s="1" t="str">
        <f>"000418"</f>
        <v>000418</v>
      </c>
      <c r="D11" s="1" t="str">
        <f>"小天鹅Ａ"</f>
        <v>小天鹅Ａ</v>
      </c>
      <c r="E11" s="1">
        <v>35.270000000000003</v>
      </c>
      <c r="F11" s="1">
        <v>26407</v>
      </c>
      <c r="G11" s="1">
        <v>0</v>
      </c>
      <c r="H11" s="1">
        <v>931374.89</v>
      </c>
      <c r="I11" s="1">
        <v>930210.66</v>
      </c>
      <c r="J11" s="1">
        <v>17760067.940000001</v>
      </c>
      <c r="K11" s="1">
        <v>150.22</v>
      </c>
      <c r="L11" s="1">
        <v>82.62</v>
      </c>
      <c r="M11" s="1">
        <v>931.39</v>
      </c>
      <c r="N11" s="1">
        <v>0</v>
      </c>
      <c r="O11" s="1">
        <v>0</v>
      </c>
      <c r="P11" s="1">
        <v>0</v>
      </c>
      <c r="Q11" s="1" t="str">
        <f>"F6700216"</f>
        <v>F6700216</v>
      </c>
      <c r="R11" s="1" t="str">
        <f>"0604291857"</f>
        <v>0604291857</v>
      </c>
      <c r="S11" t="s">
        <v>1</v>
      </c>
    </row>
    <row r="12" spans="1:19" x14ac:dyDescent="0.15">
      <c r="A12" s="1" t="str">
        <f t="shared" si="0"/>
        <v>20160728</v>
      </c>
      <c r="B12" s="1" t="str">
        <f t="shared" ref="B12:B21" si="5">"普通买入"</f>
        <v>普通买入</v>
      </c>
      <c r="C12" s="1" t="str">
        <f>"000002"</f>
        <v>000002</v>
      </c>
      <c r="D12" s="1" t="str">
        <f>"万 科Ａ"</f>
        <v>万 科Ａ</v>
      </c>
      <c r="E12" s="1">
        <v>17.5</v>
      </c>
      <c r="F12" s="1">
        <v>111338</v>
      </c>
      <c r="G12" s="1">
        <v>111338</v>
      </c>
      <c r="H12" s="1">
        <v>1948415</v>
      </c>
      <c r="I12" s="1">
        <v>-1948902.1</v>
      </c>
      <c r="J12" s="1">
        <v>15811165.84</v>
      </c>
      <c r="K12" s="1">
        <v>313.72000000000003</v>
      </c>
      <c r="L12" s="1">
        <v>173.38</v>
      </c>
      <c r="M12" s="1">
        <v>0</v>
      </c>
      <c r="N12" s="1">
        <v>0</v>
      </c>
      <c r="O12" s="1">
        <v>0</v>
      </c>
      <c r="P12" s="1">
        <v>0</v>
      </c>
      <c r="Q12" s="1" t="str">
        <f>"F6700539"</f>
        <v>F6700539</v>
      </c>
      <c r="R12" s="1" t="str">
        <f>"0604291857"</f>
        <v>0604291857</v>
      </c>
      <c r="S12" t="s">
        <v>1</v>
      </c>
    </row>
    <row r="13" spans="1:19" x14ac:dyDescent="0.15">
      <c r="A13" s="1" t="str">
        <f t="shared" si="0"/>
        <v>20160728</v>
      </c>
      <c r="B13" s="1" t="str">
        <f t="shared" si="5"/>
        <v>普通买入</v>
      </c>
      <c r="C13" s="1" t="str">
        <f>"000002"</f>
        <v>000002</v>
      </c>
      <c r="D13" s="1" t="str">
        <f>"万 科Ａ"</f>
        <v>万 科Ａ</v>
      </c>
      <c r="E13" s="1">
        <v>17.52</v>
      </c>
      <c r="F13" s="1">
        <v>233800</v>
      </c>
      <c r="G13" s="1">
        <v>345138</v>
      </c>
      <c r="H13" s="1">
        <v>4096109</v>
      </c>
      <c r="I13" s="1">
        <v>-4097133.03</v>
      </c>
      <c r="J13" s="1">
        <v>11714032.810000001</v>
      </c>
      <c r="K13" s="1">
        <v>659.8</v>
      </c>
      <c r="L13" s="1">
        <v>364.23</v>
      </c>
      <c r="M13" s="1">
        <v>0</v>
      </c>
      <c r="N13" s="1">
        <v>0</v>
      </c>
      <c r="O13" s="1">
        <v>0</v>
      </c>
      <c r="P13" s="1">
        <v>0</v>
      </c>
      <c r="Q13" s="1" t="str">
        <f>"F6700543"</f>
        <v>F6700543</v>
      </c>
      <c r="R13" s="1" t="str">
        <f>"0604291857"</f>
        <v>0604291857</v>
      </c>
      <c r="S13" t="s">
        <v>1</v>
      </c>
    </row>
    <row r="14" spans="1:19" x14ac:dyDescent="0.15">
      <c r="A14" s="1" t="str">
        <f t="shared" si="0"/>
        <v>20160728</v>
      </c>
      <c r="B14" s="1" t="str">
        <f t="shared" si="5"/>
        <v>普通买入</v>
      </c>
      <c r="C14" s="1" t="str">
        <f>"002798"</f>
        <v>002798</v>
      </c>
      <c r="D14" s="1" t="str">
        <f>"帝王洁具"</f>
        <v>帝王洁具</v>
      </c>
      <c r="E14" s="1">
        <v>65.7</v>
      </c>
      <c r="F14" s="1">
        <v>13733</v>
      </c>
      <c r="G14" s="1">
        <v>13733</v>
      </c>
      <c r="H14" s="1">
        <v>902258.1</v>
      </c>
      <c r="I14" s="1">
        <v>-902483.66</v>
      </c>
      <c r="J14" s="1">
        <v>10811549.15</v>
      </c>
      <c r="K14" s="1">
        <v>145.59</v>
      </c>
      <c r="L14" s="1">
        <v>79.97</v>
      </c>
      <c r="M14" s="1">
        <v>0</v>
      </c>
      <c r="N14" s="1">
        <v>0</v>
      </c>
      <c r="O14" s="1">
        <v>0</v>
      </c>
      <c r="P14" s="1">
        <v>0</v>
      </c>
      <c r="Q14" s="1" t="str">
        <f>"F6700803"</f>
        <v>F6700803</v>
      </c>
      <c r="R14" s="1" t="str">
        <f>"0604291857"</f>
        <v>0604291857</v>
      </c>
      <c r="S14" t="s">
        <v>1</v>
      </c>
    </row>
    <row r="15" spans="1:19" x14ac:dyDescent="0.15">
      <c r="A15" s="1" t="str">
        <f t="shared" ref="A15:A49" si="6">"20160729"</f>
        <v>20160729</v>
      </c>
      <c r="B15" s="1" t="str">
        <f t="shared" si="5"/>
        <v>普通买入</v>
      </c>
      <c r="C15" s="1" t="str">
        <f>"600763"</f>
        <v>600763</v>
      </c>
      <c r="D15" s="1" t="str">
        <f>"通策医疗"</f>
        <v>通策医疗</v>
      </c>
      <c r="E15" s="1">
        <v>32.176000000000002</v>
      </c>
      <c r="F15" s="1">
        <v>25500</v>
      </c>
      <c r="G15" s="1">
        <v>183322</v>
      </c>
      <c r="H15" s="1">
        <v>820478</v>
      </c>
      <c r="I15" s="1">
        <v>-820699.53</v>
      </c>
      <c r="J15" s="1">
        <v>9990849.6199999992</v>
      </c>
      <c r="K15" s="1">
        <v>148.76</v>
      </c>
      <c r="L15" s="1">
        <v>56.36</v>
      </c>
      <c r="M15" s="1">
        <v>0</v>
      </c>
      <c r="N15" s="1">
        <v>16.41</v>
      </c>
      <c r="O15" s="1">
        <v>0</v>
      </c>
      <c r="P15" s="1">
        <v>0</v>
      </c>
      <c r="Q15" s="1" t="str">
        <f>"1805700127"</f>
        <v>1805700127</v>
      </c>
      <c r="R15" s="1" t="str">
        <f t="shared" ref="R15:R27" si="7">"E042902565"</f>
        <v>E042902565</v>
      </c>
      <c r="S15" t="s">
        <v>1</v>
      </c>
    </row>
    <row r="16" spans="1:19" x14ac:dyDescent="0.15">
      <c r="A16" s="1" t="str">
        <f t="shared" si="6"/>
        <v>20160729</v>
      </c>
      <c r="B16" s="1" t="str">
        <f t="shared" si="5"/>
        <v>普通买入</v>
      </c>
      <c r="C16" s="1" t="str">
        <f>"600763"</f>
        <v>600763</v>
      </c>
      <c r="D16" s="1" t="str">
        <f>"通策医疗"</f>
        <v>通策医疗</v>
      </c>
      <c r="E16" s="1">
        <v>32.18</v>
      </c>
      <c r="F16" s="1">
        <v>15000</v>
      </c>
      <c r="G16" s="1">
        <v>198322</v>
      </c>
      <c r="H16" s="1">
        <v>482700</v>
      </c>
      <c r="I16" s="1">
        <v>-482830.34</v>
      </c>
      <c r="J16" s="1">
        <v>9508019.2799999993</v>
      </c>
      <c r="K16" s="1">
        <v>87.54</v>
      </c>
      <c r="L16" s="1">
        <v>33.14</v>
      </c>
      <c r="M16" s="1">
        <v>0</v>
      </c>
      <c r="N16" s="1">
        <v>9.66</v>
      </c>
      <c r="O16" s="1">
        <v>0</v>
      </c>
      <c r="P16" s="1">
        <v>0</v>
      </c>
      <c r="Q16" s="1" t="str">
        <f>"1805700128"</f>
        <v>1805700128</v>
      </c>
      <c r="R16" s="1" t="str">
        <f t="shared" si="7"/>
        <v>E042902565</v>
      </c>
      <c r="S16" t="s">
        <v>1</v>
      </c>
    </row>
    <row r="17" spans="1:19" x14ac:dyDescent="0.15">
      <c r="A17" s="1" t="str">
        <f t="shared" si="6"/>
        <v>20160729</v>
      </c>
      <c r="B17" s="1" t="str">
        <f t="shared" si="5"/>
        <v>普通买入</v>
      </c>
      <c r="C17" s="1" t="str">
        <f t="shared" ref="C17:C27" si="8">"601336"</f>
        <v>601336</v>
      </c>
      <c r="D17" s="1" t="str">
        <f t="shared" ref="D17:D27" si="9">"新华保险"</f>
        <v>新华保险</v>
      </c>
      <c r="E17" s="1">
        <v>39.787999999999997</v>
      </c>
      <c r="F17" s="1">
        <v>2600</v>
      </c>
      <c r="G17" s="1">
        <v>2600</v>
      </c>
      <c r="H17" s="1">
        <v>103449.98</v>
      </c>
      <c r="I17" s="1">
        <v>-103477.91</v>
      </c>
      <c r="J17" s="1">
        <v>9404541.3699999992</v>
      </c>
      <c r="K17" s="1">
        <v>18.75</v>
      </c>
      <c r="L17" s="1">
        <v>7.11</v>
      </c>
      <c r="M17" s="1">
        <v>0</v>
      </c>
      <c r="N17" s="1">
        <v>2.0699999999999998</v>
      </c>
      <c r="O17" s="1">
        <v>0</v>
      </c>
      <c r="P17" s="1">
        <v>0</v>
      </c>
      <c r="Q17" s="1" t="str">
        <f>"1805700484"</f>
        <v>1805700484</v>
      </c>
      <c r="R17" s="1" t="str">
        <f t="shared" si="7"/>
        <v>E042902565</v>
      </c>
      <c r="S17" t="s">
        <v>1</v>
      </c>
    </row>
    <row r="18" spans="1:19" x14ac:dyDescent="0.15">
      <c r="A18" s="1" t="str">
        <f t="shared" si="6"/>
        <v>20160729</v>
      </c>
      <c r="B18" s="1" t="str">
        <f t="shared" si="5"/>
        <v>普通买入</v>
      </c>
      <c r="C18" s="1" t="str">
        <f t="shared" si="8"/>
        <v>601336</v>
      </c>
      <c r="D18" s="1" t="str">
        <f t="shared" si="9"/>
        <v>新华保险</v>
      </c>
      <c r="E18" s="1">
        <v>39.798000000000002</v>
      </c>
      <c r="F18" s="1">
        <v>4800</v>
      </c>
      <c r="G18" s="1">
        <v>7400</v>
      </c>
      <c r="H18" s="1">
        <v>191028.99</v>
      </c>
      <c r="I18" s="1">
        <v>-191080.57</v>
      </c>
      <c r="J18" s="1">
        <v>9213460.8000000007</v>
      </c>
      <c r="K18" s="1">
        <v>34.630000000000003</v>
      </c>
      <c r="L18" s="1">
        <v>13.13</v>
      </c>
      <c r="M18" s="1">
        <v>0</v>
      </c>
      <c r="N18" s="1">
        <v>3.82</v>
      </c>
      <c r="O18" s="1">
        <v>0</v>
      </c>
      <c r="P18" s="1">
        <v>0</v>
      </c>
      <c r="Q18" s="1" t="str">
        <f>"1805700485"</f>
        <v>1805700485</v>
      </c>
      <c r="R18" s="1" t="str">
        <f t="shared" si="7"/>
        <v>E042902565</v>
      </c>
      <c r="S18" t="s">
        <v>1</v>
      </c>
    </row>
    <row r="19" spans="1:19" x14ac:dyDescent="0.15">
      <c r="A19" s="1" t="str">
        <f t="shared" si="6"/>
        <v>20160729</v>
      </c>
      <c r="B19" s="1" t="str">
        <f t="shared" si="5"/>
        <v>普通买入</v>
      </c>
      <c r="C19" s="1" t="str">
        <f t="shared" si="8"/>
        <v>601336</v>
      </c>
      <c r="D19" s="1" t="str">
        <f t="shared" si="9"/>
        <v>新华保险</v>
      </c>
      <c r="E19" s="1">
        <v>39.770000000000003</v>
      </c>
      <c r="F19" s="1">
        <v>9300</v>
      </c>
      <c r="G19" s="1">
        <v>16700</v>
      </c>
      <c r="H19" s="1">
        <v>369861</v>
      </c>
      <c r="I19" s="1">
        <v>-369960.87</v>
      </c>
      <c r="J19" s="1">
        <v>8843499.9299999997</v>
      </c>
      <c r="K19" s="1">
        <v>67.06</v>
      </c>
      <c r="L19" s="1">
        <v>25.41</v>
      </c>
      <c r="M19" s="1">
        <v>0</v>
      </c>
      <c r="N19" s="1">
        <v>7.4</v>
      </c>
      <c r="O19" s="1">
        <v>0</v>
      </c>
      <c r="P19" s="1">
        <v>0</v>
      </c>
      <c r="Q19" s="1" t="str">
        <f>"1805700486"</f>
        <v>1805700486</v>
      </c>
      <c r="R19" s="1" t="str">
        <f t="shared" si="7"/>
        <v>E042902565</v>
      </c>
      <c r="S19" t="s">
        <v>1</v>
      </c>
    </row>
    <row r="20" spans="1:19" x14ac:dyDescent="0.15">
      <c r="A20" s="1" t="str">
        <f t="shared" si="6"/>
        <v>20160729</v>
      </c>
      <c r="B20" s="1" t="str">
        <f t="shared" si="5"/>
        <v>普通买入</v>
      </c>
      <c r="C20" s="1" t="str">
        <f t="shared" si="8"/>
        <v>601336</v>
      </c>
      <c r="D20" s="1" t="str">
        <f t="shared" si="9"/>
        <v>新华保险</v>
      </c>
      <c r="E20" s="1">
        <v>39.805</v>
      </c>
      <c r="F20" s="1">
        <v>6600</v>
      </c>
      <c r="G20" s="1">
        <v>23300</v>
      </c>
      <c r="H20" s="1">
        <v>262712.99</v>
      </c>
      <c r="I20" s="1">
        <v>-262783.93</v>
      </c>
      <c r="J20" s="1">
        <v>8580716</v>
      </c>
      <c r="K20" s="1">
        <v>47.62</v>
      </c>
      <c r="L20" s="1">
        <v>18.059999999999999</v>
      </c>
      <c r="M20" s="1">
        <v>0</v>
      </c>
      <c r="N20" s="1">
        <v>5.26</v>
      </c>
      <c r="O20" s="1">
        <v>0</v>
      </c>
      <c r="P20" s="1">
        <v>0</v>
      </c>
      <c r="Q20" s="1" t="str">
        <f>"1805700487"</f>
        <v>1805700487</v>
      </c>
      <c r="R20" s="1" t="str">
        <f t="shared" si="7"/>
        <v>E042902565</v>
      </c>
      <c r="S20" t="s">
        <v>1</v>
      </c>
    </row>
    <row r="21" spans="1:19" x14ac:dyDescent="0.15">
      <c r="A21" s="1" t="str">
        <f t="shared" si="6"/>
        <v>20160729</v>
      </c>
      <c r="B21" s="1" t="str">
        <f t="shared" si="5"/>
        <v>普通买入</v>
      </c>
      <c r="C21" s="1" t="str">
        <f t="shared" si="8"/>
        <v>601336</v>
      </c>
      <c r="D21" s="1" t="str">
        <f t="shared" si="9"/>
        <v>新华保险</v>
      </c>
      <c r="E21" s="1">
        <v>39.823</v>
      </c>
      <c r="F21" s="1">
        <v>4600</v>
      </c>
      <c r="G21" s="1">
        <v>27900</v>
      </c>
      <c r="H21" s="1">
        <v>183185.06</v>
      </c>
      <c r="I21" s="1">
        <v>-183234.53</v>
      </c>
      <c r="J21" s="1">
        <v>8397481.4700000007</v>
      </c>
      <c r="K21" s="1">
        <v>33.200000000000003</v>
      </c>
      <c r="L21" s="1">
        <v>12.6</v>
      </c>
      <c r="M21" s="1">
        <v>0</v>
      </c>
      <c r="N21" s="1">
        <v>3.67</v>
      </c>
      <c r="O21" s="1">
        <v>0</v>
      </c>
      <c r="P21" s="1">
        <v>0</v>
      </c>
      <c r="Q21" s="1" t="str">
        <f>"1805700488"</f>
        <v>1805700488</v>
      </c>
      <c r="R21" s="1" t="str">
        <f t="shared" si="7"/>
        <v>E042902565</v>
      </c>
      <c r="S21" t="s">
        <v>1</v>
      </c>
    </row>
    <row r="22" spans="1:19" x14ac:dyDescent="0.15">
      <c r="A22" s="1" t="str">
        <f t="shared" si="6"/>
        <v>20160729</v>
      </c>
      <c r="B22" s="1" t="str">
        <f t="shared" ref="B22:B27" si="10">"融资买入"</f>
        <v>融资买入</v>
      </c>
      <c r="C22" s="1" t="str">
        <f t="shared" si="8"/>
        <v>601336</v>
      </c>
      <c r="D22" s="1" t="str">
        <f t="shared" si="9"/>
        <v>新华保险</v>
      </c>
      <c r="E22" s="1">
        <v>39.78</v>
      </c>
      <c r="F22" s="1">
        <v>10200</v>
      </c>
      <c r="G22" s="1">
        <v>38100</v>
      </c>
      <c r="H22" s="1">
        <v>405756</v>
      </c>
      <c r="I22" s="1">
        <v>-405865.55</v>
      </c>
      <c r="J22" s="1">
        <v>7991615.9199999999</v>
      </c>
      <c r="K22" s="1">
        <v>73.56</v>
      </c>
      <c r="L22" s="1">
        <v>27.88</v>
      </c>
      <c r="M22" s="1">
        <v>0</v>
      </c>
      <c r="N22" s="1">
        <v>8.11</v>
      </c>
      <c r="O22" s="1">
        <v>0</v>
      </c>
      <c r="P22" s="1">
        <v>0</v>
      </c>
      <c r="Q22" s="1" t="str">
        <f>"1805700490"</f>
        <v>1805700490</v>
      </c>
      <c r="R22" s="1" t="str">
        <f t="shared" si="7"/>
        <v>E042902565</v>
      </c>
      <c r="S22" t="s">
        <v>1</v>
      </c>
    </row>
    <row r="23" spans="1:19" x14ac:dyDescent="0.15">
      <c r="A23" s="1" t="str">
        <f t="shared" si="6"/>
        <v>20160729</v>
      </c>
      <c r="B23" s="1" t="str">
        <f t="shared" si="10"/>
        <v>融资买入</v>
      </c>
      <c r="C23" s="1" t="str">
        <f t="shared" si="8"/>
        <v>601336</v>
      </c>
      <c r="D23" s="1" t="str">
        <f t="shared" si="9"/>
        <v>新华保险</v>
      </c>
      <c r="E23" s="1">
        <v>39.770000000000003</v>
      </c>
      <c r="F23" s="1">
        <v>28000</v>
      </c>
      <c r="G23" s="1">
        <v>66100</v>
      </c>
      <c r="H23" s="1">
        <v>1113560</v>
      </c>
      <c r="I23" s="1">
        <v>-1113860.6599999999</v>
      </c>
      <c r="J23" s="1">
        <v>6877755.2599999998</v>
      </c>
      <c r="K23" s="1">
        <v>201.88</v>
      </c>
      <c r="L23" s="1">
        <v>76.510000000000005</v>
      </c>
      <c r="M23" s="1">
        <v>0</v>
      </c>
      <c r="N23" s="1">
        <v>22.27</v>
      </c>
      <c r="O23" s="1">
        <v>0</v>
      </c>
      <c r="P23" s="1">
        <v>0</v>
      </c>
      <c r="Q23" s="1" t="str">
        <f>"1805700493"</f>
        <v>1805700493</v>
      </c>
      <c r="R23" s="1" t="str">
        <f t="shared" si="7"/>
        <v>E042902565</v>
      </c>
      <c r="S23" t="s">
        <v>1</v>
      </c>
    </row>
    <row r="24" spans="1:19" x14ac:dyDescent="0.15">
      <c r="A24" s="1" t="str">
        <f t="shared" si="6"/>
        <v>20160729</v>
      </c>
      <c r="B24" s="1" t="str">
        <f t="shared" si="10"/>
        <v>融资买入</v>
      </c>
      <c r="C24" s="1" t="str">
        <f t="shared" si="8"/>
        <v>601336</v>
      </c>
      <c r="D24" s="1" t="str">
        <f t="shared" si="9"/>
        <v>新华保险</v>
      </c>
      <c r="E24" s="1">
        <v>39.770000000000003</v>
      </c>
      <c r="F24" s="1">
        <v>19600</v>
      </c>
      <c r="G24" s="1">
        <v>85700</v>
      </c>
      <c r="H24" s="1">
        <v>779492</v>
      </c>
      <c r="I24" s="1">
        <v>-779702.46</v>
      </c>
      <c r="J24" s="1">
        <v>6098052.7999999998</v>
      </c>
      <c r="K24" s="1">
        <v>141.32</v>
      </c>
      <c r="L24" s="1">
        <v>53.55</v>
      </c>
      <c r="M24" s="1">
        <v>0</v>
      </c>
      <c r="N24" s="1">
        <v>15.59</v>
      </c>
      <c r="O24" s="1">
        <v>0</v>
      </c>
      <c r="P24" s="1">
        <v>0</v>
      </c>
      <c r="Q24" s="1" t="str">
        <f>"1805700495"</f>
        <v>1805700495</v>
      </c>
      <c r="R24" s="1" t="str">
        <f t="shared" si="7"/>
        <v>E042902565</v>
      </c>
      <c r="S24" t="s">
        <v>1</v>
      </c>
    </row>
    <row r="25" spans="1:19" x14ac:dyDescent="0.15">
      <c r="A25" s="1" t="str">
        <f t="shared" si="6"/>
        <v>20160729</v>
      </c>
      <c r="B25" s="1" t="str">
        <f t="shared" si="10"/>
        <v>融资买入</v>
      </c>
      <c r="C25" s="1" t="str">
        <f t="shared" si="8"/>
        <v>601336</v>
      </c>
      <c r="D25" s="1" t="str">
        <f t="shared" si="9"/>
        <v>新华保险</v>
      </c>
      <c r="E25" s="1">
        <v>39.770000000000003</v>
      </c>
      <c r="F25" s="1">
        <v>13700</v>
      </c>
      <c r="G25" s="1">
        <v>99400</v>
      </c>
      <c r="H25" s="1">
        <v>544849</v>
      </c>
      <c r="I25" s="1">
        <v>-544996.12</v>
      </c>
      <c r="J25" s="1">
        <v>5553056.6799999997</v>
      </c>
      <c r="K25" s="1">
        <v>98.77</v>
      </c>
      <c r="L25" s="1">
        <v>37.44</v>
      </c>
      <c r="M25" s="1">
        <v>0</v>
      </c>
      <c r="N25" s="1">
        <v>10.91</v>
      </c>
      <c r="O25" s="1">
        <v>0</v>
      </c>
      <c r="P25" s="1">
        <v>0</v>
      </c>
      <c r="Q25" s="1" t="str">
        <f>"1805700497"</f>
        <v>1805700497</v>
      </c>
      <c r="R25" s="1" t="str">
        <f t="shared" si="7"/>
        <v>E042902565</v>
      </c>
      <c r="S25" t="s">
        <v>1</v>
      </c>
    </row>
    <row r="26" spans="1:19" x14ac:dyDescent="0.15">
      <c r="A26" s="1" t="str">
        <f t="shared" si="6"/>
        <v>20160729</v>
      </c>
      <c r="B26" s="1" t="str">
        <f t="shared" si="10"/>
        <v>融资买入</v>
      </c>
      <c r="C26" s="1" t="str">
        <f t="shared" si="8"/>
        <v>601336</v>
      </c>
      <c r="D26" s="1" t="str">
        <f t="shared" si="9"/>
        <v>新华保险</v>
      </c>
      <c r="E26" s="1">
        <v>39.799999999999997</v>
      </c>
      <c r="F26" s="1">
        <v>32200</v>
      </c>
      <c r="G26" s="1">
        <v>131600</v>
      </c>
      <c r="H26" s="1">
        <v>1281560</v>
      </c>
      <c r="I26" s="1">
        <v>-1281906.02</v>
      </c>
      <c r="J26" s="1">
        <v>4271150.66</v>
      </c>
      <c r="K26" s="1">
        <v>232.35</v>
      </c>
      <c r="L26" s="1">
        <v>88.04</v>
      </c>
      <c r="M26" s="1">
        <v>0</v>
      </c>
      <c r="N26" s="1">
        <v>25.63</v>
      </c>
      <c r="O26" s="1">
        <v>0</v>
      </c>
      <c r="P26" s="1">
        <v>0</v>
      </c>
      <c r="Q26" s="1" t="str">
        <f>"1805700501"</f>
        <v>1805700501</v>
      </c>
      <c r="R26" s="1" t="str">
        <f t="shared" si="7"/>
        <v>E042902565</v>
      </c>
      <c r="S26" t="s">
        <v>1</v>
      </c>
    </row>
    <row r="27" spans="1:19" x14ac:dyDescent="0.15">
      <c r="A27" s="1" t="str">
        <f t="shared" si="6"/>
        <v>20160729</v>
      </c>
      <c r="B27" s="1" t="str">
        <f t="shared" si="10"/>
        <v>融资买入</v>
      </c>
      <c r="C27" s="1" t="str">
        <f t="shared" si="8"/>
        <v>601336</v>
      </c>
      <c r="D27" s="1" t="str">
        <f t="shared" si="9"/>
        <v>新华保险</v>
      </c>
      <c r="E27" s="1">
        <v>39.799999999999997</v>
      </c>
      <c r="F27" s="1">
        <v>97000</v>
      </c>
      <c r="G27" s="1">
        <v>228600</v>
      </c>
      <c r="H27" s="1">
        <v>3860553</v>
      </c>
      <c r="I27" s="1">
        <v>-3861595.35</v>
      </c>
      <c r="J27" s="1">
        <v>409555.31</v>
      </c>
      <c r="K27" s="1">
        <v>699.92</v>
      </c>
      <c r="L27" s="1">
        <v>265.22000000000003</v>
      </c>
      <c r="M27" s="1">
        <v>0</v>
      </c>
      <c r="N27" s="1">
        <v>77.209999999999994</v>
      </c>
      <c r="O27" s="1">
        <v>0</v>
      </c>
      <c r="P27" s="1">
        <v>0</v>
      </c>
      <c r="Q27" s="1" t="str">
        <f>"1805700502"</f>
        <v>1805700502</v>
      </c>
      <c r="R27" s="1" t="str">
        <f t="shared" si="7"/>
        <v>E042902565</v>
      </c>
      <c r="S27" t="s">
        <v>1</v>
      </c>
    </row>
    <row r="28" spans="1:19" x14ac:dyDescent="0.15">
      <c r="A28" s="1" t="str">
        <f t="shared" si="6"/>
        <v>20160729</v>
      </c>
      <c r="B28" s="1" t="str">
        <f>"普通买入"</f>
        <v>普通买入</v>
      </c>
      <c r="C28" s="1" t="str">
        <f>"002798"</f>
        <v>002798</v>
      </c>
      <c r="D28" s="1" t="str">
        <f>"帝王洁具"</f>
        <v>帝王洁具</v>
      </c>
      <c r="E28" s="1">
        <v>66.010000000000005</v>
      </c>
      <c r="F28" s="1">
        <v>9100</v>
      </c>
      <c r="G28" s="1">
        <v>22833</v>
      </c>
      <c r="H28" s="1">
        <v>600691</v>
      </c>
      <c r="I28" s="1">
        <v>-600841.17000000004</v>
      </c>
      <c r="J28" s="1">
        <v>-191285.86</v>
      </c>
      <c r="K28" s="1">
        <v>96.92</v>
      </c>
      <c r="L28" s="1">
        <v>53.25</v>
      </c>
      <c r="M28" s="1">
        <v>0</v>
      </c>
      <c r="N28" s="1">
        <v>0</v>
      </c>
      <c r="O28" s="1">
        <v>0</v>
      </c>
      <c r="P28" s="1">
        <v>0</v>
      </c>
      <c r="Q28" s="1" t="str">
        <f>"F6700074"</f>
        <v>F6700074</v>
      </c>
      <c r="R28" s="1" t="str">
        <f t="shared" ref="R28:R43" si="11">"0604291857"</f>
        <v>0604291857</v>
      </c>
      <c r="S28" t="s">
        <v>1</v>
      </c>
    </row>
    <row r="29" spans="1:19" x14ac:dyDescent="0.15">
      <c r="A29" s="1" t="str">
        <f t="shared" si="6"/>
        <v>20160729</v>
      </c>
      <c r="B29" s="1" t="str">
        <f>"普通买入"</f>
        <v>普通买入</v>
      </c>
      <c r="C29" s="1" t="str">
        <f>"002798"</f>
        <v>002798</v>
      </c>
      <c r="D29" s="1" t="str">
        <f>"帝王洁具"</f>
        <v>帝王洁具</v>
      </c>
      <c r="E29" s="1">
        <v>66.040000000000006</v>
      </c>
      <c r="F29" s="1">
        <v>3000</v>
      </c>
      <c r="G29" s="1">
        <v>25833</v>
      </c>
      <c r="H29" s="1">
        <v>198120</v>
      </c>
      <c r="I29" s="1">
        <v>-198169.53</v>
      </c>
      <c r="J29" s="1">
        <v>-389455.39</v>
      </c>
      <c r="K29" s="1">
        <v>31.96</v>
      </c>
      <c r="L29" s="1">
        <v>17.57</v>
      </c>
      <c r="M29" s="1">
        <v>0</v>
      </c>
      <c r="N29" s="1">
        <v>0</v>
      </c>
      <c r="O29" s="1">
        <v>0</v>
      </c>
      <c r="P29" s="1">
        <v>0</v>
      </c>
      <c r="Q29" s="1" t="str">
        <f>"F6700078"</f>
        <v>F6700078</v>
      </c>
      <c r="R29" s="1" t="str">
        <f t="shared" si="11"/>
        <v>0604291857</v>
      </c>
      <c r="S29" t="s">
        <v>1</v>
      </c>
    </row>
    <row r="30" spans="1:19" x14ac:dyDescent="0.15">
      <c r="A30" s="1" t="str">
        <f t="shared" si="6"/>
        <v>20160729</v>
      </c>
      <c r="B30" s="1" t="str">
        <f>"普通买入"</f>
        <v>普通买入</v>
      </c>
      <c r="C30" s="1" t="str">
        <f>"002798"</f>
        <v>002798</v>
      </c>
      <c r="D30" s="1" t="str">
        <f>"帝王洁具"</f>
        <v>帝王洁具</v>
      </c>
      <c r="E30" s="1">
        <v>65.900000000000006</v>
      </c>
      <c r="F30" s="1">
        <v>2000</v>
      </c>
      <c r="G30" s="1">
        <v>27833</v>
      </c>
      <c r="H30" s="1">
        <v>131800</v>
      </c>
      <c r="I30" s="1">
        <v>-131832.95000000001</v>
      </c>
      <c r="J30" s="1">
        <v>-521288.34</v>
      </c>
      <c r="K30" s="1">
        <v>21.27</v>
      </c>
      <c r="L30" s="1">
        <v>11.68</v>
      </c>
      <c r="M30" s="1">
        <v>0</v>
      </c>
      <c r="N30" s="1">
        <v>0</v>
      </c>
      <c r="O30" s="1">
        <v>0</v>
      </c>
      <c r="P30" s="1">
        <v>0</v>
      </c>
      <c r="Q30" s="1" t="str">
        <f>"F6700080"</f>
        <v>F6700080</v>
      </c>
      <c r="R30" s="1" t="str">
        <f t="shared" si="11"/>
        <v>0604291857</v>
      </c>
      <c r="S30" t="s">
        <v>1</v>
      </c>
    </row>
    <row r="31" spans="1:19" x14ac:dyDescent="0.15">
      <c r="A31" s="1" t="str">
        <f t="shared" si="6"/>
        <v>20160729</v>
      </c>
      <c r="B31" s="1" t="str">
        <f>"普通买入"</f>
        <v>普通买入</v>
      </c>
      <c r="C31" s="1" t="str">
        <f>"002798"</f>
        <v>002798</v>
      </c>
      <c r="D31" s="1" t="str">
        <f>"帝王洁具"</f>
        <v>帝王洁具</v>
      </c>
      <c r="E31" s="1">
        <v>66.11</v>
      </c>
      <c r="F31" s="1">
        <v>14800</v>
      </c>
      <c r="G31" s="1">
        <v>42633</v>
      </c>
      <c r="H31" s="1">
        <v>978428</v>
      </c>
      <c r="I31" s="1">
        <v>-978672.61</v>
      </c>
      <c r="J31" s="1">
        <v>-1499960.95</v>
      </c>
      <c r="K31" s="1">
        <v>157.88999999999999</v>
      </c>
      <c r="L31" s="1">
        <v>86.72</v>
      </c>
      <c r="M31" s="1">
        <v>0</v>
      </c>
      <c r="N31" s="1">
        <v>0</v>
      </c>
      <c r="O31" s="1">
        <v>0</v>
      </c>
      <c r="P31" s="1">
        <v>0</v>
      </c>
      <c r="Q31" s="1" t="str">
        <f>"F6700102"</f>
        <v>F6700102</v>
      </c>
      <c r="R31" s="1" t="str">
        <f t="shared" si="11"/>
        <v>0604291857</v>
      </c>
      <c r="S31" t="s">
        <v>1</v>
      </c>
    </row>
    <row r="32" spans="1:19" x14ac:dyDescent="0.15">
      <c r="A32" s="1" t="str">
        <f t="shared" si="6"/>
        <v>20160729</v>
      </c>
      <c r="B32" s="1" t="str">
        <f>"普通卖出"</f>
        <v>普通卖出</v>
      </c>
      <c r="C32" s="1" t="str">
        <f>"000002"</f>
        <v>000002</v>
      </c>
      <c r="D32" s="1" t="str">
        <f>"万 科Ａ"</f>
        <v>万 科Ａ</v>
      </c>
      <c r="E32" s="1">
        <v>16.850000000000001</v>
      </c>
      <c r="F32" s="1">
        <v>207000</v>
      </c>
      <c r="G32" s="1">
        <v>138138</v>
      </c>
      <c r="H32" s="1">
        <v>3487950</v>
      </c>
      <c r="I32" s="1">
        <v>3483589.73</v>
      </c>
      <c r="J32" s="1">
        <v>1983628.78</v>
      </c>
      <c r="K32" s="1">
        <v>562.79</v>
      </c>
      <c r="L32" s="1">
        <v>309.2</v>
      </c>
      <c r="M32" s="1">
        <v>3488.28</v>
      </c>
      <c r="N32" s="1">
        <v>0</v>
      </c>
      <c r="O32" s="1">
        <v>0</v>
      </c>
      <c r="P32" s="1">
        <v>0</v>
      </c>
      <c r="Q32" s="1" t="str">
        <f>"F6700159"</f>
        <v>F6700159</v>
      </c>
      <c r="R32" s="1" t="str">
        <f t="shared" si="11"/>
        <v>0604291857</v>
      </c>
      <c r="S32" t="s">
        <v>1</v>
      </c>
    </row>
    <row r="33" spans="1:19" x14ac:dyDescent="0.15">
      <c r="A33" s="1" t="str">
        <f t="shared" si="6"/>
        <v>20160729</v>
      </c>
      <c r="B33" s="1" t="str">
        <f t="shared" ref="B33:B43" si="12">"普通买入"</f>
        <v>普通买入</v>
      </c>
      <c r="C33" s="1" t="str">
        <f>"002798"</f>
        <v>002798</v>
      </c>
      <c r="D33" s="1" t="str">
        <f>"帝王洁具"</f>
        <v>帝王洁具</v>
      </c>
      <c r="E33" s="1">
        <v>65.900000000000006</v>
      </c>
      <c r="F33" s="1">
        <v>16200</v>
      </c>
      <c r="G33" s="1">
        <v>58833</v>
      </c>
      <c r="H33" s="1">
        <v>1067579</v>
      </c>
      <c r="I33" s="1">
        <v>-1067845.8899999999</v>
      </c>
      <c r="J33" s="1">
        <v>915782.89</v>
      </c>
      <c r="K33" s="1">
        <v>172.23</v>
      </c>
      <c r="L33" s="1">
        <v>94.66</v>
      </c>
      <c r="M33" s="1">
        <v>0</v>
      </c>
      <c r="N33" s="1">
        <v>0</v>
      </c>
      <c r="O33" s="1">
        <v>0</v>
      </c>
      <c r="P33" s="1">
        <v>0</v>
      </c>
      <c r="Q33" s="1" t="str">
        <f>"F6700187"</f>
        <v>F6700187</v>
      </c>
      <c r="R33" s="1" t="str">
        <f t="shared" si="11"/>
        <v>0604291857</v>
      </c>
      <c r="S33" t="s">
        <v>1</v>
      </c>
    </row>
    <row r="34" spans="1:19" x14ac:dyDescent="0.15">
      <c r="A34" s="1" t="str">
        <f t="shared" si="6"/>
        <v>20160729</v>
      </c>
      <c r="B34" s="1" t="str">
        <f t="shared" si="12"/>
        <v>普通买入</v>
      </c>
      <c r="C34" s="1" t="str">
        <f>"002798"</f>
        <v>002798</v>
      </c>
      <c r="D34" s="1" t="str">
        <f>"帝王洁具"</f>
        <v>帝王洁具</v>
      </c>
      <c r="E34" s="1">
        <v>65.8</v>
      </c>
      <c r="F34" s="1">
        <v>11300</v>
      </c>
      <c r="G34" s="1">
        <v>70133</v>
      </c>
      <c r="H34" s="1">
        <v>743540</v>
      </c>
      <c r="I34" s="1">
        <v>-743725.89</v>
      </c>
      <c r="J34" s="1">
        <v>172057</v>
      </c>
      <c r="K34" s="1">
        <v>120.01</v>
      </c>
      <c r="L34" s="1">
        <v>65.88</v>
      </c>
      <c r="M34" s="1">
        <v>0</v>
      </c>
      <c r="N34" s="1">
        <v>0</v>
      </c>
      <c r="O34" s="1">
        <v>0</v>
      </c>
      <c r="P34" s="1">
        <v>0</v>
      </c>
      <c r="Q34" s="1" t="str">
        <f>"F6700193"</f>
        <v>F6700193</v>
      </c>
      <c r="R34" s="1" t="str">
        <f t="shared" si="11"/>
        <v>0604291857</v>
      </c>
      <c r="S34" t="s">
        <v>1</v>
      </c>
    </row>
    <row r="35" spans="1:19" x14ac:dyDescent="0.15">
      <c r="A35" s="1" t="str">
        <f t="shared" si="6"/>
        <v>20160729</v>
      </c>
      <c r="B35" s="1" t="str">
        <f t="shared" si="12"/>
        <v>普通买入</v>
      </c>
      <c r="C35" s="1" t="str">
        <f>"002038"</f>
        <v>002038</v>
      </c>
      <c r="D35" s="1" t="str">
        <f>"双鹭药业"</f>
        <v>双鹭药业</v>
      </c>
      <c r="E35" s="1">
        <v>32.238</v>
      </c>
      <c r="F35" s="1">
        <v>28000</v>
      </c>
      <c r="G35" s="1">
        <v>28000</v>
      </c>
      <c r="H35" s="1">
        <v>902661</v>
      </c>
      <c r="I35" s="1">
        <v>-902886.67</v>
      </c>
      <c r="J35" s="1">
        <v>-730829.67</v>
      </c>
      <c r="K35" s="1">
        <v>145.59</v>
      </c>
      <c r="L35" s="1">
        <v>80.08</v>
      </c>
      <c r="M35" s="1">
        <v>0</v>
      </c>
      <c r="N35" s="1">
        <v>0</v>
      </c>
      <c r="O35" s="1">
        <v>0</v>
      </c>
      <c r="P35" s="1">
        <v>0</v>
      </c>
      <c r="Q35" s="1" t="str">
        <f>"F6700212"</f>
        <v>F6700212</v>
      </c>
      <c r="R35" s="1" t="str">
        <f t="shared" si="11"/>
        <v>0604291857</v>
      </c>
      <c r="S35" t="s">
        <v>1</v>
      </c>
    </row>
    <row r="36" spans="1:19" x14ac:dyDescent="0.15">
      <c r="A36" s="1" t="str">
        <f t="shared" si="6"/>
        <v>20160729</v>
      </c>
      <c r="B36" s="1" t="str">
        <f t="shared" si="12"/>
        <v>普通买入</v>
      </c>
      <c r="C36" s="1" t="str">
        <f>"002038"</f>
        <v>002038</v>
      </c>
      <c r="D36" s="1" t="str">
        <f>"双鹭药业"</f>
        <v>双鹭药业</v>
      </c>
      <c r="E36" s="1">
        <v>32</v>
      </c>
      <c r="F36" s="1">
        <v>10100</v>
      </c>
      <c r="G36" s="1">
        <v>38100</v>
      </c>
      <c r="H36" s="1">
        <v>323200</v>
      </c>
      <c r="I36" s="1">
        <v>-323280.8</v>
      </c>
      <c r="J36" s="1">
        <v>-1054110.47</v>
      </c>
      <c r="K36" s="1">
        <v>52.12</v>
      </c>
      <c r="L36" s="1">
        <v>28.68</v>
      </c>
      <c r="M36" s="1">
        <v>0</v>
      </c>
      <c r="N36" s="1">
        <v>0</v>
      </c>
      <c r="O36" s="1">
        <v>0</v>
      </c>
      <c r="P36" s="1">
        <v>0</v>
      </c>
      <c r="Q36" s="1" t="str">
        <f>"F6700269"</f>
        <v>F6700269</v>
      </c>
      <c r="R36" s="1" t="str">
        <f t="shared" si="11"/>
        <v>0604291857</v>
      </c>
      <c r="S36" t="s">
        <v>1</v>
      </c>
    </row>
    <row r="37" spans="1:19" x14ac:dyDescent="0.15">
      <c r="A37" s="1" t="str">
        <f t="shared" si="6"/>
        <v>20160729</v>
      </c>
      <c r="B37" s="1" t="str">
        <f t="shared" si="12"/>
        <v>普通买入</v>
      </c>
      <c r="C37" s="1" t="str">
        <f>"002038"</f>
        <v>002038</v>
      </c>
      <c r="D37" s="1" t="str">
        <f>"双鹭药业"</f>
        <v>双鹭药业</v>
      </c>
      <c r="E37" s="1">
        <v>32.01</v>
      </c>
      <c r="F37" s="1">
        <v>5200</v>
      </c>
      <c r="G37" s="1">
        <v>43300</v>
      </c>
      <c r="H37" s="1">
        <v>166452</v>
      </c>
      <c r="I37" s="1">
        <v>-166493.60999999999</v>
      </c>
      <c r="J37" s="1">
        <v>-1220604.08</v>
      </c>
      <c r="K37" s="1">
        <v>26.86</v>
      </c>
      <c r="L37" s="1">
        <v>14.75</v>
      </c>
      <c r="M37" s="1">
        <v>0</v>
      </c>
      <c r="N37" s="1">
        <v>0</v>
      </c>
      <c r="O37" s="1">
        <v>0</v>
      </c>
      <c r="P37" s="1">
        <v>0</v>
      </c>
      <c r="Q37" s="1" t="str">
        <f>"F6700271"</f>
        <v>F6700271</v>
      </c>
      <c r="R37" s="1" t="str">
        <f t="shared" si="11"/>
        <v>0604291857</v>
      </c>
      <c r="S37" t="s">
        <v>1</v>
      </c>
    </row>
    <row r="38" spans="1:19" x14ac:dyDescent="0.15">
      <c r="A38" s="1" t="str">
        <f t="shared" si="6"/>
        <v>20160729</v>
      </c>
      <c r="B38" s="1" t="str">
        <f t="shared" si="12"/>
        <v>普通买入</v>
      </c>
      <c r="C38" s="1" t="str">
        <f>"002038"</f>
        <v>002038</v>
      </c>
      <c r="D38" s="1" t="str">
        <f>"双鹭药业"</f>
        <v>双鹭药业</v>
      </c>
      <c r="E38" s="1">
        <v>32.020000000000003</v>
      </c>
      <c r="F38" s="1">
        <v>10300</v>
      </c>
      <c r="G38" s="1">
        <v>53600</v>
      </c>
      <c r="H38" s="1">
        <v>329806</v>
      </c>
      <c r="I38" s="1">
        <v>-329888.45</v>
      </c>
      <c r="J38" s="1">
        <v>-1550492.53</v>
      </c>
      <c r="K38" s="1">
        <v>53.19</v>
      </c>
      <c r="L38" s="1">
        <v>29.26</v>
      </c>
      <c r="M38" s="1">
        <v>0</v>
      </c>
      <c r="N38" s="1">
        <v>0</v>
      </c>
      <c r="O38" s="1">
        <v>0</v>
      </c>
      <c r="P38" s="1">
        <v>0</v>
      </c>
      <c r="Q38" s="1" t="str">
        <f>"F6700291"</f>
        <v>F6700291</v>
      </c>
      <c r="R38" s="1" t="str">
        <f t="shared" si="11"/>
        <v>0604291857</v>
      </c>
      <c r="S38" t="s">
        <v>1</v>
      </c>
    </row>
    <row r="39" spans="1:19" x14ac:dyDescent="0.15">
      <c r="A39" s="1" t="str">
        <f t="shared" si="6"/>
        <v>20160729</v>
      </c>
      <c r="B39" s="1" t="str">
        <f t="shared" si="12"/>
        <v>普通买入</v>
      </c>
      <c r="C39" s="1" t="str">
        <f>"002038"</f>
        <v>002038</v>
      </c>
      <c r="D39" s="1" t="str">
        <f>"双鹭药业"</f>
        <v>双鹭药业</v>
      </c>
      <c r="E39" s="1">
        <v>32.1</v>
      </c>
      <c r="F39" s="1">
        <v>20100</v>
      </c>
      <c r="G39" s="1">
        <v>73700</v>
      </c>
      <c r="H39" s="1">
        <v>645210</v>
      </c>
      <c r="I39" s="1">
        <v>-645371.30000000005</v>
      </c>
      <c r="J39" s="1">
        <v>-2195863.83</v>
      </c>
      <c r="K39" s="1">
        <v>104.09</v>
      </c>
      <c r="L39" s="1">
        <v>57.21</v>
      </c>
      <c r="M39" s="1">
        <v>0</v>
      </c>
      <c r="N39" s="1">
        <v>0</v>
      </c>
      <c r="O39" s="1">
        <v>0</v>
      </c>
      <c r="P39" s="1">
        <v>0</v>
      </c>
      <c r="Q39" s="1" t="str">
        <f>"F6700345"</f>
        <v>F6700345</v>
      </c>
      <c r="R39" s="1" t="str">
        <f t="shared" si="11"/>
        <v>0604291857</v>
      </c>
      <c r="S39" t="s">
        <v>1</v>
      </c>
    </row>
    <row r="40" spans="1:19" x14ac:dyDescent="0.15">
      <c r="A40" s="1" t="str">
        <f t="shared" si="6"/>
        <v>20160729</v>
      </c>
      <c r="B40" s="1" t="str">
        <f t="shared" si="12"/>
        <v>普通买入</v>
      </c>
      <c r="C40" s="1" t="str">
        <f>"000002"</f>
        <v>000002</v>
      </c>
      <c r="D40" s="1" t="str">
        <f>"万 科Ａ"</f>
        <v>万 科Ａ</v>
      </c>
      <c r="E40" s="1">
        <v>16.920000000000002</v>
      </c>
      <c r="F40" s="1">
        <v>201700</v>
      </c>
      <c r="G40" s="1">
        <v>339838</v>
      </c>
      <c r="H40" s="1">
        <v>3412764</v>
      </c>
      <c r="I40" s="1">
        <v>-3413617.19</v>
      </c>
      <c r="J40" s="1">
        <v>-5609481.0199999996</v>
      </c>
      <c r="K40" s="1">
        <v>550.52</v>
      </c>
      <c r="L40" s="1">
        <v>302.67</v>
      </c>
      <c r="M40" s="1">
        <v>0</v>
      </c>
      <c r="N40" s="1">
        <v>0</v>
      </c>
      <c r="O40" s="1">
        <v>0</v>
      </c>
      <c r="P40" s="1">
        <v>0</v>
      </c>
      <c r="Q40" s="1" t="str">
        <f>"F6700355"</f>
        <v>F6700355</v>
      </c>
      <c r="R40" s="1" t="str">
        <f t="shared" si="11"/>
        <v>0604291857</v>
      </c>
      <c r="S40" t="s">
        <v>1</v>
      </c>
    </row>
    <row r="41" spans="1:19" x14ac:dyDescent="0.15">
      <c r="A41" s="1" t="str">
        <f t="shared" si="6"/>
        <v>20160729</v>
      </c>
      <c r="B41" s="1" t="str">
        <f t="shared" si="12"/>
        <v>普通买入</v>
      </c>
      <c r="C41" s="1" t="str">
        <f>"002038"</f>
        <v>002038</v>
      </c>
      <c r="D41" s="1" t="str">
        <f>"双鹭药业"</f>
        <v>双鹭药业</v>
      </c>
      <c r="E41" s="1">
        <v>32.22</v>
      </c>
      <c r="F41" s="1">
        <v>12100</v>
      </c>
      <c r="G41" s="1">
        <v>85800</v>
      </c>
      <c r="H41" s="1">
        <v>389862</v>
      </c>
      <c r="I41" s="1">
        <v>-389959.47</v>
      </c>
      <c r="J41" s="1">
        <v>-5999440.4900000002</v>
      </c>
      <c r="K41" s="1">
        <v>62.89</v>
      </c>
      <c r="L41" s="1">
        <v>34.58</v>
      </c>
      <c r="M41" s="1">
        <v>0</v>
      </c>
      <c r="N41" s="1">
        <v>0</v>
      </c>
      <c r="O41" s="1">
        <v>0</v>
      </c>
      <c r="P41" s="1">
        <v>0</v>
      </c>
      <c r="Q41" s="1" t="str">
        <f>"F6700416"</f>
        <v>F6700416</v>
      </c>
      <c r="R41" s="1" t="str">
        <f t="shared" si="11"/>
        <v>0604291857</v>
      </c>
      <c r="S41" t="s">
        <v>1</v>
      </c>
    </row>
    <row r="42" spans="1:19" x14ac:dyDescent="0.15">
      <c r="A42" s="1" t="str">
        <f t="shared" si="6"/>
        <v>20160729</v>
      </c>
      <c r="B42" s="1" t="str">
        <f t="shared" si="12"/>
        <v>普通买入</v>
      </c>
      <c r="C42" s="1" t="str">
        <f>"002038"</f>
        <v>002038</v>
      </c>
      <c r="D42" s="1" t="str">
        <f>"双鹭药业"</f>
        <v>双鹭药业</v>
      </c>
      <c r="E42" s="1">
        <v>32.159999999999997</v>
      </c>
      <c r="F42" s="1">
        <v>28500</v>
      </c>
      <c r="G42" s="1">
        <v>114300</v>
      </c>
      <c r="H42" s="1">
        <v>916560</v>
      </c>
      <c r="I42" s="1">
        <v>-916789.14</v>
      </c>
      <c r="J42" s="1">
        <v>-6916229.6299999999</v>
      </c>
      <c r="K42" s="1">
        <v>147.79</v>
      </c>
      <c r="L42" s="1">
        <v>81.349999999999994</v>
      </c>
      <c r="M42" s="1">
        <v>0</v>
      </c>
      <c r="N42" s="1">
        <v>0</v>
      </c>
      <c r="O42" s="1">
        <v>0</v>
      </c>
      <c r="P42" s="1">
        <v>0</v>
      </c>
      <c r="Q42" s="1" t="str">
        <f>"F6700433"</f>
        <v>F6700433</v>
      </c>
      <c r="R42" s="1" t="str">
        <f t="shared" si="11"/>
        <v>0604291857</v>
      </c>
      <c r="S42" t="s">
        <v>1</v>
      </c>
    </row>
    <row r="43" spans="1:19" x14ac:dyDescent="0.15">
      <c r="A43" s="1" t="str">
        <f t="shared" si="6"/>
        <v>20160729</v>
      </c>
      <c r="B43" s="1" t="str">
        <f t="shared" si="12"/>
        <v>普通买入</v>
      </c>
      <c r="C43" s="1" t="str">
        <f>"002038"</f>
        <v>002038</v>
      </c>
      <c r="D43" s="1" t="str">
        <f>"双鹭药业"</f>
        <v>双鹭药业</v>
      </c>
      <c r="E43" s="1">
        <v>31.83</v>
      </c>
      <c r="F43" s="1">
        <v>20100</v>
      </c>
      <c r="G43" s="1">
        <v>134400</v>
      </c>
      <c r="H43" s="1">
        <v>639783</v>
      </c>
      <c r="I43" s="1">
        <v>-639942.94999999995</v>
      </c>
      <c r="J43" s="1">
        <v>-7556172.5800000001</v>
      </c>
      <c r="K43" s="1">
        <v>103.19</v>
      </c>
      <c r="L43" s="1">
        <v>56.76</v>
      </c>
      <c r="M43" s="1">
        <v>0</v>
      </c>
      <c r="N43" s="1">
        <v>0</v>
      </c>
      <c r="O43" s="1">
        <v>0</v>
      </c>
      <c r="P43" s="1">
        <v>0</v>
      </c>
      <c r="Q43" s="1" t="str">
        <f>"F6700658"</f>
        <v>F6700658</v>
      </c>
      <c r="R43" s="1" t="str">
        <f t="shared" si="11"/>
        <v>0604291857</v>
      </c>
      <c r="S43" t="s">
        <v>1</v>
      </c>
    </row>
    <row r="44" spans="1:19" x14ac:dyDescent="0.15">
      <c r="A44" s="1" t="str">
        <f t="shared" si="6"/>
        <v>20160729</v>
      </c>
      <c r="B44" s="1" t="str">
        <f t="shared" ref="B44:B49" si="13">"融资借入"</f>
        <v>融资借入</v>
      </c>
      <c r="C44" s="1" t="str">
        <f t="shared" ref="C44:C49" si="14">"601336"</f>
        <v>601336</v>
      </c>
      <c r="D44" s="1" t="str">
        <f t="shared" ref="D44:D49" si="15">"新华保险"</f>
        <v>新华保险</v>
      </c>
      <c r="E44" s="1">
        <v>0</v>
      </c>
      <c r="F44" s="1">
        <v>0</v>
      </c>
      <c r="G44" s="1">
        <v>0</v>
      </c>
      <c r="H44" s="1">
        <v>0</v>
      </c>
      <c r="I44" s="1">
        <v>405865.55</v>
      </c>
      <c r="J44" s="1">
        <v>-7150307.0300000003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/>
      <c r="R44" s="1" t="str">
        <f t="shared" ref="R44:R49" si="16">"E042902565"</f>
        <v>E042902565</v>
      </c>
      <c r="S44" t="s">
        <v>1</v>
      </c>
    </row>
    <row r="45" spans="1:19" x14ac:dyDescent="0.15">
      <c r="A45" s="1" t="str">
        <f t="shared" si="6"/>
        <v>20160729</v>
      </c>
      <c r="B45" s="1" t="str">
        <f t="shared" si="13"/>
        <v>融资借入</v>
      </c>
      <c r="C45" s="1" t="str">
        <f t="shared" si="14"/>
        <v>601336</v>
      </c>
      <c r="D45" s="1" t="str">
        <f t="shared" si="15"/>
        <v>新华保险</v>
      </c>
      <c r="E45" s="1">
        <v>0</v>
      </c>
      <c r="F45" s="1">
        <v>0</v>
      </c>
      <c r="G45" s="1">
        <v>0</v>
      </c>
      <c r="H45" s="1">
        <v>0</v>
      </c>
      <c r="I45" s="1">
        <v>1113860.6599999999</v>
      </c>
      <c r="J45" s="1">
        <v>-6036446.3700000001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/>
      <c r="R45" s="1" t="str">
        <f t="shared" si="16"/>
        <v>E042902565</v>
      </c>
      <c r="S45" t="s">
        <v>1</v>
      </c>
    </row>
    <row r="46" spans="1:19" x14ac:dyDescent="0.15">
      <c r="A46" s="1" t="str">
        <f t="shared" si="6"/>
        <v>20160729</v>
      </c>
      <c r="B46" s="1" t="str">
        <f t="shared" si="13"/>
        <v>融资借入</v>
      </c>
      <c r="C46" s="1" t="str">
        <f t="shared" si="14"/>
        <v>601336</v>
      </c>
      <c r="D46" s="1" t="str">
        <f t="shared" si="15"/>
        <v>新华保险</v>
      </c>
      <c r="E46" s="1">
        <v>0</v>
      </c>
      <c r="F46" s="1">
        <v>0</v>
      </c>
      <c r="G46" s="1">
        <v>0</v>
      </c>
      <c r="H46" s="1">
        <v>0</v>
      </c>
      <c r="I46" s="1">
        <v>779702.46</v>
      </c>
      <c r="J46" s="1">
        <v>-5256743.91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/>
      <c r="R46" s="1" t="str">
        <f t="shared" si="16"/>
        <v>E042902565</v>
      </c>
      <c r="S46" t="s">
        <v>1</v>
      </c>
    </row>
    <row r="47" spans="1:19" x14ac:dyDescent="0.15">
      <c r="A47" s="1" t="str">
        <f t="shared" si="6"/>
        <v>20160729</v>
      </c>
      <c r="B47" s="1" t="str">
        <f t="shared" si="13"/>
        <v>融资借入</v>
      </c>
      <c r="C47" s="1" t="str">
        <f t="shared" si="14"/>
        <v>601336</v>
      </c>
      <c r="D47" s="1" t="str">
        <f t="shared" si="15"/>
        <v>新华保险</v>
      </c>
      <c r="E47" s="1">
        <v>0</v>
      </c>
      <c r="F47" s="1">
        <v>0</v>
      </c>
      <c r="G47" s="1">
        <v>0</v>
      </c>
      <c r="H47" s="1">
        <v>0</v>
      </c>
      <c r="I47" s="1">
        <v>544996.12</v>
      </c>
      <c r="J47" s="1">
        <v>-4711747.79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/>
      <c r="R47" s="1" t="str">
        <f t="shared" si="16"/>
        <v>E042902565</v>
      </c>
      <c r="S47" t="s">
        <v>1</v>
      </c>
    </row>
    <row r="48" spans="1:19" x14ac:dyDescent="0.15">
      <c r="A48" s="1" t="str">
        <f t="shared" si="6"/>
        <v>20160729</v>
      </c>
      <c r="B48" s="1" t="str">
        <f t="shared" si="13"/>
        <v>融资借入</v>
      </c>
      <c r="C48" s="1" t="str">
        <f t="shared" si="14"/>
        <v>601336</v>
      </c>
      <c r="D48" s="1" t="str">
        <f t="shared" si="15"/>
        <v>新华保险</v>
      </c>
      <c r="E48" s="1">
        <v>0</v>
      </c>
      <c r="F48" s="1">
        <v>0</v>
      </c>
      <c r="G48" s="1">
        <v>0</v>
      </c>
      <c r="H48" s="1">
        <v>0</v>
      </c>
      <c r="I48" s="1">
        <v>1281906.02</v>
      </c>
      <c r="J48" s="1">
        <v>-3429841.77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/>
      <c r="R48" s="1" t="str">
        <f t="shared" si="16"/>
        <v>E042902565</v>
      </c>
      <c r="S48" t="s">
        <v>1</v>
      </c>
    </row>
    <row r="49" spans="1:19" x14ac:dyDescent="0.15">
      <c r="A49" s="1" t="str">
        <f t="shared" si="6"/>
        <v>20160729</v>
      </c>
      <c r="B49" s="1" t="str">
        <f t="shared" si="13"/>
        <v>融资借入</v>
      </c>
      <c r="C49" s="1" t="str">
        <f t="shared" si="14"/>
        <v>601336</v>
      </c>
      <c r="D49" s="1" t="str">
        <f t="shared" si="15"/>
        <v>新华保险</v>
      </c>
      <c r="E49" s="1">
        <v>0</v>
      </c>
      <c r="F49" s="1">
        <v>0</v>
      </c>
      <c r="G49" s="1">
        <v>0</v>
      </c>
      <c r="H49" s="1">
        <v>0</v>
      </c>
      <c r="I49" s="1">
        <v>3861595.35</v>
      </c>
      <c r="J49" s="1">
        <v>431753.58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/>
      <c r="R49" s="1" t="str">
        <f t="shared" si="16"/>
        <v>E042902565</v>
      </c>
      <c r="S49" t="s">
        <v>1</v>
      </c>
    </row>
    <row r="50" spans="1:19" x14ac:dyDescent="0.15">
      <c r="A50" s="1" t="str">
        <f>"20160801"</f>
        <v>20160801</v>
      </c>
      <c r="B50" s="1" t="str">
        <f>"股息个税征收"</f>
        <v>股息个税征收</v>
      </c>
      <c r="C50" s="1" t="str">
        <f>"000002"</f>
        <v>000002</v>
      </c>
      <c r="D50" s="1"/>
      <c r="E50" s="1">
        <v>0</v>
      </c>
      <c r="F50" s="1">
        <v>5300</v>
      </c>
      <c r="G50" s="1">
        <v>0</v>
      </c>
      <c r="H50" s="1">
        <v>0</v>
      </c>
      <c r="I50" s="1">
        <v>-763.2</v>
      </c>
      <c r="J50" s="1">
        <v>430990.38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/>
      <c r="R50" s="1" t="str">
        <f>"0604291857"</f>
        <v>0604291857</v>
      </c>
      <c r="S50" t="s">
        <v>1</v>
      </c>
    </row>
    <row r="51" spans="1:19" x14ac:dyDescent="0.15">
      <c r="A51" s="1" t="str">
        <f>"20160801"</f>
        <v>20160801</v>
      </c>
      <c r="B51" s="1" t="str">
        <f>"普通卖出"</f>
        <v>普通卖出</v>
      </c>
      <c r="C51" s="1" t="str">
        <f>"000002"</f>
        <v>000002</v>
      </c>
      <c r="D51" s="1" t="str">
        <f>"万 科Ａ"</f>
        <v>万 科Ａ</v>
      </c>
      <c r="E51" s="1">
        <v>16.968</v>
      </c>
      <c r="F51" s="1">
        <v>203900</v>
      </c>
      <c r="G51" s="1">
        <v>135938</v>
      </c>
      <c r="H51" s="1">
        <v>3459824.19</v>
      </c>
      <c r="I51" s="1">
        <v>3455499.39</v>
      </c>
      <c r="J51" s="1">
        <v>3886489.77</v>
      </c>
      <c r="K51" s="1">
        <v>558.08000000000004</v>
      </c>
      <c r="L51" s="1">
        <v>306.88</v>
      </c>
      <c r="M51" s="1">
        <v>3459.84</v>
      </c>
      <c r="N51" s="1">
        <v>0</v>
      </c>
      <c r="O51" s="1">
        <v>0</v>
      </c>
      <c r="P51" s="1">
        <v>0</v>
      </c>
      <c r="Q51" s="1" t="str">
        <f>"F6700121"</f>
        <v>F6700121</v>
      </c>
      <c r="R51" s="1" t="str">
        <f>"0604291857"</f>
        <v>0604291857</v>
      </c>
      <c r="S51" t="s">
        <v>1</v>
      </c>
    </row>
    <row r="52" spans="1:19" x14ac:dyDescent="0.15">
      <c r="A52" s="1" t="str">
        <f>"20160801"</f>
        <v>20160801</v>
      </c>
      <c r="B52" s="1" t="str">
        <f>"普通卖出"</f>
        <v>普通卖出</v>
      </c>
      <c r="C52" s="1" t="str">
        <f>"000002"</f>
        <v>000002</v>
      </c>
      <c r="D52" s="1" t="str">
        <f>"万 科Ａ"</f>
        <v>万 科Ａ</v>
      </c>
      <c r="E52" s="1">
        <v>16.974</v>
      </c>
      <c r="F52" s="1">
        <v>135938</v>
      </c>
      <c r="G52" s="1">
        <v>0</v>
      </c>
      <c r="H52" s="1">
        <v>2307361.48</v>
      </c>
      <c r="I52" s="1">
        <v>2304477.2599999998</v>
      </c>
      <c r="J52" s="1">
        <v>6190967.0300000003</v>
      </c>
      <c r="K52" s="1">
        <v>372.14</v>
      </c>
      <c r="L52" s="1">
        <v>204.7</v>
      </c>
      <c r="M52" s="1">
        <v>2307.38</v>
      </c>
      <c r="N52" s="1">
        <v>0</v>
      </c>
      <c r="O52" s="1">
        <v>0</v>
      </c>
      <c r="P52" s="1">
        <v>0</v>
      </c>
      <c r="Q52" s="1" t="str">
        <f>"F6700123"</f>
        <v>F6700123</v>
      </c>
      <c r="R52" s="1" t="str">
        <f>"0604291857"</f>
        <v>0604291857</v>
      </c>
      <c r="S52" t="s">
        <v>1</v>
      </c>
    </row>
    <row r="53" spans="1:19" x14ac:dyDescent="0.15">
      <c r="A53" s="1" t="str">
        <f>"20160802"</f>
        <v>20160802</v>
      </c>
      <c r="B53" s="1" t="str">
        <f>"股息个税征收"</f>
        <v>股息个税征收</v>
      </c>
      <c r="C53" s="1" t="str">
        <f>"000002"</f>
        <v>000002</v>
      </c>
      <c r="D53" s="1"/>
      <c r="E53" s="1">
        <v>0</v>
      </c>
      <c r="F53" s="1">
        <v>339838</v>
      </c>
      <c r="G53" s="1">
        <v>0</v>
      </c>
      <c r="H53" s="1">
        <v>0</v>
      </c>
      <c r="I53" s="1">
        <v>-48936.67</v>
      </c>
      <c r="J53" s="1">
        <v>6142030.3600000003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/>
      <c r="R53" s="1" t="str">
        <f>"0604291857"</f>
        <v>0604291857</v>
      </c>
      <c r="S53" t="s">
        <v>1</v>
      </c>
    </row>
    <row r="54" spans="1:19" x14ac:dyDescent="0.15">
      <c r="A54" s="1" t="str">
        <f t="shared" ref="A54:A76" si="17">"20160803"</f>
        <v>20160803</v>
      </c>
      <c r="B54" s="1" t="str">
        <f t="shared" ref="B54:B59" si="18">"偿还融资利息"</f>
        <v>偿还融资利息</v>
      </c>
      <c r="C54" s="1" t="str">
        <f t="shared" ref="C54:C65" si="19">"601336"</f>
        <v>601336</v>
      </c>
      <c r="D54" s="1" t="str">
        <f t="shared" ref="D54:D65" si="20">"新华保险"</f>
        <v>新华保险</v>
      </c>
      <c r="E54" s="1">
        <v>0</v>
      </c>
      <c r="F54" s="1">
        <v>0</v>
      </c>
      <c r="G54" s="1">
        <v>0</v>
      </c>
      <c r="H54" s="1">
        <v>0</v>
      </c>
      <c r="I54" s="1">
        <v>-470.69</v>
      </c>
      <c r="J54" s="1">
        <v>6141559.6699999999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/>
      <c r="R54" s="1"/>
      <c r="S54" t="s">
        <v>1</v>
      </c>
    </row>
    <row r="55" spans="1:19" x14ac:dyDescent="0.15">
      <c r="A55" s="1" t="str">
        <f t="shared" si="17"/>
        <v>20160803</v>
      </c>
      <c r="B55" s="1" t="str">
        <f t="shared" si="18"/>
        <v>偿还融资利息</v>
      </c>
      <c r="C55" s="1" t="str">
        <f t="shared" si="19"/>
        <v>601336</v>
      </c>
      <c r="D55" s="1" t="str">
        <f t="shared" si="20"/>
        <v>新华保险</v>
      </c>
      <c r="E55" s="1">
        <v>0</v>
      </c>
      <c r="F55" s="1">
        <v>0</v>
      </c>
      <c r="G55" s="1">
        <v>0</v>
      </c>
      <c r="H55" s="1">
        <v>0</v>
      </c>
      <c r="I55" s="1">
        <v>-1291.76</v>
      </c>
      <c r="J55" s="1">
        <v>6140267.9100000001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/>
      <c r="R55" s="1"/>
      <c r="S55" t="s">
        <v>1</v>
      </c>
    </row>
    <row r="56" spans="1:19" x14ac:dyDescent="0.15">
      <c r="A56" s="1" t="str">
        <f t="shared" si="17"/>
        <v>20160803</v>
      </c>
      <c r="B56" s="1" t="str">
        <f t="shared" si="18"/>
        <v>偿还融资利息</v>
      </c>
      <c r="C56" s="1" t="str">
        <f t="shared" si="19"/>
        <v>601336</v>
      </c>
      <c r="D56" s="1" t="str">
        <f t="shared" si="20"/>
        <v>新华保险</v>
      </c>
      <c r="E56" s="1">
        <v>0</v>
      </c>
      <c r="F56" s="1">
        <v>0</v>
      </c>
      <c r="G56" s="1">
        <v>0</v>
      </c>
      <c r="H56" s="1">
        <v>0</v>
      </c>
      <c r="I56" s="1">
        <v>-1486.65</v>
      </c>
      <c r="J56" s="1">
        <v>6138781.2599999998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/>
      <c r="R56" s="1"/>
      <c r="S56" t="s">
        <v>1</v>
      </c>
    </row>
    <row r="57" spans="1:19" x14ac:dyDescent="0.15">
      <c r="A57" s="1" t="str">
        <f t="shared" si="17"/>
        <v>20160803</v>
      </c>
      <c r="B57" s="1" t="str">
        <f t="shared" si="18"/>
        <v>偿还融资利息</v>
      </c>
      <c r="C57" s="1" t="str">
        <f t="shared" si="19"/>
        <v>601336</v>
      </c>
      <c r="D57" s="1" t="str">
        <f t="shared" si="20"/>
        <v>新华保险</v>
      </c>
      <c r="E57" s="1">
        <v>0</v>
      </c>
      <c r="F57" s="1">
        <v>0</v>
      </c>
      <c r="G57" s="1">
        <v>0</v>
      </c>
      <c r="H57" s="1">
        <v>0</v>
      </c>
      <c r="I57" s="1">
        <v>-4478.3900000000003</v>
      </c>
      <c r="J57" s="1">
        <v>6134302.8700000001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/>
      <c r="R57" s="1"/>
      <c r="S57" t="s">
        <v>1</v>
      </c>
    </row>
    <row r="58" spans="1:19" x14ac:dyDescent="0.15">
      <c r="A58" s="1" t="str">
        <f t="shared" si="17"/>
        <v>20160803</v>
      </c>
      <c r="B58" s="1" t="str">
        <f t="shared" si="18"/>
        <v>偿还融资利息</v>
      </c>
      <c r="C58" s="1" t="str">
        <f t="shared" si="19"/>
        <v>601336</v>
      </c>
      <c r="D58" s="1" t="str">
        <f t="shared" si="20"/>
        <v>新华保险</v>
      </c>
      <c r="E58" s="1">
        <v>0</v>
      </c>
      <c r="F58" s="1">
        <v>0</v>
      </c>
      <c r="G58" s="1">
        <v>0</v>
      </c>
      <c r="H58" s="1">
        <v>0</v>
      </c>
      <c r="I58" s="1">
        <v>-904.24</v>
      </c>
      <c r="J58" s="1">
        <v>6133398.6299999999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/>
      <c r="R58" s="1"/>
      <c r="S58" t="s">
        <v>1</v>
      </c>
    </row>
    <row r="59" spans="1:19" x14ac:dyDescent="0.15">
      <c r="A59" s="1" t="str">
        <f t="shared" si="17"/>
        <v>20160803</v>
      </c>
      <c r="B59" s="1" t="str">
        <f t="shared" si="18"/>
        <v>偿还融资利息</v>
      </c>
      <c r="C59" s="1" t="str">
        <f t="shared" si="19"/>
        <v>601336</v>
      </c>
      <c r="D59" s="1" t="str">
        <f t="shared" si="20"/>
        <v>新华保险</v>
      </c>
      <c r="E59" s="1">
        <v>0</v>
      </c>
      <c r="F59" s="1">
        <v>0</v>
      </c>
      <c r="G59" s="1">
        <v>0</v>
      </c>
      <c r="H59" s="1">
        <v>0</v>
      </c>
      <c r="I59" s="1">
        <v>-632.04999999999995</v>
      </c>
      <c r="J59" s="1">
        <v>6132766.5800000001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/>
      <c r="R59" s="1"/>
      <c r="S59" t="s">
        <v>1</v>
      </c>
    </row>
    <row r="60" spans="1:19" x14ac:dyDescent="0.15">
      <c r="A60" s="1" t="str">
        <f t="shared" si="17"/>
        <v>20160803</v>
      </c>
      <c r="B60" s="1" t="str">
        <f t="shared" ref="B60:B65" si="21">"偿还融资负债本金"</f>
        <v>偿还融资负债本金</v>
      </c>
      <c r="C60" s="1" t="str">
        <f t="shared" si="19"/>
        <v>601336</v>
      </c>
      <c r="D60" s="1" t="str">
        <f t="shared" si="20"/>
        <v>新华保险</v>
      </c>
      <c r="E60" s="1">
        <v>0</v>
      </c>
      <c r="F60" s="1">
        <v>0</v>
      </c>
      <c r="G60" s="1">
        <v>0</v>
      </c>
      <c r="H60" s="1">
        <v>0</v>
      </c>
      <c r="I60" s="1">
        <v>-405865.55</v>
      </c>
      <c r="J60" s="1">
        <v>5726901.0300000003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/>
      <c r="R60" s="1"/>
      <c r="S60" t="s">
        <v>1</v>
      </c>
    </row>
    <row r="61" spans="1:19" x14ac:dyDescent="0.15">
      <c r="A61" s="1" t="str">
        <f t="shared" si="17"/>
        <v>20160803</v>
      </c>
      <c r="B61" s="1" t="str">
        <f t="shared" si="21"/>
        <v>偿还融资负债本金</v>
      </c>
      <c r="C61" s="1" t="str">
        <f t="shared" si="19"/>
        <v>601336</v>
      </c>
      <c r="D61" s="1" t="str">
        <f t="shared" si="20"/>
        <v>新华保险</v>
      </c>
      <c r="E61" s="1">
        <v>0</v>
      </c>
      <c r="F61" s="1">
        <v>0</v>
      </c>
      <c r="G61" s="1">
        <v>0</v>
      </c>
      <c r="H61" s="1">
        <v>0</v>
      </c>
      <c r="I61" s="1">
        <v>-1113860.6599999999</v>
      </c>
      <c r="J61" s="1">
        <v>4613040.37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/>
      <c r="R61" s="1"/>
      <c r="S61" t="s">
        <v>1</v>
      </c>
    </row>
    <row r="62" spans="1:19" x14ac:dyDescent="0.15">
      <c r="A62" s="1" t="str">
        <f t="shared" si="17"/>
        <v>20160803</v>
      </c>
      <c r="B62" s="1" t="str">
        <f t="shared" si="21"/>
        <v>偿还融资负债本金</v>
      </c>
      <c r="C62" s="1" t="str">
        <f t="shared" si="19"/>
        <v>601336</v>
      </c>
      <c r="D62" s="1" t="str">
        <f t="shared" si="20"/>
        <v>新华保险</v>
      </c>
      <c r="E62" s="1">
        <v>0</v>
      </c>
      <c r="F62" s="1">
        <v>0</v>
      </c>
      <c r="G62" s="1">
        <v>0</v>
      </c>
      <c r="H62" s="1">
        <v>0</v>
      </c>
      <c r="I62" s="1">
        <v>-1281906.02</v>
      </c>
      <c r="J62" s="1">
        <v>3331134.35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/>
      <c r="R62" s="1"/>
      <c r="S62" t="s">
        <v>1</v>
      </c>
    </row>
    <row r="63" spans="1:19" x14ac:dyDescent="0.15">
      <c r="A63" s="1" t="str">
        <f t="shared" si="17"/>
        <v>20160803</v>
      </c>
      <c r="B63" s="1" t="str">
        <f t="shared" si="21"/>
        <v>偿还融资负债本金</v>
      </c>
      <c r="C63" s="1" t="str">
        <f t="shared" si="19"/>
        <v>601336</v>
      </c>
      <c r="D63" s="1" t="str">
        <f t="shared" si="20"/>
        <v>新华保险</v>
      </c>
      <c r="E63" s="1">
        <v>0</v>
      </c>
      <c r="F63" s="1">
        <v>0</v>
      </c>
      <c r="G63" s="1">
        <v>0</v>
      </c>
      <c r="H63" s="1">
        <v>0</v>
      </c>
      <c r="I63" s="1">
        <v>-3861595.35</v>
      </c>
      <c r="J63" s="1">
        <v>-530461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/>
      <c r="R63" s="1"/>
      <c r="S63" t="s">
        <v>1</v>
      </c>
    </row>
    <row r="64" spans="1:19" x14ac:dyDescent="0.15">
      <c r="A64" s="1" t="str">
        <f t="shared" si="17"/>
        <v>20160803</v>
      </c>
      <c r="B64" s="1" t="str">
        <f t="shared" si="21"/>
        <v>偿还融资负债本金</v>
      </c>
      <c r="C64" s="1" t="str">
        <f t="shared" si="19"/>
        <v>601336</v>
      </c>
      <c r="D64" s="1" t="str">
        <f t="shared" si="20"/>
        <v>新华保险</v>
      </c>
      <c r="E64" s="1">
        <v>0</v>
      </c>
      <c r="F64" s="1">
        <v>0</v>
      </c>
      <c r="G64" s="1">
        <v>0</v>
      </c>
      <c r="H64" s="1">
        <v>0</v>
      </c>
      <c r="I64" s="1">
        <v>-779702.46</v>
      </c>
      <c r="J64" s="1">
        <v>-1310163.46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/>
      <c r="R64" s="1"/>
      <c r="S64" t="s">
        <v>1</v>
      </c>
    </row>
    <row r="65" spans="1:19" x14ac:dyDescent="0.15">
      <c r="A65" s="1" t="str">
        <f t="shared" si="17"/>
        <v>20160803</v>
      </c>
      <c r="B65" s="1" t="str">
        <f t="shared" si="21"/>
        <v>偿还融资负债本金</v>
      </c>
      <c r="C65" s="1" t="str">
        <f t="shared" si="19"/>
        <v>601336</v>
      </c>
      <c r="D65" s="1" t="str">
        <f t="shared" si="20"/>
        <v>新华保险</v>
      </c>
      <c r="E65" s="1">
        <v>0</v>
      </c>
      <c r="F65" s="1">
        <v>0</v>
      </c>
      <c r="G65" s="1">
        <v>0</v>
      </c>
      <c r="H65" s="1">
        <v>0</v>
      </c>
      <c r="I65" s="1">
        <v>-544995.18000000005</v>
      </c>
      <c r="J65" s="1">
        <v>-1855158.64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/>
      <c r="R65" s="1"/>
      <c r="S65" t="s">
        <v>1</v>
      </c>
    </row>
    <row r="66" spans="1:19" x14ac:dyDescent="0.15">
      <c r="A66" s="1" t="str">
        <f t="shared" si="17"/>
        <v>20160803</v>
      </c>
      <c r="B66" s="1" t="str">
        <f t="shared" ref="B66:B76" si="22">"普通卖出"</f>
        <v>普通卖出</v>
      </c>
      <c r="C66" s="1" t="str">
        <f t="shared" ref="C66:C71" si="23">"002798"</f>
        <v>002798</v>
      </c>
      <c r="D66" s="1" t="str">
        <f t="shared" ref="D66:D71" si="24">"帝王洁具"</f>
        <v>帝王洁具</v>
      </c>
      <c r="E66" s="1">
        <v>65.45</v>
      </c>
      <c r="F66" s="1">
        <v>8000</v>
      </c>
      <c r="G66" s="1">
        <v>62133</v>
      </c>
      <c r="H66" s="1">
        <v>523600</v>
      </c>
      <c r="I66" s="1">
        <v>522945.5</v>
      </c>
      <c r="J66" s="1">
        <v>-1332213.1399999999</v>
      </c>
      <c r="K66" s="1">
        <v>84.46</v>
      </c>
      <c r="L66" s="1">
        <v>46.44</v>
      </c>
      <c r="M66" s="1">
        <v>523.6</v>
      </c>
      <c r="N66" s="1">
        <v>0</v>
      </c>
      <c r="O66" s="1">
        <v>0</v>
      </c>
      <c r="P66" s="1">
        <v>0</v>
      </c>
      <c r="Q66" s="1" t="str">
        <f>"F6700356"</f>
        <v>F6700356</v>
      </c>
      <c r="R66" s="1" t="str">
        <f t="shared" ref="R66:R76" si="25">"0604291857"</f>
        <v>0604291857</v>
      </c>
      <c r="S66" t="s">
        <v>1</v>
      </c>
    </row>
    <row r="67" spans="1:19" x14ac:dyDescent="0.15">
      <c r="A67" s="1" t="str">
        <f t="shared" si="17"/>
        <v>20160803</v>
      </c>
      <c r="B67" s="1" t="str">
        <f t="shared" si="22"/>
        <v>普通卖出</v>
      </c>
      <c r="C67" s="1" t="str">
        <f t="shared" si="23"/>
        <v>002798</v>
      </c>
      <c r="D67" s="1" t="str">
        <f t="shared" si="24"/>
        <v>帝王洁具</v>
      </c>
      <c r="E67" s="1">
        <v>65.400000000000006</v>
      </c>
      <c r="F67" s="1">
        <v>3000</v>
      </c>
      <c r="G67" s="1">
        <v>59133</v>
      </c>
      <c r="H67" s="1">
        <v>196200</v>
      </c>
      <c r="I67" s="1">
        <v>195954.75</v>
      </c>
      <c r="J67" s="1">
        <v>-1136258.3899999999</v>
      </c>
      <c r="K67" s="1">
        <v>31.66</v>
      </c>
      <c r="L67" s="1">
        <v>17.39</v>
      </c>
      <c r="M67" s="1">
        <v>196.2</v>
      </c>
      <c r="N67" s="1">
        <v>0</v>
      </c>
      <c r="O67" s="1">
        <v>0</v>
      </c>
      <c r="P67" s="1">
        <v>0</v>
      </c>
      <c r="Q67" s="1" t="str">
        <f>"F6700357"</f>
        <v>F6700357</v>
      </c>
      <c r="R67" s="1" t="str">
        <f t="shared" si="25"/>
        <v>0604291857</v>
      </c>
      <c r="S67" t="s">
        <v>1</v>
      </c>
    </row>
    <row r="68" spans="1:19" x14ac:dyDescent="0.15">
      <c r="A68" s="1" t="str">
        <f t="shared" si="17"/>
        <v>20160803</v>
      </c>
      <c r="B68" s="1" t="str">
        <f t="shared" si="22"/>
        <v>普通卖出</v>
      </c>
      <c r="C68" s="1" t="str">
        <f t="shared" si="23"/>
        <v>002798</v>
      </c>
      <c r="D68" s="1" t="str">
        <f t="shared" si="24"/>
        <v>帝王洁具</v>
      </c>
      <c r="E68" s="1">
        <v>65.400000000000006</v>
      </c>
      <c r="F68" s="1">
        <v>3000</v>
      </c>
      <c r="G68" s="1">
        <v>56133</v>
      </c>
      <c r="H68" s="1">
        <v>196200</v>
      </c>
      <c r="I68" s="1">
        <v>195954.75</v>
      </c>
      <c r="J68" s="1">
        <v>-940303.64</v>
      </c>
      <c r="K68" s="1">
        <v>31.65</v>
      </c>
      <c r="L68" s="1">
        <v>17.399999999999999</v>
      </c>
      <c r="M68" s="1">
        <v>196.2</v>
      </c>
      <c r="N68" s="1">
        <v>0</v>
      </c>
      <c r="O68" s="1">
        <v>0</v>
      </c>
      <c r="P68" s="1">
        <v>0</v>
      </c>
      <c r="Q68" s="1" t="str">
        <f>"F6700358"</f>
        <v>F6700358</v>
      </c>
      <c r="R68" s="1" t="str">
        <f t="shared" si="25"/>
        <v>0604291857</v>
      </c>
      <c r="S68" t="s">
        <v>1</v>
      </c>
    </row>
    <row r="69" spans="1:19" x14ac:dyDescent="0.15">
      <c r="A69" s="1" t="str">
        <f t="shared" si="17"/>
        <v>20160803</v>
      </c>
      <c r="B69" s="1" t="str">
        <f t="shared" si="22"/>
        <v>普通卖出</v>
      </c>
      <c r="C69" s="1" t="str">
        <f t="shared" si="23"/>
        <v>002798</v>
      </c>
      <c r="D69" s="1" t="str">
        <f t="shared" si="24"/>
        <v>帝王洁具</v>
      </c>
      <c r="E69" s="1">
        <v>65.78</v>
      </c>
      <c r="F69" s="1">
        <v>7500</v>
      </c>
      <c r="G69" s="1">
        <v>48633</v>
      </c>
      <c r="H69" s="1">
        <v>493350</v>
      </c>
      <c r="I69" s="1">
        <v>492733.29</v>
      </c>
      <c r="J69" s="1">
        <v>-447570.35</v>
      </c>
      <c r="K69" s="1">
        <v>79.59</v>
      </c>
      <c r="L69" s="1">
        <v>43.75</v>
      </c>
      <c r="M69" s="1">
        <v>493.37</v>
      </c>
      <c r="N69" s="1">
        <v>0</v>
      </c>
      <c r="O69" s="1">
        <v>0</v>
      </c>
      <c r="P69" s="1">
        <v>0</v>
      </c>
      <c r="Q69" s="1" t="str">
        <f>"F6700375"</f>
        <v>F6700375</v>
      </c>
      <c r="R69" s="1" t="str">
        <f t="shared" si="25"/>
        <v>0604291857</v>
      </c>
      <c r="S69" t="s">
        <v>1</v>
      </c>
    </row>
    <row r="70" spans="1:19" x14ac:dyDescent="0.15">
      <c r="A70" s="1" t="str">
        <f t="shared" si="17"/>
        <v>20160803</v>
      </c>
      <c r="B70" s="1" t="str">
        <f t="shared" si="22"/>
        <v>普通卖出</v>
      </c>
      <c r="C70" s="1" t="str">
        <f t="shared" si="23"/>
        <v>002798</v>
      </c>
      <c r="D70" s="1" t="str">
        <f t="shared" si="24"/>
        <v>帝王洁具</v>
      </c>
      <c r="E70" s="1">
        <v>65.709999999999994</v>
      </c>
      <c r="F70" s="1">
        <v>100</v>
      </c>
      <c r="G70" s="1">
        <v>48533</v>
      </c>
      <c r="H70" s="1">
        <v>6571</v>
      </c>
      <c r="I70" s="1">
        <v>6559.43</v>
      </c>
      <c r="J70" s="1">
        <v>-441010.92</v>
      </c>
      <c r="K70" s="1">
        <v>4.42</v>
      </c>
      <c r="L70" s="1">
        <v>0.57999999999999996</v>
      </c>
      <c r="M70" s="1">
        <v>6.57</v>
      </c>
      <c r="N70" s="1">
        <v>0</v>
      </c>
      <c r="O70" s="1">
        <v>0</v>
      </c>
      <c r="P70" s="1">
        <v>0</v>
      </c>
      <c r="Q70" s="1" t="str">
        <f>"F6700383"</f>
        <v>F6700383</v>
      </c>
      <c r="R70" s="1" t="str">
        <f t="shared" si="25"/>
        <v>0604291857</v>
      </c>
      <c r="S70" t="s">
        <v>1</v>
      </c>
    </row>
    <row r="71" spans="1:19" x14ac:dyDescent="0.15">
      <c r="A71" s="1" t="str">
        <f t="shared" si="17"/>
        <v>20160803</v>
      </c>
      <c r="B71" s="1" t="str">
        <f t="shared" si="22"/>
        <v>普通卖出</v>
      </c>
      <c r="C71" s="1" t="str">
        <f t="shared" si="23"/>
        <v>002798</v>
      </c>
      <c r="D71" s="1" t="str">
        <f t="shared" si="24"/>
        <v>帝王洁具</v>
      </c>
      <c r="E71" s="1">
        <v>65.370999999999995</v>
      </c>
      <c r="F71" s="1">
        <v>10000</v>
      </c>
      <c r="G71" s="1">
        <v>38533</v>
      </c>
      <c r="H71" s="1">
        <v>653706</v>
      </c>
      <c r="I71" s="1">
        <v>652888.84</v>
      </c>
      <c r="J71" s="1">
        <v>211877.92</v>
      </c>
      <c r="K71" s="1">
        <v>105.48</v>
      </c>
      <c r="L71" s="1">
        <v>57.95</v>
      </c>
      <c r="M71" s="1">
        <v>653.73</v>
      </c>
      <c r="N71" s="1">
        <v>0</v>
      </c>
      <c r="O71" s="1">
        <v>0</v>
      </c>
      <c r="P71" s="1">
        <v>0</v>
      </c>
      <c r="Q71" s="1" t="str">
        <f>"F6700411"</f>
        <v>F6700411</v>
      </c>
      <c r="R71" s="1" t="str">
        <f t="shared" si="25"/>
        <v>0604291857</v>
      </c>
      <c r="S71" t="s">
        <v>1</v>
      </c>
    </row>
    <row r="72" spans="1:19" x14ac:dyDescent="0.15">
      <c r="A72" s="1" t="str">
        <f t="shared" si="17"/>
        <v>20160803</v>
      </c>
      <c r="B72" s="1" t="str">
        <f t="shared" si="22"/>
        <v>普通卖出</v>
      </c>
      <c r="C72" s="1" t="str">
        <f>"002038"</f>
        <v>002038</v>
      </c>
      <c r="D72" s="1" t="str">
        <f>"双鹭药业"</f>
        <v>双鹭药业</v>
      </c>
      <c r="E72" s="1">
        <v>31.69</v>
      </c>
      <c r="F72" s="1">
        <v>30000</v>
      </c>
      <c r="G72" s="1">
        <v>104400</v>
      </c>
      <c r="H72" s="1">
        <v>950700</v>
      </c>
      <c r="I72" s="1">
        <v>949511.58</v>
      </c>
      <c r="J72" s="1">
        <v>1161389.5</v>
      </c>
      <c r="K72" s="1">
        <v>153.36000000000001</v>
      </c>
      <c r="L72" s="1">
        <v>84.32</v>
      </c>
      <c r="M72" s="1">
        <v>950.74</v>
      </c>
      <c r="N72" s="1">
        <v>0</v>
      </c>
      <c r="O72" s="1">
        <v>0</v>
      </c>
      <c r="P72" s="1">
        <v>0</v>
      </c>
      <c r="Q72" s="1" t="str">
        <f>"F6700556"</f>
        <v>F6700556</v>
      </c>
      <c r="R72" s="1" t="str">
        <f t="shared" si="25"/>
        <v>0604291857</v>
      </c>
      <c r="S72" t="s">
        <v>1</v>
      </c>
    </row>
    <row r="73" spans="1:19" x14ac:dyDescent="0.15">
      <c r="A73" s="1" t="str">
        <f t="shared" si="17"/>
        <v>20160803</v>
      </c>
      <c r="B73" s="1" t="str">
        <f t="shared" si="22"/>
        <v>普通卖出</v>
      </c>
      <c r="C73" s="1" t="str">
        <f>"002798"</f>
        <v>002798</v>
      </c>
      <c r="D73" s="1" t="str">
        <f>"帝王洁具"</f>
        <v>帝王洁具</v>
      </c>
      <c r="E73" s="1">
        <v>67.090999999999994</v>
      </c>
      <c r="F73" s="1">
        <v>3000</v>
      </c>
      <c r="G73" s="1">
        <v>35533</v>
      </c>
      <c r="H73" s="1">
        <v>201272</v>
      </c>
      <c r="I73" s="1">
        <v>201020.41</v>
      </c>
      <c r="J73" s="1">
        <v>1362409.91</v>
      </c>
      <c r="K73" s="1">
        <v>32.47</v>
      </c>
      <c r="L73" s="1">
        <v>17.850000000000001</v>
      </c>
      <c r="M73" s="1">
        <v>201.27</v>
      </c>
      <c r="N73" s="1">
        <v>0</v>
      </c>
      <c r="O73" s="1">
        <v>0</v>
      </c>
      <c r="P73" s="1">
        <v>0</v>
      </c>
      <c r="Q73" s="1" t="str">
        <f>"F6700608"</f>
        <v>F6700608</v>
      </c>
      <c r="R73" s="1" t="str">
        <f t="shared" si="25"/>
        <v>0604291857</v>
      </c>
      <c r="S73" t="s">
        <v>1</v>
      </c>
    </row>
    <row r="74" spans="1:19" x14ac:dyDescent="0.15">
      <c r="A74" s="1" t="str">
        <f t="shared" si="17"/>
        <v>20160803</v>
      </c>
      <c r="B74" s="1" t="str">
        <f t="shared" si="22"/>
        <v>普通卖出</v>
      </c>
      <c r="C74" s="1" t="str">
        <f>"002798"</f>
        <v>002798</v>
      </c>
      <c r="D74" s="1" t="str">
        <f>"帝王洁具"</f>
        <v>帝王洁具</v>
      </c>
      <c r="E74" s="1">
        <v>67.13</v>
      </c>
      <c r="F74" s="1">
        <v>5000</v>
      </c>
      <c r="G74" s="1">
        <v>30533</v>
      </c>
      <c r="H74" s="1">
        <v>335650</v>
      </c>
      <c r="I74" s="1">
        <v>335230.40999999997</v>
      </c>
      <c r="J74" s="1">
        <v>1697640.32</v>
      </c>
      <c r="K74" s="1">
        <v>54.15</v>
      </c>
      <c r="L74" s="1">
        <v>29.76</v>
      </c>
      <c r="M74" s="1">
        <v>335.68</v>
      </c>
      <c r="N74" s="1">
        <v>0</v>
      </c>
      <c r="O74" s="1">
        <v>0</v>
      </c>
      <c r="P74" s="1">
        <v>0</v>
      </c>
      <c r="Q74" s="1" t="str">
        <f>"F6700609"</f>
        <v>F6700609</v>
      </c>
      <c r="R74" s="1" t="str">
        <f t="shared" si="25"/>
        <v>0604291857</v>
      </c>
      <c r="S74" t="s">
        <v>1</v>
      </c>
    </row>
    <row r="75" spans="1:19" x14ac:dyDescent="0.15">
      <c r="A75" s="1" t="str">
        <f t="shared" si="17"/>
        <v>20160803</v>
      </c>
      <c r="B75" s="1" t="str">
        <f t="shared" si="22"/>
        <v>普通卖出</v>
      </c>
      <c r="C75" s="1" t="str">
        <f>"002798"</f>
        <v>002798</v>
      </c>
      <c r="D75" s="1" t="str">
        <f>"帝王洁具"</f>
        <v>帝王洁具</v>
      </c>
      <c r="E75" s="1">
        <v>67.12</v>
      </c>
      <c r="F75" s="1">
        <v>5000</v>
      </c>
      <c r="G75" s="1">
        <v>25533</v>
      </c>
      <c r="H75" s="1">
        <v>335600</v>
      </c>
      <c r="I75" s="1">
        <v>335180.5</v>
      </c>
      <c r="J75" s="1">
        <v>2032820.82</v>
      </c>
      <c r="K75" s="1">
        <v>54.17</v>
      </c>
      <c r="L75" s="1">
        <v>29.73</v>
      </c>
      <c r="M75" s="1">
        <v>335.6</v>
      </c>
      <c r="N75" s="1">
        <v>0</v>
      </c>
      <c r="O75" s="1">
        <v>0</v>
      </c>
      <c r="P75" s="1">
        <v>0</v>
      </c>
      <c r="Q75" s="1" t="str">
        <f>"F6700610"</f>
        <v>F6700610</v>
      </c>
      <c r="R75" s="1" t="str">
        <f t="shared" si="25"/>
        <v>0604291857</v>
      </c>
      <c r="S75" t="s">
        <v>1</v>
      </c>
    </row>
    <row r="76" spans="1:19" x14ac:dyDescent="0.15">
      <c r="A76" s="1" t="str">
        <f t="shared" si="17"/>
        <v>20160803</v>
      </c>
      <c r="B76" s="1" t="str">
        <f t="shared" si="22"/>
        <v>普通卖出</v>
      </c>
      <c r="C76" s="1" t="str">
        <f>"002798"</f>
        <v>002798</v>
      </c>
      <c r="D76" s="1" t="str">
        <f>"帝王洁具"</f>
        <v>帝王洁具</v>
      </c>
      <c r="E76" s="1">
        <v>67</v>
      </c>
      <c r="F76" s="1">
        <v>9570</v>
      </c>
      <c r="G76" s="1">
        <v>15963</v>
      </c>
      <c r="H76" s="1">
        <v>641190</v>
      </c>
      <c r="I76" s="1">
        <v>640388.51</v>
      </c>
      <c r="J76" s="1">
        <v>2673209.33</v>
      </c>
      <c r="K76" s="1">
        <v>103.45</v>
      </c>
      <c r="L76" s="1">
        <v>56.85</v>
      </c>
      <c r="M76" s="1">
        <v>641.19000000000005</v>
      </c>
      <c r="N76" s="1">
        <v>0</v>
      </c>
      <c r="O76" s="1">
        <v>0</v>
      </c>
      <c r="P76" s="1">
        <v>0</v>
      </c>
      <c r="Q76" s="1" t="str">
        <f>"F6700647"</f>
        <v>F6700647</v>
      </c>
      <c r="R76" s="1" t="str">
        <f t="shared" si="25"/>
        <v>0604291857</v>
      </c>
      <c r="S76" t="s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2016-08-04T08:12:12Z</dcterms:modified>
</cp:coreProperties>
</file>