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importData\当日成交\"/>
    </mc:Choice>
  </mc:AlternateContent>
  <bookViews>
    <workbookView xWindow="0" yWindow="0" windowWidth="28800" windowHeight="12585"/>
  </bookViews>
  <sheets>
    <sheet name="当日成交--国泰普通.xlsx" sheetId="1" r:id="rId1"/>
  </sheets>
  <calcPr calcId="0"/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A2" i="1"/>
  <c r="B2" i="1"/>
  <c r="C2" i="1"/>
  <c r="D2" i="1"/>
  <c r="E2" i="1"/>
  <c r="H2" i="1"/>
  <c r="L2" i="1"/>
  <c r="M2" i="1"/>
  <c r="N2" i="1"/>
  <c r="A3" i="1"/>
  <c r="B3" i="1"/>
  <c r="C3" i="1"/>
  <c r="D3" i="1"/>
  <c r="E3" i="1"/>
  <c r="H3" i="1"/>
  <c r="L3" i="1"/>
  <c r="M3" i="1"/>
  <c r="N3" i="1"/>
  <c r="A4" i="1"/>
  <c r="B4" i="1"/>
  <c r="C4" i="1"/>
  <c r="D4" i="1"/>
  <c r="E4" i="1"/>
  <c r="H4" i="1"/>
  <c r="L4" i="1"/>
  <c r="M4" i="1"/>
  <c r="N4" i="1"/>
  <c r="A5" i="1"/>
  <c r="B5" i="1"/>
  <c r="C5" i="1"/>
  <c r="D5" i="1"/>
  <c r="E5" i="1"/>
  <c r="H5" i="1"/>
  <c r="L5" i="1"/>
  <c r="M5" i="1"/>
  <c r="N5" i="1"/>
  <c r="A6" i="1"/>
  <c r="B6" i="1"/>
  <c r="C6" i="1"/>
  <c r="D6" i="1"/>
  <c r="E6" i="1"/>
  <c r="H6" i="1"/>
  <c r="L6" i="1"/>
  <c r="M6" i="1"/>
  <c r="N6" i="1"/>
  <c r="A7" i="1"/>
  <c r="B7" i="1"/>
  <c r="C7" i="1"/>
  <c r="D7" i="1"/>
  <c r="E7" i="1"/>
  <c r="H7" i="1"/>
  <c r="L7" i="1"/>
  <c r="M7" i="1"/>
  <c r="N7" i="1"/>
  <c r="A8" i="1"/>
  <c r="B8" i="1"/>
  <c r="C8" i="1"/>
  <c r="D8" i="1"/>
  <c r="E8" i="1"/>
  <c r="H8" i="1"/>
  <c r="L8" i="1"/>
  <c r="M8" i="1"/>
  <c r="N8" i="1"/>
  <c r="A9" i="1"/>
  <c r="B9" i="1"/>
  <c r="C9" i="1"/>
  <c r="D9" i="1"/>
  <c r="E9" i="1"/>
  <c r="H9" i="1"/>
  <c r="L9" i="1"/>
  <c r="M9" i="1"/>
  <c r="N9" i="1"/>
  <c r="A10" i="1"/>
  <c r="B10" i="1"/>
  <c r="C10" i="1"/>
  <c r="D10" i="1"/>
  <c r="E10" i="1"/>
  <c r="H10" i="1"/>
  <c r="L10" i="1"/>
  <c r="M10" i="1"/>
  <c r="N10" i="1"/>
  <c r="A11" i="1"/>
  <c r="B11" i="1"/>
  <c r="C11" i="1"/>
  <c r="D11" i="1"/>
  <c r="E11" i="1"/>
  <c r="H11" i="1"/>
  <c r="L11" i="1"/>
  <c r="M11" i="1"/>
  <c r="N11" i="1"/>
  <c r="A12" i="1"/>
  <c r="B12" i="1"/>
  <c r="C12" i="1"/>
  <c r="D12" i="1"/>
  <c r="E12" i="1"/>
  <c r="H12" i="1"/>
  <c r="L12" i="1"/>
  <c r="M12" i="1"/>
  <c r="N12" i="1"/>
  <c r="A13" i="1"/>
  <c r="B13" i="1"/>
  <c r="C13" i="1"/>
  <c r="D13" i="1"/>
  <c r="E13" i="1"/>
  <c r="H13" i="1"/>
  <c r="L13" i="1"/>
  <c r="M13" i="1"/>
  <c r="N13" i="1"/>
  <c r="A14" i="1"/>
  <c r="B14" i="1"/>
  <c r="C14" i="1"/>
  <c r="D14" i="1"/>
  <c r="E14" i="1"/>
  <c r="H14" i="1"/>
  <c r="L14" i="1"/>
  <c r="M14" i="1"/>
  <c r="N14" i="1"/>
  <c r="A15" i="1"/>
  <c r="B15" i="1"/>
  <c r="C15" i="1"/>
  <c r="D15" i="1"/>
  <c r="E15" i="1"/>
  <c r="H15" i="1"/>
  <c r="L15" i="1"/>
  <c r="M15" i="1"/>
  <c r="N15" i="1"/>
  <c r="A16" i="1"/>
  <c r="B16" i="1"/>
  <c r="C16" i="1"/>
  <c r="D16" i="1"/>
  <c r="E16" i="1"/>
  <c r="H16" i="1"/>
  <c r="L16" i="1"/>
  <c r="M16" i="1"/>
  <c r="N16" i="1"/>
  <c r="A17" i="1"/>
  <c r="B17" i="1"/>
  <c r="C17" i="1"/>
  <c r="D17" i="1"/>
  <c r="E17" i="1"/>
  <c r="H17" i="1"/>
  <c r="L17" i="1"/>
  <c r="M17" i="1"/>
  <c r="N17" i="1"/>
  <c r="A18" i="1"/>
  <c r="B18" i="1"/>
  <c r="C18" i="1"/>
  <c r="D18" i="1"/>
  <c r="E18" i="1"/>
  <c r="H18" i="1"/>
  <c r="L18" i="1"/>
  <c r="M18" i="1"/>
  <c r="N18" i="1"/>
  <c r="A19" i="1"/>
  <c r="B19" i="1"/>
  <c r="C19" i="1"/>
  <c r="D19" i="1"/>
  <c r="E19" i="1"/>
  <c r="H19" i="1"/>
  <c r="L19" i="1"/>
  <c r="M19" i="1"/>
  <c r="N19" i="1"/>
  <c r="A20" i="1"/>
  <c r="B20" i="1"/>
  <c r="C20" i="1"/>
  <c r="D20" i="1"/>
  <c r="E20" i="1"/>
  <c r="H20" i="1"/>
  <c r="L20" i="1"/>
  <c r="M20" i="1"/>
  <c r="N20" i="1"/>
  <c r="A21" i="1"/>
  <c r="B21" i="1"/>
  <c r="C21" i="1"/>
  <c r="D21" i="1"/>
  <c r="E21" i="1"/>
  <c r="H21" i="1"/>
  <c r="L21" i="1"/>
  <c r="M21" i="1"/>
  <c r="N21" i="1"/>
  <c r="A22" i="1"/>
  <c r="B22" i="1"/>
  <c r="C22" i="1"/>
  <c r="D22" i="1"/>
  <c r="E22" i="1"/>
  <c r="H22" i="1"/>
  <c r="L22" i="1"/>
  <c r="M22" i="1"/>
  <c r="N22" i="1"/>
  <c r="A23" i="1"/>
  <c r="B23" i="1"/>
  <c r="C23" i="1"/>
  <c r="D23" i="1"/>
  <c r="E23" i="1"/>
  <c r="H23" i="1"/>
  <c r="L23" i="1"/>
  <c r="M23" i="1"/>
  <c r="N23" i="1"/>
  <c r="A24" i="1"/>
  <c r="B24" i="1"/>
  <c r="C24" i="1"/>
  <c r="D24" i="1"/>
  <c r="E24" i="1"/>
  <c r="H24" i="1"/>
  <c r="L24" i="1"/>
  <c r="M24" i="1"/>
  <c r="N24" i="1"/>
  <c r="A25" i="1"/>
  <c r="B25" i="1"/>
  <c r="C25" i="1"/>
  <c r="D25" i="1"/>
  <c r="E25" i="1"/>
  <c r="H25" i="1"/>
  <c r="L25" i="1"/>
  <c r="M25" i="1"/>
  <c r="N25" i="1"/>
  <c r="A26" i="1"/>
  <c r="B26" i="1"/>
  <c r="C26" i="1"/>
  <c r="D26" i="1"/>
  <c r="E26" i="1"/>
  <c r="H26" i="1"/>
  <c r="L26" i="1"/>
  <c r="M26" i="1"/>
  <c r="N26" i="1"/>
  <c r="A27" i="1"/>
  <c r="B27" i="1"/>
  <c r="C27" i="1"/>
  <c r="D27" i="1"/>
  <c r="E27" i="1"/>
  <c r="H27" i="1"/>
  <c r="L27" i="1"/>
  <c r="M27" i="1"/>
  <c r="N27" i="1"/>
  <c r="A28" i="1"/>
  <c r="B28" i="1"/>
  <c r="C28" i="1"/>
  <c r="D28" i="1"/>
  <c r="E28" i="1"/>
  <c r="H28" i="1"/>
  <c r="L28" i="1"/>
  <c r="M28" i="1"/>
  <c r="N28" i="1"/>
  <c r="A29" i="1"/>
  <c r="B29" i="1"/>
  <c r="C29" i="1"/>
  <c r="D29" i="1"/>
  <c r="E29" i="1"/>
  <c r="H29" i="1"/>
  <c r="L29" i="1"/>
  <c r="M29" i="1"/>
  <c r="N29" i="1"/>
  <c r="A30" i="1"/>
  <c r="B30" i="1"/>
  <c r="C30" i="1"/>
  <c r="D30" i="1"/>
  <c r="E30" i="1"/>
  <c r="H30" i="1"/>
  <c r="L30" i="1"/>
  <c r="M30" i="1"/>
  <c r="N30" i="1"/>
  <c r="A31" i="1"/>
  <c r="B31" i="1"/>
  <c r="C31" i="1"/>
  <c r="D31" i="1"/>
  <c r="E31" i="1"/>
  <c r="H31" i="1"/>
  <c r="L31" i="1"/>
  <c r="M31" i="1"/>
  <c r="N31" i="1"/>
  <c r="A32" i="1"/>
  <c r="B32" i="1"/>
  <c r="C32" i="1"/>
  <c r="D32" i="1"/>
  <c r="E32" i="1"/>
  <c r="H32" i="1"/>
  <c r="L32" i="1"/>
  <c r="M32" i="1"/>
  <c r="N32" i="1"/>
  <c r="A33" i="1"/>
  <c r="B33" i="1"/>
  <c r="C33" i="1"/>
  <c r="D33" i="1"/>
  <c r="E33" i="1"/>
  <c r="H33" i="1"/>
  <c r="L33" i="1"/>
  <c r="M33" i="1"/>
  <c r="N33" i="1"/>
  <c r="A34" i="1"/>
  <c r="B34" i="1"/>
  <c r="C34" i="1"/>
  <c r="D34" i="1"/>
  <c r="E34" i="1"/>
  <c r="H34" i="1"/>
  <c r="L34" i="1"/>
  <c r="M34" i="1"/>
  <c r="N34" i="1"/>
  <c r="A35" i="1"/>
  <c r="B35" i="1"/>
  <c r="C35" i="1"/>
  <c r="D35" i="1"/>
  <c r="E35" i="1"/>
  <c r="H35" i="1"/>
  <c r="L35" i="1"/>
  <c r="M35" i="1"/>
  <c r="N35" i="1"/>
  <c r="A36" i="1"/>
  <c r="B36" i="1"/>
  <c r="C36" i="1"/>
  <c r="D36" i="1"/>
  <c r="E36" i="1"/>
  <c r="H36" i="1"/>
  <c r="L36" i="1"/>
  <c r="M36" i="1"/>
  <c r="N36" i="1"/>
  <c r="A37" i="1"/>
  <c r="B37" i="1"/>
  <c r="C37" i="1"/>
  <c r="D37" i="1"/>
  <c r="E37" i="1"/>
  <c r="H37" i="1"/>
  <c r="L37" i="1"/>
  <c r="M37" i="1"/>
  <c r="N37" i="1"/>
  <c r="A38" i="1"/>
  <c r="B38" i="1"/>
  <c r="C38" i="1"/>
  <c r="D38" i="1"/>
  <c r="E38" i="1"/>
  <c r="H38" i="1"/>
  <c r="L38" i="1"/>
  <c r="M38" i="1"/>
  <c r="N38" i="1"/>
  <c r="A39" i="1"/>
  <c r="B39" i="1"/>
  <c r="C39" i="1"/>
  <c r="D39" i="1"/>
  <c r="E39" i="1"/>
  <c r="H39" i="1"/>
  <c r="L39" i="1"/>
  <c r="M39" i="1"/>
  <c r="N39" i="1"/>
  <c r="A40" i="1"/>
  <c r="B40" i="1"/>
  <c r="C40" i="1"/>
  <c r="D40" i="1"/>
  <c r="E40" i="1"/>
  <c r="H40" i="1"/>
  <c r="L40" i="1"/>
  <c r="M40" i="1"/>
  <c r="N40" i="1"/>
  <c r="A41" i="1"/>
  <c r="B41" i="1"/>
  <c r="C41" i="1"/>
  <c r="D41" i="1"/>
  <c r="E41" i="1"/>
  <c r="H41" i="1"/>
  <c r="L41" i="1"/>
  <c r="M41" i="1"/>
  <c r="N41" i="1"/>
  <c r="A42" i="1"/>
  <c r="B42" i="1"/>
  <c r="C42" i="1"/>
  <c r="D42" i="1"/>
  <c r="E42" i="1"/>
  <c r="H42" i="1"/>
  <c r="L42" i="1"/>
  <c r="M42" i="1"/>
  <c r="N42" i="1"/>
  <c r="A43" i="1"/>
  <c r="B43" i="1"/>
  <c r="C43" i="1"/>
  <c r="D43" i="1"/>
  <c r="E43" i="1"/>
  <c r="H43" i="1"/>
  <c r="L43" i="1"/>
  <c r="M43" i="1"/>
  <c r="N43" i="1"/>
  <c r="A44" i="1"/>
  <c r="B44" i="1"/>
  <c r="C44" i="1"/>
  <c r="D44" i="1"/>
  <c r="E44" i="1"/>
  <c r="H44" i="1"/>
  <c r="L44" i="1"/>
  <c r="M44" i="1"/>
  <c r="N44" i="1"/>
  <c r="A45" i="1"/>
  <c r="B45" i="1"/>
  <c r="C45" i="1"/>
  <c r="D45" i="1"/>
  <c r="E45" i="1"/>
  <c r="H45" i="1"/>
  <c r="L45" i="1"/>
  <c r="M45" i="1"/>
  <c r="N45" i="1"/>
  <c r="A46" i="1"/>
  <c r="B46" i="1"/>
  <c r="C46" i="1"/>
  <c r="D46" i="1"/>
  <c r="E46" i="1"/>
  <c r="H46" i="1"/>
  <c r="L46" i="1"/>
  <c r="M46" i="1"/>
  <c r="N46" i="1"/>
  <c r="A47" i="1"/>
  <c r="B47" i="1"/>
  <c r="C47" i="1"/>
  <c r="D47" i="1"/>
  <c r="E47" i="1"/>
  <c r="H47" i="1"/>
  <c r="L47" i="1"/>
  <c r="M47" i="1"/>
  <c r="N47" i="1"/>
  <c r="A48" i="1"/>
  <c r="B48" i="1"/>
  <c r="C48" i="1"/>
  <c r="D48" i="1"/>
  <c r="E48" i="1"/>
  <c r="H48" i="1"/>
  <c r="L48" i="1"/>
  <c r="M48" i="1"/>
  <c r="N48" i="1"/>
  <c r="A49" i="1"/>
  <c r="B49" i="1"/>
  <c r="C49" i="1"/>
  <c r="D49" i="1"/>
  <c r="E49" i="1"/>
  <c r="H49" i="1"/>
  <c r="L49" i="1"/>
  <c r="M49" i="1"/>
  <c r="N49" i="1"/>
  <c r="A50" i="1"/>
  <c r="B50" i="1"/>
  <c r="C50" i="1"/>
  <c r="D50" i="1"/>
  <c r="E50" i="1"/>
  <c r="H50" i="1"/>
  <c r="L50" i="1"/>
  <c r="M50" i="1"/>
  <c r="N50" i="1"/>
  <c r="A51" i="1"/>
  <c r="B51" i="1"/>
  <c r="C51" i="1"/>
  <c r="D51" i="1"/>
  <c r="E51" i="1"/>
  <c r="H51" i="1"/>
  <c r="L51" i="1"/>
  <c r="M51" i="1"/>
  <c r="N51" i="1"/>
  <c r="A52" i="1"/>
  <c r="B52" i="1"/>
  <c r="C52" i="1"/>
  <c r="D52" i="1"/>
  <c r="E52" i="1"/>
  <c r="H52" i="1"/>
  <c r="L52" i="1"/>
  <c r="M52" i="1"/>
  <c r="N52" i="1"/>
  <c r="A53" i="1"/>
  <c r="B53" i="1"/>
  <c r="C53" i="1"/>
  <c r="D53" i="1"/>
  <c r="E53" i="1"/>
  <c r="H53" i="1"/>
  <c r="L53" i="1"/>
  <c r="M53" i="1"/>
  <c r="N53" i="1"/>
  <c r="A54" i="1"/>
  <c r="B54" i="1"/>
  <c r="C54" i="1"/>
  <c r="D54" i="1"/>
  <c r="E54" i="1"/>
  <c r="H54" i="1"/>
  <c r="L54" i="1"/>
  <c r="M54" i="1"/>
  <c r="N54" i="1"/>
  <c r="A55" i="1"/>
  <c r="B55" i="1"/>
  <c r="C55" i="1"/>
  <c r="D55" i="1"/>
  <c r="E55" i="1"/>
  <c r="H55" i="1"/>
  <c r="L55" i="1"/>
  <c r="M55" i="1"/>
  <c r="N55" i="1"/>
  <c r="A56" i="1"/>
  <c r="B56" i="1"/>
  <c r="C56" i="1"/>
  <c r="D56" i="1"/>
  <c r="E56" i="1"/>
  <c r="H56" i="1"/>
  <c r="L56" i="1"/>
  <c r="M56" i="1"/>
  <c r="N56" i="1"/>
  <c r="A57" i="1"/>
  <c r="B57" i="1"/>
  <c r="C57" i="1"/>
  <c r="D57" i="1"/>
  <c r="E57" i="1"/>
  <c r="H57" i="1"/>
  <c r="L57" i="1"/>
  <c r="M57" i="1"/>
  <c r="N57" i="1"/>
  <c r="A58" i="1"/>
  <c r="B58" i="1"/>
  <c r="C58" i="1"/>
  <c r="D58" i="1"/>
  <c r="E58" i="1"/>
  <c r="H58" i="1"/>
  <c r="L58" i="1"/>
  <c r="M58" i="1"/>
  <c r="N58" i="1"/>
  <c r="A59" i="1"/>
  <c r="B59" i="1"/>
  <c r="C59" i="1"/>
  <c r="D59" i="1"/>
  <c r="E59" i="1"/>
  <c r="H59" i="1"/>
  <c r="L59" i="1"/>
  <c r="M59" i="1"/>
  <c r="N59" i="1"/>
  <c r="A60" i="1"/>
  <c r="B60" i="1"/>
  <c r="C60" i="1"/>
  <c r="D60" i="1"/>
  <c r="E60" i="1"/>
  <c r="H60" i="1"/>
  <c r="L60" i="1"/>
  <c r="M60" i="1"/>
  <c r="N60" i="1"/>
  <c r="A61" i="1"/>
  <c r="B61" i="1"/>
  <c r="C61" i="1"/>
  <c r="D61" i="1"/>
  <c r="E61" i="1"/>
  <c r="H61" i="1"/>
  <c r="L61" i="1"/>
  <c r="M61" i="1"/>
  <c r="N61" i="1"/>
  <c r="A62" i="1"/>
  <c r="B62" i="1"/>
  <c r="C62" i="1"/>
  <c r="D62" i="1"/>
  <c r="E62" i="1"/>
  <c r="H62" i="1"/>
  <c r="L62" i="1"/>
  <c r="M62" i="1"/>
  <c r="N62" i="1"/>
  <c r="A63" i="1"/>
  <c r="B63" i="1"/>
  <c r="C63" i="1"/>
  <c r="D63" i="1"/>
  <c r="E63" i="1"/>
  <c r="H63" i="1"/>
  <c r="L63" i="1"/>
  <c r="M63" i="1"/>
  <c r="N63" i="1"/>
  <c r="A64" i="1"/>
  <c r="B64" i="1"/>
  <c r="C64" i="1"/>
  <c r="D64" i="1"/>
  <c r="E64" i="1"/>
  <c r="H64" i="1"/>
  <c r="L64" i="1"/>
  <c r="M64" i="1"/>
  <c r="N64" i="1"/>
  <c r="A65" i="1"/>
  <c r="B65" i="1"/>
  <c r="C65" i="1"/>
  <c r="D65" i="1"/>
  <c r="E65" i="1"/>
  <c r="H65" i="1"/>
  <c r="L65" i="1"/>
  <c r="M65" i="1"/>
  <c r="N65" i="1"/>
  <c r="A66" i="1"/>
  <c r="B66" i="1"/>
  <c r="C66" i="1"/>
  <c r="D66" i="1"/>
  <c r="E66" i="1"/>
  <c r="H66" i="1"/>
  <c r="L66" i="1"/>
  <c r="M66" i="1"/>
  <c r="N66" i="1"/>
  <c r="A67" i="1"/>
  <c r="B67" i="1"/>
  <c r="C67" i="1"/>
  <c r="D67" i="1"/>
  <c r="E67" i="1"/>
  <c r="H67" i="1"/>
  <c r="L67" i="1"/>
  <c r="M67" i="1"/>
  <c r="N67" i="1"/>
  <c r="A68" i="1"/>
  <c r="B68" i="1"/>
  <c r="C68" i="1"/>
  <c r="D68" i="1"/>
  <c r="E68" i="1"/>
  <c r="H68" i="1"/>
  <c r="L68" i="1"/>
  <c r="M68" i="1"/>
  <c r="N68" i="1"/>
  <c r="A69" i="1"/>
  <c r="B69" i="1"/>
  <c r="C69" i="1"/>
  <c r="D69" i="1"/>
  <c r="E69" i="1"/>
  <c r="H69" i="1"/>
  <c r="L69" i="1"/>
  <c r="M69" i="1"/>
  <c r="N69" i="1"/>
  <c r="A70" i="1"/>
  <c r="B70" i="1"/>
  <c r="C70" i="1"/>
  <c r="D70" i="1"/>
  <c r="E70" i="1"/>
  <c r="H70" i="1"/>
  <c r="L70" i="1"/>
  <c r="M70" i="1"/>
  <c r="N70" i="1"/>
  <c r="A71" i="1"/>
  <c r="B71" i="1"/>
  <c r="C71" i="1"/>
  <c r="D71" i="1"/>
  <c r="E71" i="1"/>
  <c r="H71" i="1"/>
  <c r="L71" i="1"/>
  <c r="M71" i="1"/>
  <c r="N71" i="1"/>
  <c r="A72" i="1"/>
  <c r="B72" i="1"/>
  <c r="C72" i="1"/>
  <c r="D72" i="1"/>
  <c r="E72" i="1"/>
  <c r="H72" i="1"/>
  <c r="L72" i="1"/>
  <c r="M72" i="1"/>
  <c r="N72" i="1"/>
  <c r="A73" i="1"/>
  <c r="B73" i="1"/>
  <c r="C73" i="1"/>
  <c r="D73" i="1"/>
  <c r="E73" i="1"/>
  <c r="H73" i="1"/>
  <c r="L73" i="1"/>
  <c r="M73" i="1"/>
  <c r="N73" i="1"/>
  <c r="A74" i="1"/>
  <c r="B74" i="1"/>
  <c r="C74" i="1"/>
  <c r="D74" i="1"/>
  <c r="E74" i="1"/>
  <c r="H74" i="1"/>
  <c r="L74" i="1"/>
  <c r="M74" i="1"/>
  <c r="N74" i="1"/>
  <c r="A75" i="1"/>
  <c r="B75" i="1"/>
  <c r="C75" i="1"/>
  <c r="D75" i="1"/>
  <c r="E75" i="1"/>
  <c r="H75" i="1"/>
  <c r="L75" i="1"/>
  <c r="M75" i="1"/>
  <c r="N75" i="1"/>
  <c r="A76" i="1"/>
  <c r="B76" i="1"/>
  <c r="C76" i="1"/>
  <c r="D76" i="1"/>
  <c r="E76" i="1"/>
  <c r="H76" i="1"/>
  <c r="L76" i="1"/>
  <c r="M76" i="1"/>
  <c r="N76" i="1"/>
  <c r="A77" i="1"/>
  <c r="B77" i="1"/>
  <c r="C77" i="1"/>
  <c r="D77" i="1"/>
  <c r="E77" i="1"/>
  <c r="H77" i="1"/>
  <c r="L77" i="1"/>
  <c r="M77" i="1"/>
  <c r="N77" i="1"/>
  <c r="A78" i="1"/>
  <c r="B78" i="1"/>
  <c r="C78" i="1"/>
  <c r="D78" i="1"/>
  <c r="E78" i="1"/>
  <c r="H78" i="1"/>
  <c r="L78" i="1"/>
  <c r="M78" i="1"/>
  <c r="N78" i="1"/>
  <c r="A79" i="1"/>
  <c r="B79" i="1"/>
  <c r="C79" i="1"/>
  <c r="D79" i="1"/>
  <c r="E79" i="1"/>
  <c r="H79" i="1"/>
  <c r="L79" i="1"/>
  <c r="M79" i="1"/>
  <c r="N79" i="1"/>
  <c r="A80" i="1"/>
  <c r="B80" i="1"/>
  <c r="C80" i="1"/>
  <c r="D80" i="1"/>
  <c r="E80" i="1"/>
  <c r="H80" i="1"/>
  <c r="L80" i="1"/>
  <c r="M80" i="1"/>
  <c r="N80" i="1"/>
  <c r="A81" i="1"/>
  <c r="B81" i="1"/>
  <c r="C81" i="1"/>
  <c r="D81" i="1"/>
  <c r="E81" i="1"/>
  <c r="H81" i="1"/>
  <c r="L81" i="1"/>
  <c r="M81" i="1"/>
  <c r="N81" i="1"/>
  <c r="A82" i="1"/>
  <c r="B82" i="1"/>
  <c r="C82" i="1"/>
  <c r="D82" i="1"/>
  <c r="E82" i="1"/>
  <c r="H82" i="1"/>
  <c r="L82" i="1"/>
  <c r="M82" i="1"/>
  <c r="N82" i="1"/>
  <c r="A83" i="1"/>
  <c r="B83" i="1"/>
  <c r="C83" i="1"/>
  <c r="D83" i="1"/>
  <c r="E83" i="1"/>
  <c r="H83" i="1"/>
  <c r="L83" i="1"/>
  <c r="M83" i="1"/>
  <c r="N83" i="1"/>
  <c r="A84" i="1"/>
  <c r="B84" i="1"/>
  <c r="C84" i="1"/>
  <c r="D84" i="1"/>
  <c r="E84" i="1"/>
  <c r="H84" i="1"/>
  <c r="L84" i="1"/>
  <c r="M84" i="1"/>
  <c r="N84" i="1"/>
  <c r="A85" i="1"/>
  <c r="B85" i="1"/>
  <c r="C85" i="1"/>
  <c r="D85" i="1"/>
  <c r="E85" i="1"/>
  <c r="H85" i="1"/>
  <c r="L85" i="1"/>
  <c r="M85" i="1"/>
  <c r="N85" i="1"/>
  <c r="A86" i="1"/>
  <c r="B86" i="1"/>
  <c r="C86" i="1"/>
  <c r="D86" i="1"/>
  <c r="E86" i="1"/>
  <c r="H86" i="1"/>
  <c r="L86" i="1"/>
  <c r="M86" i="1"/>
  <c r="N86" i="1"/>
  <c r="A87" i="1"/>
  <c r="B87" i="1"/>
  <c r="C87" i="1"/>
  <c r="D87" i="1"/>
  <c r="E87" i="1"/>
  <c r="H87" i="1"/>
  <c r="L87" i="1"/>
  <c r="M87" i="1"/>
  <c r="N87" i="1"/>
  <c r="A88" i="1"/>
  <c r="B88" i="1"/>
  <c r="C88" i="1"/>
  <c r="D88" i="1"/>
  <c r="E88" i="1"/>
  <c r="H88" i="1"/>
  <c r="L88" i="1"/>
  <c r="M88" i="1"/>
  <c r="N88" i="1"/>
  <c r="A89" i="1"/>
  <c r="B89" i="1"/>
  <c r="C89" i="1"/>
  <c r="D89" i="1"/>
  <c r="E89" i="1"/>
  <c r="H89" i="1"/>
  <c r="L89" i="1"/>
  <c r="M89" i="1"/>
  <c r="N89" i="1"/>
  <c r="A90" i="1"/>
  <c r="B90" i="1"/>
  <c r="C90" i="1"/>
  <c r="D90" i="1"/>
  <c r="E90" i="1"/>
  <c r="H90" i="1"/>
  <c r="L90" i="1"/>
  <c r="M90" i="1"/>
  <c r="N90" i="1"/>
  <c r="A91" i="1"/>
  <c r="B91" i="1"/>
  <c r="C91" i="1"/>
  <c r="D91" i="1"/>
  <c r="E91" i="1"/>
  <c r="H91" i="1"/>
  <c r="L91" i="1"/>
  <c r="M91" i="1"/>
  <c r="N91" i="1"/>
  <c r="A92" i="1"/>
  <c r="B92" i="1"/>
  <c r="C92" i="1"/>
  <c r="D92" i="1"/>
  <c r="E92" i="1"/>
  <c r="H92" i="1"/>
  <c r="L92" i="1"/>
  <c r="M92" i="1"/>
  <c r="N92" i="1"/>
  <c r="A93" i="1"/>
  <c r="B93" i="1"/>
  <c r="C93" i="1"/>
  <c r="D93" i="1"/>
  <c r="E93" i="1"/>
  <c r="H93" i="1"/>
  <c r="L93" i="1"/>
  <c r="M93" i="1"/>
  <c r="N93" i="1"/>
  <c r="A94" i="1"/>
  <c r="B94" i="1"/>
  <c r="C94" i="1"/>
  <c r="D94" i="1"/>
  <c r="E94" i="1"/>
  <c r="H94" i="1"/>
  <c r="L94" i="1"/>
  <c r="M94" i="1"/>
  <c r="N94" i="1"/>
  <c r="A95" i="1"/>
  <c r="B95" i="1"/>
  <c r="C95" i="1"/>
  <c r="D95" i="1"/>
  <c r="E95" i="1"/>
  <c r="H95" i="1"/>
  <c r="L95" i="1"/>
  <c r="M95" i="1"/>
  <c r="N95" i="1"/>
  <c r="A96" i="1"/>
  <c r="B96" i="1"/>
  <c r="C96" i="1"/>
  <c r="D96" i="1"/>
  <c r="E96" i="1"/>
  <c r="H96" i="1"/>
  <c r="L96" i="1"/>
  <c r="M96" i="1"/>
  <c r="N96" i="1"/>
  <c r="A97" i="1"/>
  <c r="B97" i="1"/>
  <c r="C97" i="1"/>
  <c r="D97" i="1"/>
  <c r="E97" i="1"/>
  <c r="H97" i="1"/>
  <c r="L97" i="1"/>
  <c r="M97" i="1"/>
  <c r="N97" i="1"/>
  <c r="A98" i="1"/>
  <c r="B98" i="1"/>
  <c r="C98" i="1"/>
  <c r="D98" i="1"/>
  <c r="E98" i="1"/>
  <c r="H98" i="1"/>
  <c r="L98" i="1"/>
  <c r="M98" i="1"/>
  <c r="N98" i="1"/>
  <c r="A99" i="1"/>
  <c r="B99" i="1"/>
  <c r="C99" i="1"/>
  <c r="D99" i="1"/>
  <c r="E99" i="1"/>
  <c r="H99" i="1"/>
  <c r="L99" i="1"/>
  <c r="M99" i="1"/>
  <c r="N99" i="1"/>
  <c r="A100" i="1"/>
  <c r="B100" i="1"/>
  <c r="C100" i="1"/>
  <c r="D100" i="1"/>
  <c r="E100" i="1"/>
  <c r="H100" i="1"/>
  <c r="L100" i="1"/>
  <c r="M100" i="1"/>
  <c r="N100" i="1"/>
  <c r="A101" i="1"/>
  <c r="B101" i="1"/>
  <c r="C101" i="1"/>
  <c r="D101" i="1"/>
  <c r="E101" i="1"/>
  <c r="H101" i="1"/>
  <c r="L101" i="1"/>
  <c r="M101" i="1"/>
  <c r="N101" i="1"/>
  <c r="A102" i="1"/>
  <c r="B102" i="1"/>
  <c r="C102" i="1"/>
  <c r="D102" i="1"/>
  <c r="E102" i="1"/>
  <c r="H102" i="1"/>
  <c r="L102" i="1"/>
  <c r="M102" i="1"/>
  <c r="N102" i="1"/>
  <c r="A103" i="1"/>
  <c r="B103" i="1"/>
  <c r="C103" i="1"/>
  <c r="D103" i="1"/>
  <c r="E103" i="1"/>
  <c r="H103" i="1"/>
  <c r="L103" i="1"/>
  <c r="M103" i="1"/>
  <c r="N103" i="1"/>
  <c r="A104" i="1"/>
  <c r="B104" i="1"/>
  <c r="C104" i="1"/>
  <c r="D104" i="1"/>
  <c r="E104" i="1"/>
  <c r="H104" i="1"/>
  <c r="L104" i="1"/>
  <c r="M104" i="1"/>
  <c r="N104" i="1"/>
  <c r="A105" i="1"/>
  <c r="B105" i="1"/>
  <c r="C105" i="1"/>
  <c r="D105" i="1"/>
  <c r="E105" i="1"/>
  <c r="H105" i="1"/>
  <c r="L105" i="1"/>
  <c r="M105" i="1"/>
  <c r="N105" i="1"/>
  <c r="A106" i="1"/>
  <c r="B106" i="1"/>
  <c r="C106" i="1"/>
  <c r="D106" i="1"/>
  <c r="E106" i="1"/>
  <c r="H106" i="1"/>
  <c r="L106" i="1"/>
  <c r="M106" i="1"/>
  <c r="N106" i="1"/>
  <c r="A107" i="1"/>
  <c r="B107" i="1"/>
  <c r="C107" i="1"/>
  <c r="D107" i="1"/>
  <c r="E107" i="1"/>
  <c r="H107" i="1"/>
  <c r="L107" i="1"/>
  <c r="M107" i="1"/>
  <c r="N107" i="1"/>
  <c r="A108" i="1"/>
  <c r="B108" i="1"/>
  <c r="C108" i="1"/>
  <c r="D108" i="1"/>
  <c r="E108" i="1"/>
  <c r="H108" i="1"/>
  <c r="L108" i="1"/>
  <c r="M108" i="1"/>
  <c r="N108" i="1"/>
  <c r="A109" i="1"/>
  <c r="B109" i="1"/>
  <c r="C109" i="1"/>
  <c r="D109" i="1"/>
  <c r="E109" i="1"/>
  <c r="H109" i="1"/>
  <c r="L109" i="1"/>
  <c r="M109" i="1"/>
  <c r="N109" i="1"/>
  <c r="A110" i="1"/>
  <c r="B110" i="1"/>
  <c r="C110" i="1"/>
  <c r="D110" i="1"/>
  <c r="E110" i="1"/>
  <c r="H110" i="1"/>
  <c r="L110" i="1"/>
  <c r="M110" i="1"/>
  <c r="N110" i="1"/>
  <c r="A111" i="1"/>
  <c r="B111" i="1"/>
  <c r="C111" i="1"/>
  <c r="D111" i="1"/>
  <c r="E111" i="1"/>
  <c r="H111" i="1"/>
  <c r="L111" i="1"/>
  <c r="M111" i="1"/>
  <c r="N111" i="1"/>
  <c r="A112" i="1"/>
  <c r="B112" i="1"/>
  <c r="C112" i="1"/>
  <c r="D112" i="1"/>
  <c r="E112" i="1"/>
  <c r="H112" i="1"/>
  <c r="L112" i="1"/>
  <c r="M112" i="1"/>
  <c r="N1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tabSelected="1" workbookViewId="0"/>
  </sheetViews>
  <sheetFormatPr defaultRowHeight="13.5" x14ac:dyDescent="0.15"/>
  <sheetData>
    <row r="1" spans="1:14" x14ac:dyDescent="0.15">
      <c r="A1" t="str">
        <f>"成交日期"</f>
        <v>成交日期</v>
      </c>
      <c r="B1" t="str">
        <f>"成交时间"</f>
        <v>成交时间</v>
      </c>
      <c r="C1" t="str">
        <f>"证券代码"</f>
        <v>证券代码</v>
      </c>
      <c r="D1" t="str">
        <f>"证券名称"</f>
        <v>证券名称</v>
      </c>
      <c r="E1" t="str">
        <f>"买卖标志"</f>
        <v>买卖标志</v>
      </c>
      <c r="F1" t="str">
        <f>"委托价格"</f>
        <v>委托价格</v>
      </c>
      <c r="G1" t="str">
        <f>"委托数量"</f>
        <v>委托数量</v>
      </c>
      <c r="H1" t="str">
        <f>"委托编号"</f>
        <v>委托编号</v>
      </c>
      <c r="I1" t="str">
        <f>"成交价格"</f>
        <v>成交价格</v>
      </c>
      <c r="J1" t="str">
        <f>"成交数量"</f>
        <v>成交数量</v>
      </c>
      <c r="K1" t="str">
        <f>"成交金额"</f>
        <v>成交金额</v>
      </c>
      <c r="L1" t="str">
        <f>"成交编号"</f>
        <v>成交编号</v>
      </c>
      <c r="M1" t="str">
        <f>"股东代码"</f>
        <v>股东代码</v>
      </c>
      <c r="N1" t="str">
        <f>"状态说明"</f>
        <v>状态说明</v>
      </c>
    </row>
    <row r="2" spans="1:14" x14ac:dyDescent="0.15">
      <c r="A2" t="str">
        <f t="shared" ref="A2:A33" si="0">"20160428"</f>
        <v>20160428</v>
      </c>
      <c r="B2" t="str">
        <f>"09:25:00"</f>
        <v>09:25:00</v>
      </c>
      <c r="C2" t="str">
        <f>"300010"</f>
        <v>300010</v>
      </c>
      <c r="D2" t="str">
        <f>"立思辰"</f>
        <v>立思辰</v>
      </c>
      <c r="E2" t="str">
        <f t="shared" ref="E2:E9" si="1">"证券卖出"</f>
        <v>证券卖出</v>
      </c>
      <c r="F2">
        <v>19.850000000000001</v>
      </c>
      <c r="G2">
        <v>3400</v>
      </c>
      <c r="H2" t="str">
        <f>"6834"</f>
        <v>6834</v>
      </c>
      <c r="I2">
        <v>19.88</v>
      </c>
      <c r="J2">
        <v>3400</v>
      </c>
      <c r="K2">
        <v>67592</v>
      </c>
      <c r="L2" t="str">
        <f>"00083207"</f>
        <v>00083207</v>
      </c>
      <c r="M2" t="str">
        <f>"0134985905"</f>
        <v>0134985905</v>
      </c>
      <c r="N2" t="str">
        <f t="shared" ref="N2:N33" si="2">"普通成交"</f>
        <v>普通成交</v>
      </c>
    </row>
    <row r="3" spans="1:14" x14ac:dyDescent="0.15">
      <c r="A3" t="str">
        <f t="shared" si="0"/>
        <v>20160428</v>
      </c>
      <c r="B3" t="str">
        <f>"09:30:00"</f>
        <v>09:30:00</v>
      </c>
      <c r="C3" t="str">
        <f>"002657"</f>
        <v>002657</v>
      </c>
      <c r="D3" t="str">
        <f>"中科金财"</f>
        <v>中科金财</v>
      </c>
      <c r="E3" t="str">
        <f t="shared" si="1"/>
        <v>证券卖出</v>
      </c>
      <c r="F3">
        <v>51.1</v>
      </c>
      <c r="G3">
        <v>500</v>
      </c>
      <c r="H3" t="str">
        <f>"7013"</f>
        <v>7013</v>
      </c>
      <c r="I3">
        <v>51.1</v>
      </c>
      <c r="J3">
        <v>500</v>
      </c>
      <c r="K3">
        <v>25550</v>
      </c>
      <c r="L3" t="str">
        <f>"00133980"</f>
        <v>00133980</v>
      </c>
      <c r="M3" t="str">
        <f>"0134985905"</f>
        <v>0134985905</v>
      </c>
      <c r="N3" t="str">
        <f t="shared" si="2"/>
        <v>普通成交</v>
      </c>
    </row>
    <row r="4" spans="1:14" x14ac:dyDescent="0.15">
      <c r="A4" t="str">
        <f t="shared" si="0"/>
        <v>20160428</v>
      </c>
      <c r="B4" t="str">
        <f>"09:30:01"</f>
        <v>09:30:01</v>
      </c>
      <c r="C4" t="str">
        <f>"600354"</f>
        <v>600354</v>
      </c>
      <c r="D4" t="str">
        <f>"敦煌种业"</f>
        <v>敦煌种业</v>
      </c>
      <c r="E4" t="str">
        <f t="shared" si="1"/>
        <v>证券卖出</v>
      </c>
      <c r="F4">
        <v>8.7200000000000006</v>
      </c>
      <c r="G4">
        <v>5400</v>
      </c>
      <c r="H4" t="str">
        <f>"6644"</f>
        <v>6644</v>
      </c>
      <c r="I4">
        <v>8.7200000000000006</v>
      </c>
      <c r="J4">
        <v>2500</v>
      </c>
      <c r="K4">
        <v>21800</v>
      </c>
      <c r="L4" t="str">
        <f>"45078"</f>
        <v>45078</v>
      </c>
      <c r="M4" t="str">
        <f>"A469141127"</f>
        <v>A469141127</v>
      </c>
      <c r="N4" t="str">
        <f t="shared" si="2"/>
        <v>普通成交</v>
      </c>
    </row>
    <row r="5" spans="1:14" x14ac:dyDescent="0.15">
      <c r="A5" t="str">
        <f t="shared" si="0"/>
        <v>20160428</v>
      </c>
      <c r="B5" t="str">
        <f>"09:31:36"</f>
        <v>09:31:36</v>
      </c>
      <c r="C5" t="str">
        <f>"603111"</f>
        <v>603111</v>
      </c>
      <c r="D5" t="str">
        <f>"康尼机电"</f>
        <v>康尼机电</v>
      </c>
      <c r="E5" t="str">
        <f t="shared" si="1"/>
        <v>证券卖出</v>
      </c>
      <c r="F5">
        <v>28.44</v>
      </c>
      <c r="G5">
        <v>1100</v>
      </c>
      <c r="H5" t="str">
        <f>"11190"</f>
        <v>11190</v>
      </c>
      <c r="I5">
        <v>28.44</v>
      </c>
      <c r="J5">
        <v>1100</v>
      </c>
      <c r="K5">
        <v>31284</v>
      </c>
      <c r="L5" t="str">
        <f>"172916"</f>
        <v>172916</v>
      </c>
      <c r="M5" t="str">
        <f>"A469141127"</f>
        <v>A469141127</v>
      </c>
      <c r="N5" t="str">
        <f t="shared" si="2"/>
        <v>普通成交</v>
      </c>
    </row>
    <row r="6" spans="1:14" x14ac:dyDescent="0.15">
      <c r="A6" t="str">
        <f t="shared" si="0"/>
        <v>20160428</v>
      </c>
      <c r="B6" t="str">
        <f>"09:31:48"</f>
        <v>09:31:48</v>
      </c>
      <c r="C6" t="str">
        <f>"300087"</f>
        <v>300087</v>
      </c>
      <c r="D6" t="str">
        <f>"荃银高科"</f>
        <v>荃银高科</v>
      </c>
      <c r="E6" t="str">
        <f t="shared" si="1"/>
        <v>证券卖出</v>
      </c>
      <c r="F6">
        <v>10.63</v>
      </c>
      <c r="G6">
        <v>5700</v>
      </c>
      <c r="H6" t="str">
        <f>"11628"</f>
        <v>11628</v>
      </c>
      <c r="I6">
        <v>10.63</v>
      </c>
      <c r="J6">
        <v>5700</v>
      </c>
      <c r="K6">
        <v>60591</v>
      </c>
      <c r="L6" t="str">
        <f>"00517508"</f>
        <v>00517508</v>
      </c>
      <c r="M6" t="str">
        <f>"0134985905"</f>
        <v>0134985905</v>
      </c>
      <c r="N6" t="str">
        <f t="shared" si="2"/>
        <v>普通成交</v>
      </c>
    </row>
    <row r="7" spans="1:14" x14ac:dyDescent="0.15">
      <c r="A7" t="str">
        <f t="shared" si="0"/>
        <v>20160428</v>
      </c>
      <c r="B7" t="str">
        <f>"09:32:53"</f>
        <v>09:32:53</v>
      </c>
      <c r="C7" t="str">
        <f>"300087"</f>
        <v>300087</v>
      </c>
      <c r="D7" t="str">
        <f>"荃银高科"</f>
        <v>荃银高科</v>
      </c>
      <c r="E7" t="str">
        <f t="shared" si="1"/>
        <v>证券卖出</v>
      </c>
      <c r="F7">
        <v>10.64</v>
      </c>
      <c r="G7">
        <v>5700</v>
      </c>
      <c r="H7" t="str">
        <f>"12653"</f>
        <v>12653</v>
      </c>
      <c r="I7">
        <v>10.64</v>
      </c>
      <c r="J7">
        <v>5700</v>
      </c>
      <c r="K7">
        <v>60648</v>
      </c>
      <c r="L7" t="str">
        <f>"00679054"</f>
        <v>00679054</v>
      </c>
      <c r="M7" t="str">
        <f>"0134985905"</f>
        <v>0134985905</v>
      </c>
      <c r="N7" t="str">
        <f t="shared" si="2"/>
        <v>普通成交</v>
      </c>
    </row>
    <row r="8" spans="1:14" x14ac:dyDescent="0.15">
      <c r="A8" t="str">
        <f t="shared" si="0"/>
        <v>20160428</v>
      </c>
      <c r="B8" t="str">
        <f>"09:33:11"</f>
        <v>09:33:11</v>
      </c>
      <c r="C8" t="str">
        <f>"600680"</f>
        <v>600680</v>
      </c>
      <c r="D8" t="str">
        <f>"上海普天"</f>
        <v>上海普天</v>
      </c>
      <c r="E8" t="str">
        <f t="shared" si="1"/>
        <v>证券卖出</v>
      </c>
      <c r="F8">
        <v>46.56</v>
      </c>
      <c r="G8">
        <v>2500</v>
      </c>
      <c r="H8" t="str">
        <f>"13199"</f>
        <v>13199</v>
      </c>
      <c r="I8">
        <v>46.56</v>
      </c>
      <c r="J8">
        <v>600</v>
      </c>
      <c r="K8">
        <v>27936</v>
      </c>
      <c r="L8" t="str">
        <f>"263346"</f>
        <v>263346</v>
      </c>
      <c r="M8" t="str">
        <f>"A469141127"</f>
        <v>A469141127</v>
      </c>
      <c r="N8" t="str">
        <f t="shared" si="2"/>
        <v>普通成交</v>
      </c>
    </row>
    <row r="9" spans="1:14" x14ac:dyDescent="0.15">
      <c r="A9" t="str">
        <f t="shared" si="0"/>
        <v>20160428</v>
      </c>
      <c r="B9" t="str">
        <f>"09:33:11"</f>
        <v>09:33:11</v>
      </c>
      <c r="C9" t="str">
        <f>"600680"</f>
        <v>600680</v>
      </c>
      <c r="D9" t="str">
        <f>"上海普天"</f>
        <v>上海普天</v>
      </c>
      <c r="E9" t="str">
        <f t="shared" si="1"/>
        <v>证券卖出</v>
      </c>
      <c r="F9">
        <v>46.56</v>
      </c>
      <c r="G9">
        <v>2500</v>
      </c>
      <c r="H9" t="str">
        <f>"13199"</f>
        <v>13199</v>
      </c>
      <c r="I9">
        <v>46.56</v>
      </c>
      <c r="J9">
        <v>1900</v>
      </c>
      <c r="K9">
        <v>88464</v>
      </c>
      <c r="L9" t="str">
        <f>"263752"</f>
        <v>263752</v>
      </c>
      <c r="M9" t="str">
        <f>"A469141127"</f>
        <v>A469141127</v>
      </c>
      <c r="N9" t="str">
        <f t="shared" si="2"/>
        <v>普通成交</v>
      </c>
    </row>
    <row r="10" spans="1:14" x14ac:dyDescent="0.15">
      <c r="A10" t="str">
        <f t="shared" si="0"/>
        <v>20160428</v>
      </c>
      <c r="B10" t="str">
        <f>"09:33:27"</f>
        <v>09:33:27</v>
      </c>
      <c r="C10" t="str">
        <f>"603111"</f>
        <v>603111</v>
      </c>
      <c r="D10" t="str">
        <f>"康尼机电"</f>
        <v>康尼机电</v>
      </c>
      <c r="E10" t="str">
        <f>"证券买入"</f>
        <v>证券买入</v>
      </c>
      <c r="F10">
        <v>28.25</v>
      </c>
      <c r="G10">
        <v>1100</v>
      </c>
      <c r="H10" t="str">
        <f>"12308"</f>
        <v>12308</v>
      </c>
      <c r="I10">
        <v>28.25</v>
      </c>
      <c r="J10">
        <v>1100</v>
      </c>
      <c r="K10">
        <v>31075</v>
      </c>
      <c r="L10" t="str">
        <f>"278256"</f>
        <v>278256</v>
      </c>
      <c r="M10" t="str">
        <f>"A469141127"</f>
        <v>A469141127</v>
      </c>
      <c r="N10" t="str">
        <f t="shared" si="2"/>
        <v>普通成交</v>
      </c>
    </row>
    <row r="11" spans="1:14" x14ac:dyDescent="0.15">
      <c r="A11" t="str">
        <f t="shared" si="0"/>
        <v>20160428</v>
      </c>
      <c r="B11" t="str">
        <f>"09:33:41"</f>
        <v>09:33:41</v>
      </c>
      <c r="C11" t="str">
        <f>"002657"</f>
        <v>002657</v>
      </c>
      <c r="D11" t="str">
        <f>"中科金财"</f>
        <v>中科金财</v>
      </c>
      <c r="E11" t="str">
        <f>"证券卖出"</f>
        <v>证券卖出</v>
      </c>
      <c r="F11">
        <v>50.75</v>
      </c>
      <c r="G11">
        <v>1600</v>
      </c>
      <c r="H11" t="str">
        <f>"14021"</f>
        <v>14021</v>
      </c>
      <c r="I11">
        <v>50.75</v>
      </c>
      <c r="J11">
        <v>700</v>
      </c>
      <c r="K11">
        <v>35525</v>
      </c>
      <c r="L11" t="str">
        <f>"00796416"</f>
        <v>00796416</v>
      </c>
      <c r="M11" t="str">
        <f t="shared" ref="M11:M17" si="3">"0134985905"</f>
        <v>0134985905</v>
      </c>
      <c r="N11" t="str">
        <f t="shared" si="2"/>
        <v>普通成交</v>
      </c>
    </row>
    <row r="12" spans="1:14" x14ac:dyDescent="0.15">
      <c r="A12" t="str">
        <f t="shared" si="0"/>
        <v>20160428</v>
      </c>
      <c r="B12" t="str">
        <f>"09:33:46"</f>
        <v>09:33:46</v>
      </c>
      <c r="C12" t="str">
        <f>"002657"</f>
        <v>002657</v>
      </c>
      <c r="D12" t="str">
        <f>"中科金财"</f>
        <v>中科金财</v>
      </c>
      <c r="E12" t="str">
        <f>"证券卖出"</f>
        <v>证券卖出</v>
      </c>
      <c r="F12">
        <v>50.75</v>
      </c>
      <c r="G12">
        <v>1600</v>
      </c>
      <c r="H12" t="str">
        <f>"14021"</f>
        <v>14021</v>
      </c>
      <c r="I12">
        <v>50.75</v>
      </c>
      <c r="J12">
        <v>400</v>
      </c>
      <c r="K12">
        <v>20300</v>
      </c>
      <c r="L12" t="str">
        <f>"00807000"</f>
        <v>00807000</v>
      </c>
      <c r="M12" t="str">
        <f t="shared" si="3"/>
        <v>0134985905</v>
      </c>
      <c r="N12" t="str">
        <f t="shared" si="2"/>
        <v>普通成交</v>
      </c>
    </row>
    <row r="13" spans="1:14" x14ac:dyDescent="0.15">
      <c r="A13" t="str">
        <f t="shared" si="0"/>
        <v>20160428</v>
      </c>
      <c r="B13" t="str">
        <f>"09:33:47"</f>
        <v>09:33:47</v>
      </c>
      <c r="C13" t="str">
        <f>"002657"</f>
        <v>002657</v>
      </c>
      <c r="D13" t="str">
        <f>"中科金财"</f>
        <v>中科金财</v>
      </c>
      <c r="E13" t="str">
        <f>"证券卖出"</f>
        <v>证券卖出</v>
      </c>
      <c r="F13">
        <v>50.75</v>
      </c>
      <c r="G13">
        <v>1600</v>
      </c>
      <c r="H13" t="str">
        <f>"14021"</f>
        <v>14021</v>
      </c>
      <c r="I13">
        <v>50.75</v>
      </c>
      <c r="J13">
        <v>100</v>
      </c>
      <c r="K13">
        <v>5075</v>
      </c>
      <c r="L13" t="str">
        <f>"00809943"</f>
        <v>00809943</v>
      </c>
      <c r="M13" t="str">
        <f t="shared" si="3"/>
        <v>0134985905</v>
      </c>
      <c r="N13" t="str">
        <f t="shared" si="2"/>
        <v>普通成交</v>
      </c>
    </row>
    <row r="14" spans="1:14" x14ac:dyDescent="0.15">
      <c r="A14" t="str">
        <f t="shared" si="0"/>
        <v>20160428</v>
      </c>
      <c r="B14" t="str">
        <f>"09:33:48"</f>
        <v>09:33:48</v>
      </c>
      <c r="C14" t="str">
        <f>"002657"</f>
        <v>002657</v>
      </c>
      <c r="D14" t="str">
        <f>"中科金财"</f>
        <v>中科金财</v>
      </c>
      <c r="E14" t="str">
        <f>"证券卖出"</f>
        <v>证券卖出</v>
      </c>
      <c r="F14">
        <v>50.75</v>
      </c>
      <c r="G14">
        <v>1600</v>
      </c>
      <c r="H14" t="str">
        <f>"14021"</f>
        <v>14021</v>
      </c>
      <c r="I14">
        <v>50.75</v>
      </c>
      <c r="J14">
        <v>300</v>
      </c>
      <c r="K14">
        <v>15225</v>
      </c>
      <c r="L14" t="str">
        <f>"00811229"</f>
        <v>00811229</v>
      </c>
      <c r="M14" t="str">
        <f t="shared" si="3"/>
        <v>0134985905</v>
      </c>
      <c r="N14" t="str">
        <f t="shared" si="2"/>
        <v>普通成交</v>
      </c>
    </row>
    <row r="15" spans="1:14" x14ac:dyDescent="0.15">
      <c r="A15" t="str">
        <f t="shared" si="0"/>
        <v>20160428</v>
      </c>
      <c r="B15" t="str">
        <f>"09:34:27"</f>
        <v>09:34:27</v>
      </c>
      <c r="C15" t="str">
        <f>"002657"</f>
        <v>002657</v>
      </c>
      <c r="D15" t="str">
        <f>"中科金财"</f>
        <v>中科金财</v>
      </c>
      <c r="E15" t="str">
        <f>"证券买入"</f>
        <v>证券买入</v>
      </c>
      <c r="F15">
        <v>50.63</v>
      </c>
      <c r="G15">
        <v>1100</v>
      </c>
      <c r="H15" t="str">
        <f>"14676"</f>
        <v>14676</v>
      </c>
      <c r="I15">
        <v>50.63</v>
      </c>
      <c r="J15">
        <v>1100</v>
      </c>
      <c r="K15">
        <v>55693</v>
      </c>
      <c r="L15" t="str">
        <f>"00902308"</f>
        <v>00902308</v>
      </c>
      <c r="M15" t="str">
        <f t="shared" si="3"/>
        <v>0134985905</v>
      </c>
      <c r="N15" t="str">
        <f t="shared" si="2"/>
        <v>普通成交</v>
      </c>
    </row>
    <row r="16" spans="1:14" x14ac:dyDescent="0.15">
      <c r="A16" t="str">
        <f t="shared" si="0"/>
        <v>20160428</v>
      </c>
      <c r="B16" t="str">
        <f>"09:35:06"</f>
        <v>09:35:06</v>
      </c>
      <c r="C16" t="str">
        <f>"300087"</f>
        <v>300087</v>
      </c>
      <c r="D16" t="str">
        <f>"荃银高科"</f>
        <v>荃银高科</v>
      </c>
      <c r="E16" t="str">
        <f>"证券买入"</f>
        <v>证券买入</v>
      </c>
      <c r="F16">
        <v>10.59</v>
      </c>
      <c r="G16">
        <v>5700</v>
      </c>
      <c r="H16" t="str">
        <f>"15072"</f>
        <v>15072</v>
      </c>
      <c r="I16">
        <v>10.59</v>
      </c>
      <c r="J16">
        <v>5700</v>
      </c>
      <c r="K16">
        <v>60363</v>
      </c>
      <c r="L16" t="str">
        <f>"00994783"</f>
        <v>00994783</v>
      </c>
      <c r="M16" t="str">
        <f t="shared" si="3"/>
        <v>0134985905</v>
      </c>
      <c r="N16" t="str">
        <f t="shared" si="2"/>
        <v>普通成交</v>
      </c>
    </row>
    <row r="17" spans="1:14" x14ac:dyDescent="0.15">
      <c r="A17" t="str">
        <f t="shared" si="0"/>
        <v>20160428</v>
      </c>
      <c r="B17" t="str">
        <f>"09:35:11"</f>
        <v>09:35:11</v>
      </c>
      <c r="C17" t="str">
        <f>"002657"</f>
        <v>002657</v>
      </c>
      <c r="D17" t="str">
        <f>"中科金财"</f>
        <v>中科金财</v>
      </c>
      <c r="E17" t="str">
        <f>"证券卖出"</f>
        <v>证券卖出</v>
      </c>
      <c r="F17">
        <v>50.84</v>
      </c>
      <c r="G17">
        <v>100</v>
      </c>
      <c r="H17" t="str">
        <f>"15946"</f>
        <v>15946</v>
      </c>
      <c r="I17">
        <v>50.84</v>
      </c>
      <c r="J17">
        <v>100</v>
      </c>
      <c r="K17">
        <v>5084</v>
      </c>
      <c r="L17" t="str">
        <f>"01006967"</f>
        <v>01006967</v>
      </c>
      <c r="M17" t="str">
        <f t="shared" si="3"/>
        <v>0134985905</v>
      </c>
      <c r="N17" t="str">
        <f t="shared" si="2"/>
        <v>普通成交</v>
      </c>
    </row>
    <row r="18" spans="1:14" x14ac:dyDescent="0.15">
      <c r="A18" t="str">
        <f t="shared" si="0"/>
        <v>20160428</v>
      </c>
      <c r="B18" t="str">
        <f>"09:35:35"</f>
        <v>09:35:35</v>
      </c>
      <c r="C18" t="str">
        <f>"600354"</f>
        <v>600354</v>
      </c>
      <c r="D18" t="str">
        <f>"敦煌种业"</f>
        <v>敦煌种业</v>
      </c>
      <c r="E18" t="str">
        <f>"证券买入"</f>
        <v>证券买入</v>
      </c>
      <c r="F18">
        <v>8.65</v>
      </c>
      <c r="G18">
        <v>5400</v>
      </c>
      <c r="H18" t="str">
        <f>"16461"</f>
        <v>16461</v>
      </c>
      <c r="I18">
        <v>8.65</v>
      </c>
      <c r="J18">
        <v>700</v>
      </c>
      <c r="K18">
        <v>6055</v>
      </c>
      <c r="L18" t="str">
        <f>"392490"</f>
        <v>392490</v>
      </c>
      <c r="M18" t="str">
        <f>"A469141127"</f>
        <v>A469141127</v>
      </c>
      <c r="N18" t="str">
        <f t="shared" si="2"/>
        <v>普通成交</v>
      </c>
    </row>
    <row r="19" spans="1:14" x14ac:dyDescent="0.15">
      <c r="A19" t="str">
        <f t="shared" si="0"/>
        <v>20160428</v>
      </c>
      <c r="B19" t="str">
        <f>"09:35:37"</f>
        <v>09:35:37</v>
      </c>
      <c r="C19" t="str">
        <f>"600354"</f>
        <v>600354</v>
      </c>
      <c r="D19" t="str">
        <f>"敦煌种业"</f>
        <v>敦煌种业</v>
      </c>
      <c r="E19" t="str">
        <f>"证券买入"</f>
        <v>证券买入</v>
      </c>
      <c r="F19">
        <v>8.65</v>
      </c>
      <c r="G19">
        <v>5400</v>
      </c>
      <c r="H19" t="str">
        <f>"16461"</f>
        <v>16461</v>
      </c>
      <c r="I19">
        <v>8.65</v>
      </c>
      <c r="J19">
        <v>3400</v>
      </c>
      <c r="K19">
        <v>29410</v>
      </c>
      <c r="L19" t="str">
        <f>"394286"</f>
        <v>394286</v>
      </c>
      <c r="M19" t="str">
        <f>"A469141127"</f>
        <v>A469141127</v>
      </c>
      <c r="N19" t="str">
        <f t="shared" si="2"/>
        <v>普通成交</v>
      </c>
    </row>
    <row r="20" spans="1:14" x14ac:dyDescent="0.15">
      <c r="A20" t="str">
        <f t="shared" si="0"/>
        <v>20160428</v>
      </c>
      <c r="B20" t="str">
        <f>"09:35:40"</f>
        <v>09:35:40</v>
      </c>
      <c r="C20" t="str">
        <f>"600354"</f>
        <v>600354</v>
      </c>
      <c r="D20" t="str">
        <f>"敦煌种业"</f>
        <v>敦煌种业</v>
      </c>
      <c r="E20" t="str">
        <f>"证券买入"</f>
        <v>证券买入</v>
      </c>
      <c r="F20">
        <v>8.65</v>
      </c>
      <c r="G20">
        <v>5400</v>
      </c>
      <c r="H20" t="str">
        <f>"16461"</f>
        <v>16461</v>
      </c>
      <c r="I20">
        <v>8.65</v>
      </c>
      <c r="J20">
        <v>1300</v>
      </c>
      <c r="K20">
        <v>11245</v>
      </c>
      <c r="L20" t="str">
        <f>"396208"</f>
        <v>396208</v>
      </c>
      <c r="M20" t="str">
        <f>"A469141127"</f>
        <v>A469141127</v>
      </c>
      <c r="N20" t="str">
        <f t="shared" si="2"/>
        <v>普通成交</v>
      </c>
    </row>
    <row r="21" spans="1:14" x14ac:dyDescent="0.15">
      <c r="A21" t="str">
        <f t="shared" si="0"/>
        <v>20160428</v>
      </c>
      <c r="B21" t="str">
        <f>"09:36:04"</f>
        <v>09:36:04</v>
      </c>
      <c r="C21" t="str">
        <f>"002175"</f>
        <v>002175</v>
      </c>
      <c r="D21" t="str">
        <f>"东方网络"</f>
        <v>东方网络</v>
      </c>
      <c r="E21" t="str">
        <f>"证券买入"</f>
        <v>证券买入</v>
      </c>
      <c r="F21">
        <v>46.93</v>
      </c>
      <c r="G21">
        <v>1000</v>
      </c>
      <c r="H21" t="str">
        <f>"17047"</f>
        <v>17047</v>
      </c>
      <c r="I21">
        <v>46.93</v>
      </c>
      <c r="J21">
        <v>1000</v>
      </c>
      <c r="K21">
        <v>46930</v>
      </c>
      <c r="L21" t="str">
        <f>"01129659"</f>
        <v>01129659</v>
      </c>
      <c r="M21" t="str">
        <f t="shared" ref="M21:M38" si="4">"0134985905"</f>
        <v>0134985905</v>
      </c>
      <c r="N21" t="str">
        <f t="shared" si="2"/>
        <v>普通成交</v>
      </c>
    </row>
    <row r="22" spans="1:14" x14ac:dyDescent="0.15">
      <c r="A22" t="str">
        <f t="shared" si="0"/>
        <v>20160428</v>
      </c>
      <c r="B22" t="str">
        <f>"09:36:30"</f>
        <v>09:36:30</v>
      </c>
      <c r="C22" t="str">
        <f>"002273"</f>
        <v>002273</v>
      </c>
      <c r="D22" t="str">
        <f>"水晶光电"</f>
        <v>水晶光电</v>
      </c>
      <c r="E22" t="str">
        <f t="shared" ref="E22:E31" si="5">"证券卖出"</f>
        <v>证券卖出</v>
      </c>
      <c r="F22">
        <v>30.7</v>
      </c>
      <c r="G22">
        <v>1700</v>
      </c>
      <c r="H22" t="str">
        <f>"17580"</f>
        <v>17580</v>
      </c>
      <c r="I22">
        <v>30.7</v>
      </c>
      <c r="J22">
        <v>175</v>
      </c>
      <c r="K22">
        <v>5372.5</v>
      </c>
      <c r="L22" t="str">
        <f>"01188816"</f>
        <v>01188816</v>
      </c>
      <c r="M22" t="str">
        <f t="shared" si="4"/>
        <v>0134985905</v>
      </c>
      <c r="N22" t="str">
        <f t="shared" si="2"/>
        <v>普通成交</v>
      </c>
    </row>
    <row r="23" spans="1:14" x14ac:dyDescent="0.15">
      <c r="A23" t="str">
        <f t="shared" si="0"/>
        <v>20160428</v>
      </c>
      <c r="B23" t="str">
        <f>"09:36:30"</f>
        <v>09:36:30</v>
      </c>
      <c r="C23" t="str">
        <f>"002273"</f>
        <v>002273</v>
      </c>
      <c r="D23" t="str">
        <f>"水晶光电"</f>
        <v>水晶光电</v>
      </c>
      <c r="E23" t="str">
        <f t="shared" si="5"/>
        <v>证券卖出</v>
      </c>
      <c r="F23">
        <v>30.7</v>
      </c>
      <c r="G23">
        <v>1700</v>
      </c>
      <c r="H23" t="str">
        <f>"17580"</f>
        <v>17580</v>
      </c>
      <c r="I23">
        <v>30.7</v>
      </c>
      <c r="J23">
        <v>500</v>
      </c>
      <c r="K23">
        <v>15350</v>
      </c>
      <c r="L23" t="str">
        <f>"01189990"</f>
        <v>01189990</v>
      </c>
      <c r="M23" t="str">
        <f t="shared" si="4"/>
        <v>0134985905</v>
      </c>
      <c r="N23" t="str">
        <f t="shared" si="2"/>
        <v>普通成交</v>
      </c>
    </row>
    <row r="24" spans="1:14" x14ac:dyDescent="0.15">
      <c r="A24" t="str">
        <f t="shared" si="0"/>
        <v>20160428</v>
      </c>
      <c r="B24" t="str">
        <f>"09:36:31"</f>
        <v>09:36:31</v>
      </c>
      <c r="C24" t="str">
        <f>"002465"</f>
        <v>002465</v>
      </c>
      <c r="D24" t="str">
        <f>"海格通信"</f>
        <v>海格通信</v>
      </c>
      <c r="E24" t="str">
        <f t="shared" si="5"/>
        <v>证券卖出</v>
      </c>
      <c r="F24">
        <v>11.97</v>
      </c>
      <c r="G24">
        <v>9900</v>
      </c>
      <c r="H24" t="str">
        <f>"17594"</f>
        <v>17594</v>
      </c>
      <c r="I24">
        <v>11.99</v>
      </c>
      <c r="J24">
        <v>2200</v>
      </c>
      <c r="K24">
        <v>26378</v>
      </c>
      <c r="L24" t="str">
        <f>"01191001"</f>
        <v>01191001</v>
      </c>
      <c r="M24" t="str">
        <f t="shared" si="4"/>
        <v>0134985905</v>
      </c>
      <c r="N24" t="str">
        <f t="shared" si="2"/>
        <v>普通成交</v>
      </c>
    </row>
    <row r="25" spans="1:14" x14ac:dyDescent="0.15">
      <c r="A25" t="str">
        <f t="shared" si="0"/>
        <v>20160428</v>
      </c>
      <c r="B25" t="str">
        <f>"09:36:31"</f>
        <v>09:36:31</v>
      </c>
      <c r="C25" t="str">
        <f>"002465"</f>
        <v>002465</v>
      </c>
      <c r="D25" t="str">
        <f>"海格通信"</f>
        <v>海格通信</v>
      </c>
      <c r="E25" t="str">
        <f t="shared" si="5"/>
        <v>证券卖出</v>
      </c>
      <c r="F25">
        <v>11.97</v>
      </c>
      <c r="G25">
        <v>9900</v>
      </c>
      <c r="H25" t="str">
        <f>"17594"</f>
        <v>17594</v>
      </c>
      <c r="I25">
        <v>11.98</v>
      </c>
      <c r="J25">
        <v>7700</v>
      </c>
      <c r="K25">
        <v>92246</v>
      </c>
      <c r="L25" t="str">
        <f>"01191002"</f>
        <v>01191002</v>
      </c>
      <c r="M25" t="str">
        <f t="shared" si="4"/>
        <v>0134985905</v>
      </c>
      <c r="N25" t="str">
        <f t="shared" si="2"/>
        <v>普通成交</v>
      </c>
    </row>
    <row r="26" spans="1:14" x14ac:dyDescent="0.15">
      <c r="A26" t="str">
        <f t="shared" si="0"/>
        <v>20160428</v>
      </c>
      <c r="B26" t="str">
        <f>"09:36:32"</f>
        <v>09:36:32</v>
      </c>
      <c r="C26" t="str">
        <f>"002273"</f>
        <v>002273</v>
      </c>
      <c r="D26" t="str">
        <f>"水晶光电"</f>
        <v>水晶光电</v>
      </c>
      <c r="E26" t="str">
        <f t="shared" si="5"/>
        <v>证券卖出</v>
      </c>
      <c r="F26">
        <v>30.7</v>
      </c>
      <c r="G26">
        <v>1700</v>
      </c>
      <c r="H26" t="str">
        <f>"17580"</f>
        <v>17580</v>
      </c>
      <c r="I26">
        <v>30.7</v>
      </c>
      <c r="J26">
        <v>100</v>
      </c>
      <c r="K26">
        <v>3070</v>
      </c>
      <c r="L26" t="str">
        <f>"01193739"</f>
        <v>01193739</v>
      </c>
      <c r="M26" t="str">
        <f t="shared" si="4"/>
        <v>0134985905</v>
      </c>
      <c r="N26" t="str">
        <f t="shared" si="2"/>
        <v>普通成交</v>
      </c>
    </row>
    <row r="27" spans="1:14" x14ac:dyDescent="0.15">
      <c r="A27" t="str">
        <f t="shared" si="0"/>
        <v>20160428</v>
      </c>
      <c r="B27" t="str">
        <f>"09:36:32"</f>
        <v>09:36:32</v>
      </c>
      <c r="C27" t="str">
        <f>"002273"</f>
        <v>002273</v>
      </c>
      <c r="D27" t="str">
        <f>"水晶光电"</f>
        <v>水晶光电</v>
      </c>
      <c r="E27" t="str">
        <f t="shared" si="5"/>
        <v>证券卖出</v>
      </c>
      <c r="F27">
        <v>30.7</v>
      </c>
      <c r="G27">
        <v>1700</v>
      </c>
      <c r="H27" t="str">
        <f>"17580"</f>
        <v>17580</v>
      </c>
      <c r="I27">
        <v>30.7</v>
      </c>
      <c r="J27">
        <v>300</v>
      </c>
      <c r="K27">
        <v>9210</v>
      </c>
      <c r="L27" t="str">
        <f>"01193880"</f>
        <v>01193880</v>
      </c>
      <c r="M27" t="str">
        <f t="shared" si="4"/>
        <v>0134985905</v>
      </c>
      <c r="N27" t="str">
        <f t="shared" si="2"/>
        <v>普通成交</v>
      </c>
    </row>
    <row r="28" spans="1:14" x14ac:dyDescent="0.15">
      <c r="A28" t="str">
        <f t="shared" si="0"/>
        <v>20160428</v>
      </c>
      <c r="B28" t="str">
        <f>"09:36:33"</f>
        <v>09:36:33</v>
      </c>
      <c r="C28" t="str">
        <f>"002273"</f>
        <v>002273</v>
      </c>
      <c r="D28" t="str">
        <f>"水晶光电"</f>
        <v>水晶光电</v>
      </c>
      <c r="E28" t="str">
        <f t="shared" si="5"/>
        <v>证券卖出</v>
      </c>
      <c r="F28">
        <v>30.7</v>
      </c>
      <c r="G28">
        <v>1700</v>
      </c>
      <c r="H28" t="str">
        <f>"17580"</f>
        <v>17580</v>
      </c>
      <c r="I28">
        <v>30.7</v>
      </c>
      <c r="J28">
        <v>200</v>
      </c>
      <c r="K28">
        <v>6140</v>
      </c>
      <c r="L28" t="str">
        <f>"01195325"</f>
        <v>01195325</v>
      </c>
      <c r="M28" t="str">
        <f t="shared" si="4"/>
        <v>0134985905</v>
      </c>
      <c r="N28" t="str">
        <f t="shared" si="2"/>
        <v>普通成交</v>
      </c>
    </row>
    <row r="29" spans="1:14" x14ac:dyDescent="0.15">
      <c r="A29" t="str">
        <f t="shared" si="0"/>
        <v>20160428</v>
      </c>
      <c r="B29" t="str">
        <f>"09:36:34"</f>
        <v>09:36:34</v>
      </c>
      <c r="C29" t="str">
        <f>"002273"</f>
        <v>002273</v>
      </c>
      <c r="D29" t="str">
        <f>"水晶光电"</f>
        <v>水晶光电</v>
      </c>
      <c r="E29" t="str">
        <f t="shared" si="5"/>
        <v>证券卖出</v>
      </c>
      <c r="F29">
        <v>30.7</v>
      </c>
      <c r="G29">
        <v>1700</v>
      </c>
      <c r="H29" t="str">
        <f>"17580"</f>
        <v>17580</v>
      </c>
      <c r="I29">
        <v>30.7</v>
      </c>
      <c r="J29">
        <v>300</v>
      </c>
      <c r="K29">
        <v>9210</v>
      </c>
      <c r="L29" t="str">
        <f>"01197709"</f>
        <v>01197709</v>
      </c>
      <c r="M29" t="str">
        <f t="shared" si="4"/>
        <v>0134985905</v>
      </c>
      <c r="N29" t="str">
        <f t="shared" si="2"/>
        <v>普通成交</v>
      </c>
    </row>
    <row r="30" spans="1:14" x14ac:dyDescent="0.15">
      <c r="A30" t="str">
        <f t="shared" si="0"/>
        <v>20160428</v>
      </c>
      <c r="B30" t="str">
        <f>"09:36:34"</f>
        <v>09:36:34</v>
      </c>
      <c r="C30" t="str">
        <f>"002273"</f>
        <v>002273</v>
      </c>
      <c r="D30" t="str">
        <f>"水晶光电"</f>
        <v>水晶光电</v>
      </c>
      <c r="E30" t="str">
        <f t="shared" si="5"/>
        <v>证券卖出</v>
      </c>
      <c r="F30">
        <v>30.7</v>
      </c>
      <c r="G30">
        <v>1700</v>
      </c>
      <c r="H30" t="str">
        <f>"17580"</f>
        <v>17580</v>
      </c>
      <c r="I30">
        <v>30.7</v>
      </c>
      <c r="J30">
        <v>125</v>
      </c>
      <c r="K30">
        <v>3837.5</v>
      </c>
      <c r="L30" t="str">
        <f>"01199766"</f>
        <v>01199766</v>
      </c>
      <c r="M30" t="str">
        <f t="shared" si="4"/>
        <v>0134985905</v>
      </c>
      <c r="N30" t="str">
        <f t="shared" si="2"/>
        <v>普通成交</v>
      </c>
    </row>
    <row r="31" spans="1:14" x14ac:dyDescent="0.15">
      <c r="A31" t="str">
        <f t="shared" si="0"/>
        <v>20160428</v>
      </c>
      <c r="B31" t="str">
        <f>"09:37:00"</f>
        <v>09:37:00</v>
      </c>
      <c r="C31" t="str">
        <f>"002175"</f>
        <v>002175</v>
      </c>
      <c r="D31" t="str">
        <f>"东方网络"</f>
        <v>东方网络</v>
      </c>
      <c r="E31" t="str">
        <f t="shared" si="5"/>
        <v>证券卖出</v>
      </c>
      <c r="F31">
        <v>46.88</v>
      </c>
      <c r="G31">
        <v>1000</v>
      </c>
      <c r="H31" t="str">
        <f>"18186"</f>
        <v>18186</v>
      </c>
      <c r="I31">
        <v>46.89</v>
      </c>
      <c r="J31">
        <v>1000</v>
      </c>
      <c r="K31">
        <v>46890</v>
      </c>
      <c r="L31" t="str">
        <f>"01264981"</f>
        <v>01264981</v>
      </c>
      <c r="M31" t="str">
        <f t="shared" si="4"/>
        <v>0134985905</v>
      </c>
      <c r="N31" t="str">
        <f t="shared" si="2"/>
        <v>普通成交</v>
      </c>
    </row>
    <row r="32" spans="1:14" x14ac:dyDescent="0.15">
      <c r="A32" t="str">
        <f t="shared" si="0"/>
        <v>20160428</v>
      </c>
      <c r="B32" t="str">
        <f>"09:37:06"</f>
        <v>09:37:06</v>
      </c>
      <c r="C32" t="str">
        <f>"300087"</f>
        <v>300087</v>
      </c>
      <c r="D32" t="str">
        <f>"荃银高科"</f>
        <v>荃银高科</v>
      </c>
      <c r="E32" t="str">
        <f t="shared" ref="E32:E38" si="6">"证券买入"</f>
        <v>证券买入</v>
      </c>
      <c r="F32">
        <v>10.57</v>
      </c>
      <c r="G32">
        <v>5700</v>
      </c>
      <c r="H32" t="str">
        <f>"18324"</f>
        <v>18324</v>
      </c>
      <c r="I32">
        <v>10.57</v>
      </c>
      <c r="J32">
        <v>1000</v>
      </c>
      <c r="K32">
        <v>10570</v>
      </c>
      <c r="L32" t="str">
        <f>"01281390"</f>
        <v>01281390</v>
      </c>
      <c r="M32" t="str">
        <f t="shared" si="4"/>
        <v>0134985905</v>
      </c>
      <c r="N32" t="str">
        <f t="shared" si="2"/>
        <v>普通成交</v>
      </c>
    </row>
    <row r="33" spans="1:14" x14ac:dyDescent="0.15">
      <c r="A33" t="str">
        <f t="shared" si="0"/>
        <v>20160428</v>
      </c>
      <c r="B33" t="str">
        <f>"09:37:18"</f>
        <v>09:37:18</v>
      </c>
      <c r="C33" t="str">
        <f>"300087"</f>
        <v>300087</v>
      </c>
      <c r="D33" t="str">
        <f>"荃银高科"</f>
        <v>荃银高科</v>
      </c>
      <c r="E33" t="str">
        <f t="shared" si="6"/>
        <v>证券买入</v>
      </c>
      <c r="F33">
        <v>10.57</v>
      </c>
      <c r="G33">
        <v>5700</v>
      </c>
      <c r="H33" t="str">
        <f>"18324"</f>
        <v>18324</v>
      </c>
      <c r="I33">
        <v>10.57</v>
      </c>
      <c r="J33">
        <v>1200</v>
      </c>
      <c r="K33">
        <v>12684</v>
      </c>
      <c r="L33" t="str">
        <f>"01311636"</f>
        <v>01311636</v>
      </c>
      <c r="M33" t="str">
        <f t="shared" si="4"/>
        <v>0134985905</v>
      </c>
      <c r="N33" t="str">
        <f t="shared" si="2"/>
        <v>普通成交</v>
      </c>
    </row>
    <row r="34" spans="1:14" x14ac:dyDescent="0.15">
      <c r="A34" t="str">
        <f t="shared" ref="A34:A65" si="7">"20160428"</f>
        <v>20160428</v>
      </c>
      <c r="B34" t="str">
        <f>"09:37:19"</f>
        <v>09:37:19</v>
      </c>
      <c r="C34" t="str">
        <f>"300087"</f>
        <v>300087</v>
      </c>
      <c r="D34" t="str">
        <f>"荃银高科"</f>
        <v>荃银高科</v>
      </c>
      <c r="E34" t="str">
        <f t="shared" si="6"/>
        <v>证券买入</v>
      </c>
      <c r="F34">
        <v>10.57</v>
      </c>
      <c r="G34">
        <v>5700</v>
      </c>
      <c r="H34" t="str">
        <f>"18324"</f>
        <v>18324</v>
      </c>
      <c r="I34">
        <v>10.57</v>
      </c>
      <c r="J34">
        <v>2400</v>
      </c>
      <c r="K34">
        <v>25368</v>
      </c>
      <c r="L34" t="str">
        <f>"01315596"</f>
        <v>01315596</v>
      </c>
      <c r="M34" t="str">
        <f t="shared" si="4"/>
        <v>0134985905</v>
      </c>
      <c r="N34" t="str">
        <f t="shared" ref="N34:N65" si="8">"普通成交"</f>
        <v>普通成交</v>
      </c>
    </row>
    <row r="35" spans="1:14" x14ac:dyDescent="0.15">
      <c r="A35" t="str">
        <f t="shared" si="7"/>
        <v>20160428</v>
      </c>
      <c r="B35" t="str">
        <f>"09:37:23"</f>
        <v>09:37:23</v>
      </c>
      <c r="C35" t="str">
        <f>"002273"</f>
        <v>002273</v>
      </c>
      <c r="D35" t="str">
        <f>"水晶光电"</f>
        <v>水晶光电</v>
      </c>
      <c r="E35" t="str">
        <f t="shared" si="6"/>
        <v>证券买入</v>
      </c>
      <c r="F35">
        <v>30.62</v>
      </c>
      <c r="G35">
        <v>1700</v>
      </c>
      <c r="H35" t="str">
        <f>"18660"</f>
        <v>18660</v>
      </c>
      <c r="I35">
        <v>30.62</v>
      </c>
      <c r="J35">
        <v>600</v>
      </c>
      <c r="K35">
        <v>18372</v>
      </c>
      <c r="L35" t="str">
        <f>"01327176"</f>
        <v>01327176</v>
      </c>
      <c r="M35" t="str">
        <f t="shared" si="4"/>
        <v>0134985905</v>
      </c>
      <c r="N35" t="str">
        <f t="shared" si="8"/>
        <v>普通成交</v>
      </c>
    </row>
    <row r="36" spans="1:14" x14ac:dyDescent="0.15">
      <c r="A36" t="str">
        <f t="shared" si="7"/>
        <v>20160428</v>
      </c>
      <c r="B36" t="str">
        <f>"09:37:24"</f>
        <v>09:37:24</v>
      </c>
      <c r="C36" t="str">
        <f>"300087"</f>
        <v>300087</v>
      </c>
      <c r="D36" t="str">
        <f>"荃银高科"</f>
        <v>荃银高科</v>
      </c>
      <c r="E36" t="str">
        <f t="shared" si="6"/>
        <v>证券买入</v>
      </c>
      <c r="F36">
        <v>10.57</v>
      </c>
      <c r="G36">
        <v>5700</v>
      </c>
      <c r="H36" t="str">
        <f>"18324"</f>
        <v>18324</v>
      </c>
      <c r="I36">
        <v>10.57</v>
      </c>
      <c r="J36">
        <v>1100</v>
      </c>
      <c r="K36">
        <v>11627</v>
      </c>
      <c r="L36" t="str">
        <f>"01328680"</f>
        <v>01328680</v>
      </c>
      <c r="M36" t="str">
        <f t="shared" si="4"/>
        <v>0134985905</v>
      </c>
      <c r="N36" t="str">
        <f t="shared" si="8"/>
        <v>普通成交</v>
      </c>
    </row>
    <row r="37" spans="1:14" x14ac:dyDescent="0.15">
      <c r="A37" t="str">
        <f t="shared" si="7"/>
        <v>20160428</v>
      </c>
      <c r="B37" t="str">
        <f>"09:37:25"</f>
        <v>09:37:25</v>
      </c>
      <c r="C37" t="str">
        <f>"002273"</f>
        <v>002273</v>
      </c>
      <c r="D37" t="str">
        <f>"水晶光电"</f>
        <v>水晶光电</v>
      </c>
      <c r="E37" t="str">
        <f t="shared" si="6"/>
        <v>证券买入</v>
      </c>
      <c r="F37">
        <v>30.62</v>
      </c>
      <c r="G37">
        <v>1700</v>
      </c>
      <c r="H37" t="str">
        <f>"18660"</f>
        <v>18660</v>
      </c>
      <c r="I37">
        <v>30.62</v>
      </c>
      <c r="J37">
        <v>1100</v>
      </c>
      <c r="K37">
        <v>33682</v>
      </c>
      <c r="L37" t="str">
        <f>"01331178"</f>
        <v>01331178</v>
      </c>
      <c r="M37" t="str">
        <f t="shared" si="4"/>
        <v>0134985905</v>
      </c>
      <c r="N37" t="str">
        <f t="shared" si="8"/>
        <v>普通成交</v>
      </c>
    </row>
    <row r="38" spans="1:14" x14ac:dyDescent="0.15">
      <c r="A38" t="str">
        <f t="shared" si="7"/>
        <v>20160428</v>
      </c>
      <c r="B38" t="str">
        <f>"09:38:02"</f>
        <v>09:38:02</v>
      </c>
      <c r="C38" t="str">
        <f>"002657"</f>
        <v>002657</v>
      </c>
      <c r="D38" t="str">
        <f>"中科金财"</f>
        <v>中科金财</v>
      </c>
      <c r="E38" t="str">
        <f t="shared" si="6"/>
        <v>证券买入</v>
      </c>
      <c r="F38">
        <v>50.51</v>
      </c>
      <c r="G38">
        <v>1000</v>
      </c>
      <c r="H38" t="str">
        <f>"19551"</f>
        <v>19551</v>
      </c>
      <c r="I38">
        <v>50.51</v>
      </c>
      <c r="J38">
        <v>1000</v>
      </c>
      <c r="K38">
        <v>50510</v>
      </c>
      <c r="L38" t="str">
        <f>"01442155"</f>
        <v>01442155</v>
      </c>
      <c r="M38" t="str">
        <f t="shared" si="4"/>
        <v>0134985905</v>
      </c>
      <c r="N38" t="str">
        <f t="shared" si="8"/>
        <v>普通成交</v>
      </c>
    </row>
    <row r="39" spans="1:14" x14ac:dyDescent="0.15">
      <c r="A39" t="str">
        <f t="shared" si="7"/>
        <v>20160428</v>
      </c>
      <c r="B39" t="str">
        <f>"09:38:54"</f>
        <v>09:38:54</v>
      </c>
      <c r="C39" t="str">
        <f>"603111"</f>
        <v>603111</v>
      </c>
      <c r="D39" t="str">
        <f>"康尼机电"</f>
        <v>康尼机电</v>
      </c>
      <c r="E39" t="str">
        <f>"证券卖出"</f>
        <v>证券卖出</v>
      </c>
      <c r="F39">
        <v>28.25</v>
      </c>
      <c r="G39">
        <v>1200</v>
      </c>
      <c r="H39" t="str">
        <f>"20774"</f>
        <v>20774</v>
      </c>
      <c r="I39">
        <v>28.26</v>
      </c>
      <c r="J39">
        <v>100</v>
      </c>
      <c r="K39">
        <v>2826</v>
      </c>
      <c r="L39" t="str">
        <f>"606342"</f>
        <v>606342</v>
      </c>
      <c r="M39" t="str">
        <f>"A469141127"</f>
        <v>A469141127</v>
      </c>
      <c r="N39" t="str">
        <f t="shared" si="8"/>
        <v>普通成交</v>
      </c>
    </row>
    <row r="40" spans="1:14" x14ac:dyDescent="0.15">
      <c r="A40" t="str">
        <f t="shared" si="7"/>
        <v>20160428</v>
      </c>
      <c r="B40" t="str">
        <f>"09:38:54"</f>
        <v>09:38:54</v>
      </c>
      <c r="C40" t="str">
        <f>"603111"</f>
        <v>603111</v>
      </c>
      <c r="D40" t="str">
        <f>"康尼机电"</f>
        <v>康尼机电</v>
      </c>
      <c r="E40" t="str">
        <f>"证券卖出"</f>
        <v>证券卖出</v>
      </c>
      <c r="F40">
        <v>28.25</v>
      </c>
      <c r="G40">
        <v>1200</v>
      </c>
      <c r="H40" t="str">
        <f>"20774"</f>
        <v>20774</v>
      </c>
      <c r="I40">
        <v>28.25</v>
      </c>
      <c r="J40">
        <v>1100</v>
      </c>
      <c r="K40">
        <v>31075</v>
      </c>
      <c r="L40" t="str">
        <f>"606343"</f>
        <v>606343</v>
      </c>
      <c r="M40" t="str">
        <f>"A469141127"</f>
        <v>A469141127</v>
      </c>
      <c r="N40" t="str">
        <f t="shared" si="8"/>
        <v>普通成交</v>
      </c>
    </row>
    <row r="41" spans="1:14" x14ac:dyDescent="0.15">
      <c r="A41" t="str">
        <f t="shared" si="7"/>
        <v>20160428</v>
      </c>
      <c r="B41" t="str">
        <f>"09:39:30"</f>
        <v>09:39:30</v>
      </c>
      <c r="C41" t="str">
        <f>"002465"</f>
        <v>002465</v>
      </c>
      <c r="D41" t="str">
        <f>"海格通信"</f>
        <v>海格通信</v>
      </c>
      <c r="E41" t="str">
        <f>"证券买入"</f>
        <v>证券买入</v>
      </c>
      <c r="F41">
        <v>11.93</v>
      </c>
      <c r="G41">
        <v>9900</v>
      </c>
      <c r="H41" t="str">
        <f>"20282"</f>
        <v>20282</v>
      </c>
      <c r="I41">
        <v>11.93</v>
      </c>
      <c r="J41">
        <v>7300</v>
      </c>
      <c r="K41">
        <v>87089</v>
      </c>
      <c r="L41" t="str">
        <f>"01713051"</f>
        <v>01713051</v>
      </c>
      <c r="M41" t="str">
        <f t="shared" ref="M41:M48" si="9">"0134985905"</f>
        <v>0134985905</v>
      </c>
      <c r="N41" t="str">
        <f t="shared" si="8"/>
        <v>普通成交</v>
      </c>
    </row>
    <row r="42" spans="1:14" x14ac:dyDescent="0.15">
      <c r="A42" t="str">
        <f t="shared" si="7"/>
        <v>20160428</v>
      </c>
      <c r="B42" t="str">
        <f>"09:39:34"</f>
        <v>09:39:34</v>
      </c>
      <c r="C42" t="str">
        <f>"002465"</f>
        <v>002465</v>
      </c>
      <c r="D42" t="str">
        <f>"海格通信"</f>
        <v>海格通信</v>
      </c>
      <c r="E42" t="str">
        <f>"证券买入"</f>
        <v>证券买入</v>
      </c>
      <c r="F42">
        <v>11.93</v>
      </c>
      <c r="G42">
        <v>9900</v>
      </c>
      <c r="H42" t="str">
        <f>"20282"</f>
        <v>20282</v>
      </c>
      <c r="I42">
        <v>11.93</v>
      </c>
      <c r="J42">
        <v>2600</v>
      </c>
      <c r="K42">
        <v>31018</v>
      </c>
      <c r="L42" t="str">
        <f>"01725759"</f>
        <v>01725759</v>
      </c>
      <c r="M42" t="str">
        <f t="shared" si="9"/>
        <v>0134985905</v>
      </c>
      <c r="N42" t="str">
        <f t="shared" si="8"/>
        <v>普通成交</v>
      </c>
    </row>
    <row r="43" spans="1:14" x14ac:dyDescent="0.15">
      <c r="A43" t="str">
        <f t="shared" si="7"/>
        <v>20160428</v>
      </c>
      <c r="B43" t="str">
        <f>"09:40:25"</f>
        <v>09:40:25</v>
      </c>
      <c r="C43" t="str">
        <f t="shared" ref="C43:C48" si="10">"000977"</f>
        <v>000977</v>
      </c>
      <c r="D43" t="str">
        <f t="shared" ref="D43:D48" si="11">"浪潮信息"</f>
        <v>浪潮信息</v>
      </c>
      <c r="E43" t="str">
        <f>"证券卖出"</f>
        <v>证券卖出</v>
      </c>
      <c r="F43">
        <v>23.58</v>
      </c>
      <c r="G43">
        <v>5000</v>
      </c>
      <c r="H43" t="str">
        <f>"22623"</f>
        <v>22623</v>
      </c>
      <c r="I43">
        <v>23.58</v>
      </c>
      <c r="J43">
        <v>1400</v>
      </c>
      <c r="K43">
        <v>33012</v>
      </c>
      <c r="L43" t="str">
        <f>"01875882"</f>
        <v>01875882</v>
      </c>
      <c r="M43" t="str">
        <f t="shared" si="9"/>
        <v>0134985905</v>
      </c>
      <c r="N43" t="str">
        <f t="shared" si="8"/>
        <v>普通成交</v>
      </c>
    </row>
    <row r="44" spans="1:14" x14ac:dyDescent="0.15">
      <c r="A44" t="str">
        <f t="shared" si="7"/>
        <v>20160428</v>
      </c>
      <c r="B44" t="str">
        <f>"09:40:30"</f>
        <v>09:40:30</v>
      </c>
      <c r="C44" t="str">
        <f t="shared" si="10"/>
        <v>000977</v>
      </c>
      <c r="D44" t="str">
        <f t="shared" si="11"/>
        <v>浪潮信息</v>
      </c>
      <c r="E44" t="str">
        <f>"证券卖出"</f>
        <v>证券卖出</v>
      </c>
      <c r="F44">
        <v>23.58</v>
      </c>
      <c r="G44">
        <v>5000</v>
      </c>
      <c r="H44" t="str">
        <f>"22623"</f>
        <v>22623</v>
      </c>
      <c r="I44">
        <v>23.58</v>
      </c>
      <c r="J44">
        <v>1000</v>
      </c>
      <c r="K44">
        <v>23580</v>
      </c>
      <c r="L44" t="str">
        <f>"01893526"</f>
        <v>01893526</v>
      </c>
      <c r="M44" t="str">
        <f t="shared" si="9"/>
        <v>0134985905</v>
      </c>
      <c r="N44" t="str">
        <f t="shared" si="8"/>
        <v>普通成交</v>
      </c>
    </row>
    <row r="45" spans="1:14" x14ac:dyDescent="0.15">
      <c r="A45" t="str">
        <f t="shared" si="7"/>
        <v>20160428</v>
      </c>
      <c r="B45" t="str">
        <f>"09:40:35"</f>
        <v>09:40:35</v>
      </c>
      <c r="C45" t="str">
        <f t="shared" si="10"/>
        <v>000977</v>
      </c>
      <c r="D45" t="str">
        <f t="shared" si="11"/>
        <v>浪潮信息</v>
      </c>
      <c r="E45" t="str">
        <f>"证券卖出"</f>
        <v>证券卖出</v>
      </c>
      <c r="F45">
        <v>23.58</v>
      </c>
      <c r="G45">
        <v>5000</v>
      </c>
      <c r="H45" t="str">
        <f>"22623"</f>
        <v>22623</v>
      </c>
      <c r="I45">
        <v>23.58</v>
      </c>
      <c r="J45">
        <v>2600</v>
      </c>
      <c r="K45">
        <v>61308</v>
      </c>
      <c r="L45" t="str">
        <f>"01906131"</f>
        <v>01906131</v>
      </c>
      <c r="M45" t="str">
        <f t="shared" si="9"/>
        <v>0134985905</v>
      </c>
      <c r="N45" t="str">
        <f t="shared" si="8"/>
        <v>普通成交</v>
      </c>
    </row>
    <row r="46" spans="1:14" x14ac:dyDescent="0.15">
      <c r="A46" t="str">
        <f t="shared" si="7"/>
        <v>20160428</v>
      </c>
      <c r="B46" t="str">
        <f>"09:42:14"</f>
        <v>09:42:14</v>
      </c>
      <c r="C46" t="str">
        <f t="shared" si="10"/>
        <v>000977</v>
      </c>
      <c r="D46" t="str">
        <f t="shared" si="11"/>
        <v>浪潮信息</v>
      </c>
      <c r="E46" t="str">
        <f t="shared" ref="E46:E51" si="12">"证券买入"</f>
        <v>证券买入</v>
      </c>
      <c r="F46">
        <v>23.56</v>
      </c>
      <c r="G46">
        <v>5000</v>
      </c>
      <c r="H46" t="str">
        <f>"25384"</f>
        <v>25384</v>
      </c>
      <c r="I46">
        <v>23.56</v>
      </c>
      <c r="J46">
        <v>200</v>
      </c>
      <c r="K46">
        <v>4712</v>
      </c>
      <c r="L46" t="str">
        <f>"02160924"</f>
        <v>02160924</v>
      </c>
      <c r="M46" t="str">
        <f t="shared" si="9"/>
        <v>0134985905</v>
      </c>
      <c r="N46" t="str">
        <f t="shared" si="8"/>
        <v>普通成交</v>
      </c>
    </row>
    <row r="47" spans="1:14" x14ac:dyDescent="0.15">
      <c r="A47" t="str">
        <f t="shared" si="7"/>
        <v>20160428</v>
      </c>
      <c r="B47" t="str">
        <f>"09:42:17"</f>
        <v>09:42:17</v>
      </c>
      <c r="C47" t="str">
        <f t="shared" si="10"/>
        <v>000977</v>
      </c>
      <c r="D47" t="str">
        <f t="shared" si="11"/>
        <v>浪潮信息</v>
      </c>
      <c r="E47" t="str">
        <f t="shared" si="12"/>
        <v>证券买入</v>
      </c>
      <c r="F47">
        <v>23.56</v>
      </c>
      <c r="G47">
        <v>5000</v>
      </c>
      <c r="H47" t="str">
        <f>"25384"</f>
        <v>25384</v>
      </c>
      <c r="I47">
        <v>23.56</v>
      </c>
      <c r="J47">
        <v>100</v>
      </c>
      <c r="K47">
        <v>2356</v>
      </c>
      <c r="L47" t="str">
        <f>"02168983"</f>
        <v>02168983</v>
      </c>
      <c r="M47" t="str">
        <f t="shared" si="9"/>
        <v>0134985905</v>
      </c>
      <c r="N47" t="str">
        <f t="shared" si="8"/>
        <v>普通成交</v>
      </c>
    </row>
    <row r="48" spans="1:14" x14ac:dyDescent="0.15">
      <c r="A48" t="str">
        <f t="shared" si="7"/>
        <v>20160428</v>
      </c>
      <c r="B48" t="str">
        <f>"09:42:21"</f>
        <v>09:42:21</v>
      </c>
      <c r="C48" t="str">
        <f t="shared" si="10"/>
        <v>000977</v>
      </c>
      <c r="D48" t="str">
        <f t="shared" si="11"/>
        <v>浪潮信息</v>
      </c>
      <c r="E48" t="str">
        <f t="shared" si="12"/>
        <v>证券买入</v>
      </c>
      <c r="F48">
        <v>23.56</v>
      </c>
      <c r="G48">
        <v>5000</v>
      </c>
      <c r="H48" t="str">
        <f>"25384"</f>
        <v>25384</v>
      </c>
      <c r="I48">
        <v>23.56</v>
      </c>
      <c r="J48">
        <v>400</v>
      </c>
      <c r="K48">
        <v>9424</v>
      </c>
      <c r="L48" t="str">
        <f>"02178446"</f>
        <v>02178446</v>
      </c>
      <c r="M48" t="str">
        <f t="shared" si="9"/>
        <v>0134985905</v>
      </c>
      <c r="N48" t="str">
        <f t="shared" si="8"/>
        <v>普通成交</v>
      </c>
    </row>
    <row r="49" spans="1:14" x14ac:dyDescent="0.15">
      <c r="A49" t="str">
        <f t="shared" si="7"/>
        <v>20160428</v>
      </c>
      <c r="B49" t="str">
        <f>"09:42:32"</f>
        <v>09:42:32</v>
      </c>
      <c r="C49" t="str">
        <f>"600354"</f>
        <v>600354</v>
      </c>
      <c r="D49" t="str">
        <f>"敦煌种业"</f>
        <v>敦煌种业</v>
      </c>
      <c r="E49" t="str">
        <f t="shared" si="12"/>
        <v>证券买入</v>
      </c>
      <c r="F49">
        <v>8.58</v>
      </c>
      <c r="G49">
        <v>6000</v>
      </c>
      <c r="H49" t="str">
        <f>"25771"</f>
        <v>25771</v>
      </c>
      <c r="I49">
        <v>8.58</v>
      </c>
      <c r="J49">
        <v>5700</v>
      </c>
      <c r="K49">
        <v>48906</v>
      </c>
      <c r="L49" t="str">
        <f>"843705"</f>
        <v>843705</v>
      </c>
      <c r="M49" t="str">
        <f>"A469141127"</f>
        <v>A469141127</v>
      </c>
      <c r="N49" t="str">
        <f t="shared" si="8"/>
        <v>普通成交</v>
      </c>
    </row>
    <row r="50" spans="1:14" x14ac:dyDescent="0.15">
      <c r="A50" t="str">
        <f t="shared" si="7"/>
        <v>20160428</v>
      </c>
      <c r="B50" t="str">
        <f>"09:42:34"</f>
        <v>09:42:34</v>
      </c>
      <c r="C50" t="str">
        <f>"600354"</f>
        <v>600354</v>
      </c>
      <c r="D50" t="str">
        <f>"敦煌种业"</f>
        <v>敦煌种业</v>
      </c>
      <c r="E50" t="str">
        <f t="shared" si="12"/>
        <v>证券买入</v>
      </c>
      <c r="F50">
        <v>8.58</v>
      </c>
      <c r="G50">
        <v>6000</v>
      </c>
      <c r="H50" t="str">
        <f>"25771"</f>
        <v>25771</v>
      </c>
      <c r="I50">
        <v>8.58</v>
      </c>
      <c r="J50">
        <v>300</v>
      </c>
      <c r="K50">
        <v>2574</v>
      </c>
      <c r="L50" t="str">
        <f>"846149"</f>
        <v>846149</v>
      </c>
      <c r="M50" t="str">
        <f>"A469141127"</f>
        <v>A469141127</v>
      </c>
      <c r="N50" t="str">
        <f t="shared" si="8"/>
        <v>普通成交</v>
      </c>
    </row>
    <row r="51" spans="1:14" x14ac:dyDescent="0.15">
      <c r="A51" t="str">
        <f t="shared" si="7"/>
        <v>20160428</v>
      </c>
      <c r="B51" t="str">
        <f>"09:42:51"</f>
        <v>09:42:51</v>
      </c>
      <c r="C51" t="str">
        <f>"603111"</f>
        <v>603111</v>
      </c>
      <c r="D51" t="str">
        <f>"康尼机电"</f>
        <v>康尼机电</v>
      </c>
      <c r="E51" t="str">
        <f t="shared" si="12"/>
        <v>证券买入</v>
      </c>
      <c r="F51">
        <v>28.2</v>
      </c>
      <c r="G51">
        <v>1100</v>
      </c>
      <c r="H51" t="str">
        <f>"26165"</f>
        <v>26165</v>
      </c>
      <c r="I51">
        <v>28.18</v>
      </c>
      <c r="J51">
        <v>1100</v>
      </c>
      <c r="K51">
        <v>30998</v>
      </c>
      <c r="L51" t="str">
        <f>"861553"</f>
        <v>861553</v>
      </c>
      <c r="M51" t="str">
        <f>"A469141127"</f>
        <v>A469141127</v>
      </c>
      <c r="N51" t="str">
        <f t="shared" si="8"/>
        <v>普通成交</v>
      </c>
    </row>
    <row r="52" spans="1:14" x14ac:dyDescent="0.15">
      <c r="A52" t="str">
        <f t="shared" si="7"/>
        <v>20160428</v>
      </c>
      <c r="B52" t="str">
        <f>"09:43:35"</f>
        <v>09:43:35</v>
      </c>
      <c r="C52" t="str">
        <f>"300297"</f>
        <v>300297</v>
      </c>
      <c r="D52" t="str">
        <f>"蓝盾股份"</f>
        <v>蓝盾股份</v>
      </c>
      <c r="E52" t="str">
        <f>"证券卖出"</f>
        <v>证券卖出</v>
      </c>
      <c r="F52">
        <v>15.42</v>
      </c>
      <c r="G52">
        <v>7500</v>
      </c>
      <c r="H52" t="str">
        <f>"27034"</f>
        <v>27034</v>
      </c>
      <c r="I52">
        <v>15.43</v>
      </c>
      <c r="J52">
        <v>7500</v>
      </c>
      <c r="K52">
        <v>115725</v>
      </c>
      <c r="L52" t="str">
        <f>"02342926"</f>
        <v>02342926</v>
      </c>
      <c r="M52" t="str">
        <f>"0134985905"</f>
        <v>0134985905</v>
      </c>
      <c r="N52" t="str">
        <f t="shared" si="8"/>
        <v>普通成交</v>
      </c>
    </row>
    <row r="53" spans="1:14" x14ac:dyDescent="0.15">
      <c r="A53" t="str">
        <f t="shared" si="7"/>
        <v>20160428</v>
      </c>
      <c r="B53" t="str">
        <f>"09:43:42"</f>
        <v>09:43:42</v>
      </c>
      <c r="C53" t="str">
        <f>"603111"</f>
        <v>603111</v>
      </c>
      <c r="D53" t="str">
        <f>"康尼机电"</f>
        <v>康尼机电</v>
      </c>
      <c r="E53" t="str">
        <f>"证券买入"</f>
        <v>证券买入</v>
      </c>
      <c r="F53">
        <v>28.2</v>
      </c>
      <c r="G53">
        <v>100</v>
      </c>
      <c r="H53" t="str">
        <f>"27166"</f>
        <v>27166</v>
      </c>
      <c r="I53">
        <v>28.2</v>
      </c>
      <c r="J53">
        <v>100</v>
      </c>
      <c r="K53">
        <v>2820</v>
      </c>
      <c r="L53" t="str">
        <f>"906271"</f>
        <v>906271</v>
      </c>
      <c r="M53" t="str">
        <f>"A469141127"</f>
        <v>A469141127</v>
      </c>
      <c r="N53" t="str">
        <f t="shared" si="8"/>
        <v>普通成交</v>
      </c>
    </row>
    <row r="54" spans="1:14" x14ac:dyDescent="0.15">
      <c r="A54" t="str">
        <f t="shared" si="7"/>
        <v>20160428</v>
      </c>
      <c r="B54" t="str">
        <f>"09:46:09"</f>
        <v>09:46:09</v>
      </c>
      <c r="C54" t="str">
        <f t="shared" ref="C54:C59" si="13">"002011"</f>
        <v>002011</v>
      </c>
      <c r="D54" t="str">
        <f t="shared" ref="D54:D59" si="14">"盾安环境"</f>
        <v>盾安环境</v>
      </c>
      <c r="E54" t="str">
        <f t="shared" ref="E54:E59" si="15">"证券卖出"</f>
        <v>证券卖出</v>
      </c>
      <c r="F54">
        <v>11.09</v>
      </c>
      <c r="G54">
        <v>10500</v>
      </c>
      <c r="H54" t="str">
        <f t="shared" ref="H54:H59" si="16">"26248"</f>
        <v>26248</v>
      </c>
      <c r="I54">
        <v>11.09</v>
      </c>
      <c r="J54">
        <v>500</v>
      </c>
      <c r="K54">
        <v>5545</v>
      </c>
      <c r="L54" t="str">
        <f>"02684224"</f>
        <v>02684224</v>
      </c>
      <c r="M54" t="str">
        <f t="shared" ref="M54:M65" si="17">"0134985905"</f>
        <v>0134985905</v>
      </c>
      <c r="N54" t="str">
        <f t="shared" si="8"/>
        <v>普通成交</v>
      </c>
    </row>
    <row r="55" spans="1:14" x14ac:dyDescent="0.15">
      <c r="A55" t="str">
        <f t="shared" si="7"/>
        <v>20160428</v>
      </c>
      <c r="B55" t="str">
        <f>"09:46:30"</f>
        <v>09:46:30</v>
      </c>
      <c r="C55" t="str">
        <f t="shared" si="13"/>
        <v>002011</v>
      </c>
      <c r="D55" t="str">
        <f t="shared" si="14"/>
        <v>盾安环境</v>
      </c>
      <c r="E55" t="str">
        <f t="shared" si="15"/>
        <v>证券卖出</v>
      </c>
      <c r="F55">
        <v>11.09</v>
      </c>
      <c r="G55">
        <v>10500</v>
      </c>
      <c r="H55" t="str">
        <f t="shared" si="16"/>
        <v>26248</v>
      </c>
      <c r="I55">
        <v>11.09</v>
      </c>
      <c r="J55">
        <v>3300</v>
      </c>
      <c r="K55">
        <v>36597</v>
      </c>
      <c r="L55" t="str">
        <f>"02726419"</f>
        <v>02726419</v>
      </c>
      <c r="M55" t="str">
        <f t="shared" si="17"/>
        <v>0134985905</v>
      </c>
      <c r="N55" t="str">
        <f t="shared" si="8"/>
        <v>普通成交</v>
      </c>
    </row>
    <row r="56" spans="1:14" x14ac:dyDescent="0.15">
      <c r="A56" t="str">
        <f t="shared" si="7"/>
        <v>20160428</v>
      </c>
      <c r="B56" t="str">
        <f>"09:46:35"</f>
        <v>09:46:35</v>
      </c>
      <c r="C56" t="str">
        <f t="shared" si="13"/>
        <v>002011</v>
      </c>
      <c r="D56" t="str">
        <f t="shared" si="14"/>
        <v>盾安环境</v>
      </c>
      <c r="E56" t="str">
        <f t="shared" si="15"/>
        <v>证券卖出</v>
      </c>
      <c r="F56">
        <v>11.09</v>
      </c>
      <c r="G56">
        <v>10500</v>
      </c>
      <c r="H56" t="str">
        <f t="shared" si="16"/>
        <v>26248</v>
      </c>
      <c r="I56">
        <v>11.09</v>
      </c>
      <c r="J56">
        <v>2000</v>
      </c>
      <c r="K56">
        <v>22180</v>
      </c>
      <c r="L56" t="str">
        <f>"02736344"</f>
        <v>02736344</v>
      </c>
      <c r="M56" t="str">
        <f t="shared" si="17"/>
        <v>0134985905</v>
      </c>
      <c r="N56" t="str">
        <f t="shared" si="8"/>
        <v>普通成交</v>
      </c>
    </row>
    <row r="57" spans="1:14" x14ac:dyDescent="0.15">
      <c r="A57" t="str">
        <f t="shared" si="7"/>
        <v>20160428</v>
      </c>
      <c r="B57" t="str">
        <f>"09:46:49"</f>
        <v>09:46:49</v>
      </c>
      <c r="C57" t="str">
        <f t="shared" si="13"/>
        <v>002011</v>
      </c>
      <c r="D57" t="str">
        <f t="shared" si="14"/>
        <v>盾安环境</v>
      </c>
      <c r="E57" t="str">
        <f t="shared" si="15"/>
        <v>证券卖出</v>
      </c>
      <c r="F57">
        <v>11.09</v>
      </c>
      <c r="G57">
        <v>10500</v>
      </c>
      <c r="H57" t="str">
        <f t="shared" si="16"/>
        <v>26248</v>
      </c>
      <c r="I57">
        <v>11.09</v>
      </c>
      <c r="J57">
        <v>100</v>
      </c>
      <c r="K57">
        <v>1109</v>
      </c>
      <c r="L57" t="str">
        <f>"02765058"</f>
        <v>02765058</v>
      </c>
      <c r="M57" t="str">
        <f t="shared" si="17"/>
        <v>0134985905</v>
      </c>
      <c r="N57" t="str">
        <f t="shared" si="8"/>
        <v>普通成交</v>
      </c>
    </row>
    <row r="58" spans="1:14" x14ac:dyDescent="0.15">
      <c r="A58" t="str">
        <f t="shared" si="7"/>
        <v>20160428</v>
      </c>
      <c r="B58" t="str">
        <f>"09:46:51"</f>
        <v>09:46:51</v>
      </c>
      <c r="C58" t="str">
        <f t="shared" si="13"/>
        <v>002011</v>
      </c>
      <c r="D58" t="str">
        <f t="shared" si="14"/>
        <v>盾安环境</v>
      </c>
      <c r="E58" t="str">
        <f t="shared" si="15"/>
        <v>证券卖出</v>
      </c>
      <c r="F58">
        <v>11.09</v>
      </c>
      <c r="G58">
        <v>10500</v>
      </c>
      <c r="H58" t="str">
        <f t="shared" si="16"/>
        <v>26248</v>
      </c>
      <c r="I58">
        <v>11.09</v>
      </c>
      <c r="J58">
        <v>1000</v>
      </c>
      <c r="K58">
        <v>11090</v>
      </c>
      <c r="L58" t="str">
        <f>"02767458"</f>
        <v>02767458</v>
      </c>
      <c r="M58" t="str">
        <f t="shared" si="17"/>
        <v>0134985905</v>
      </c>
      <c r="N58" t="str">
        <f t="shared" si="8"/>
        <v>普通成交</v>
      </c>
    </row>
    <row r="59" spans="1:14" x14ac:dyDescent="0.15">
      <c r="A59" t="str">
        <f t="shared" si="7"/>
        <v>20160428</v>
      </c>
      <c r="B59" t="str">
        <f>"09:47:00"</f>
        <v>09:47:00</v>
      </c>
      <c r="C59" t="str">
        <f t="shared" si="13"/>
        <v>002011</v>
      </c>
      <c r="D59" t="str">
        <f t="shared" si="14"/>
        <v>盾安环境</v>
      </c>
      <c r="E59" t="str">
        <f t="shared" si="15"/>
        <v>证券卖出</v>
      </c>
      <c r="F59">
        <v>11.09</v>
      </c>
      <c r="G59">
        <v>10500</v>
      </c>
      <c r="H59" t="str">
        <f t="shared" si="16"/>
        <v>26248</v>
      </c>
      <c r="I59">
        <v>11.09</v>
      </c>
      <c r="J59">
        <v>3600</v>
      </c>
      <c r="K59">
        <v>39924</v>
      </c>
      <c r="L59" t="str">
        <f>"02786376"</f>
        <v>02786376</v>
      </c>
      <c r="M59" t="str">
        <f t="shared" si="17"/>
        <v>0134985905</v>
      </c>
      <c r="N59" t="str">
        <f t="shared" si="8"/>
        <v>普通成交</v>
      </c>
    </row>
    <row r="60" spans="1:14" x14ac:dyDescent="0.15">
      <c r="A60" t="str">
        <f t="shared" si="7"/>
        <v>20160428</v>
      </c>
      <c r="B60" t="str">
        <f>"09:48:12"</f>
        <v>09:48:12</v>
      </c>
      <c r="C60" t="str">
        <f>"300141"</f>
        <v>300141</v>
      </c>
      <c r="D60" t="str">
        <f>"和顺电气"</f>
        <v>和顺电气</v>
      </c>
      <c r="E60" t="str">
        <f>"证券买入"</f>
        <v>证券买入</v>
      </c>
      <c r="F60">
        <v>35.950000000000003</v>
      </c>
      <c r="G60">
        <v>1000</v>
      </c>
      <c r="H60" t="str">
        <f>"31965"</f>
        <v>31965</v>
      </c>
      <c r="I60">
        <v>35.950000000000003</v>
      </c>
      <c r="J60">
        <v>1000</v>
      </c>
      <c r="K60">
        <v>35950</v>
      </c>
      <c r="L60" t="str">
        <f>"02926878"</f>
        <v>02926878</v>
      </c>
      <c r="M60" t="str">
        <f t="shared" si="17"/>
        <v>0134985905</v>
      </c>
      <c r="N60" t="str">
        <f t="shared" si="8"/>
        <v>普通成交</v>
      </c>
    </row>
    <row r="61" spans="1:14" x14ac:dyDescent="0.15">
      <c r="A61" t="str">
        <f t="shared" si="7"/>
        <v>20160428</v>
      </c>
      <c r="B61" t="str">
        <f>"09:48:37"</f>
        <v>09:48:37</v>
      </c>
      <c r="C61" t="str">
        <f>"002282"</f>
        <v>002282</v>
      </c>
      <c r="D61" t="str">
        <f>"博深工具"</f>
        <v>博深工具</v>
      </c>
      <c r="E61" t="str">
        <f>"证券买入"</f>
        <v>证券买入</v>
      </c>
      <c r="F61">
        <v>11.97</v>
      </c>
      <c r="G61">
        <v>5500</v>
      </c>
      <c r="H61" t="str">
        <f>"31298"</f>
        <v>31298</v>
      </c>
      <c r="I61">
        <v>11.97</v>
      </c>
      <c r="J61">
        <v>5000</v>
      </c>
      <c r="K61">
        <v>59850</v>
      </c>
      <c r="L61" t="str">
        <f>"02978978"</f>
        <v>02978978</v>
      </c>
      <c r="M61" t="str">
        <f t="shared" si="17"/>
        <v>0134985905</v>
      </c>
      <c r="N61" t="str">
        <f t="shared" si="8"/>
        <v>普通成交</v>
      </c>
    </row>
    <row r="62" spans="1:14" x14ac:dyDescent="0.15">
      <c r="A62" t="str">
        <f t="shared" si="7"/>
        <v>20160428</v>
      </c>
      <c r="B62" t="str">
        <f>"09:49:14"</f>
        <v>09:49:14</v>
      </c>
      <c r="C62" t="str">
        <f>"000777"</f>
        <v>000777</v>
      </c>
      <c r="D62" t="str">
        <f>"中核科技"</f>
        <v>中核科技</v>
      </c>
      <c r="E62" t="str">
        <f>"证券买入"</f>
        <v>证券买入</v>
      </c>
      <c r="F62">
        <v>23.48</v>
      </c>
      <c r="G62">
        <v>2600</v>
      </c>
      <c r="H62" t="str">
        <f>"33422"</f>
        <v>33422</v>
      </c>
      <c r="I62">
        <v>23.47</v>
      </c>
      <c r="J62">
        <v>700</v>
      </c>
      <c r="K62">
        <v>16429</v>
      </c>
      <c r="L62" t="str">
        <f>"03054455"</f>
        <v>03054455</v>
      </c>
      <c r="M62" t="str">
        <f t="shared" si="17"/>
        <v>0134985905</v>
      </c>
      <c r="N62" t="str">
        <f t="shared" si="8"/>
        <v>普通成交</v>
      </c>
    </row>
    <row r="63" spans="1:14" x14ac:dyDescent="0.15">
      <c r="A63" t="str">
        <f t="shared" si="7"/>
        <v>20160428</v>
      </c>
      <c r="B63" t="str">
        <f>"09:49:14"</f>
        <v>09:49:14</v>
      </c>
      <c r="C63" t="str">
        <f>"000777"</f>
        <v>000777</v>
      </c>
      <c r="D63" t="str">
        <f>"中核科技"</f>
        <v>中核科技</v>
      </c>
      <c r="E63" t="str">
        <f>"证券买入"</f>
        <v>证券买入</v>
      </c>
      <c r="F63">
        <v>23.48</v>
      </c>
      <c r="G63">
        <v>2600</v>
      </c>
      <c r="H63" t="str">
        <f>"33422"</f>
        <v>33422</v>
      </c>
      <c r="I63">
        <v>23.48</v>
      </c>
      <c r="J63">
        <v>1900</v>
      </c>
      <c r="K63">
        <v>44612</v>
      </c>
      <c r="L63" t="str">
        <f>"03054458"</f>
        <v>03054458</v>
      </c>
      <c r="M63" t="str">
        <f t="shared" si="17"/>
        <v>0134985905</v>
      </c>
      <c r="N63" t="str">
        <f t="shared" si="8"/>
        <v>普通成交</v>
      </c>
    </row>
    <row r="64" spans="1:14" x14ac:dyDescent="0.15">
      <c r="A64" t="str">
        <f t="shared" si="7"/>
        <v>20160428</v>
      </c>
      <c r="B64" t="str">
        <f>"09:49:21"</f>
        <v>09:49:21</v>
      </c>
      <c r="C64" t="str">
        <f>"300141"</f>
        <v>300141</v>
      </c>
      <c r="D64" t="str">
        <f>"和顺电气"</f>
        <v>和顺电气</v>
      </c>
      <c r="E64" t="str">
        <f>"证券卖出"</f>
        <v>证券卖出</v>
      </c>
      <c r="F64">
        <v>36.19</v>
      </c>
      <c r="G64">
        <v>1000</v>
      </c>
      <c r="H64" t="str">
        <f>"33572"</f>
        <v>33572</v>
      </c>
      <c r="I64">
        <v>36.19</v>
      </c>
      <c r="J64">
        <v>1000</v>
      </c>
      <c r="K64">
        <v>36190</v>
      </c>
      <c r="L64" t="str">
        <f>"03067101"</f>
        <v>03067101</v>
      </c>
      <c r="M64" t="str">
        <f t="shared" si="17"/>
        <v>0134985905</v>
      </c>
      <c r="N64" t="str">
        <f t="shared" si="8"/>
        <v>普通成交</v>
      </c>
    </row>
    <row r="65" spans="1:14" x14ac:dyDescent="0.15">
      <c r="A65" t="str">
        <f t="shared" si="7"/>
        <v>20160428</v>
      </c>
      <c r="B65" t="str">
        <f>"09:49:26"</f>
        <v>09:49:26</v>
      </c>
      <c r="C65" t="str">
        <f>"002282"</f>
        <v>002282</v>
      </c>
      <c r="D65" t="str">
        <f>"博深工具"</f>
        <v>博深工具</v>
      </c>
      <c r="E65" t="str">
        <f>"证券买入"</f>
        <v>证券买入</v>
      </c>
      <c r="F65">
        <v>11.97</v>
      </c>
      <c r="G65">
        <v>5500</v>
      </c>
      <c r="H65" t="str">
        <f>"31298"</f>
        <v>31298</v>
      </c>
      <c r="I65">
        <v>11.97</v>
      </c>
      <c r="J65">
        <v>500</v>
      </c>
      <c r="K65">
        <v>5985</v>
      </c>
      <c r="L65" t="str">
        <f>"03077531"</f>
        <v>03077531</v>
      </c>
      <c r="M65" t="str">
        <f t="shared" si="17"/>
        <v>0134985905</v>
      </c>
      <c r="N65" t="str">
        <f t="shared" si="8"/>
        <v>普通成交</v>
      </c>
    </row>
    <row r="66" spans="1:14" x14ac:dyDescent="0.15">
      <c r="A66" t="str">
        <f t="shared" ref="A66:A97" si="18">"20160428"</f>
        <v>20160428</v>
      </c>
      <c r="B66" t="str">
        <f>"09:53:39"</f>
        <v>09:53:39</v>
      </c>
      <c r="C66" t="str">
        <f>"600354"</f>
        <v>600354</v>
      </c>
      <c r="D66" t="str">
        <f>"敦煌种业"</f>
        <v>敦煌种业</v>
      </c>
      <c r="E66" t="str">
        <f>"证券卖出"</f>
        <v>证券卖出</v>
      </c>
      <c r="F66">
        <v>8.61</v>
      </c>
      <c r="G66">
        <v>12900</v>
      </c>
      <c r="H66" t="str">
        <f>"38101"</f>
        <v>38101</v>
      </c>
      <c r="I66">
        <v>8.61</v>
      </c>
      <c r="J66">
        <v>4000</v>
      </c>
      <c r="K66">
        <v>34440</v>
      </c>
      <c r="L66" t="str">
        <f>"1357645"</f>
        <v>1357645</v>
      </c>
      <c r="M66" t="str">
        <f>"A469141127"</f>
        <v>A469141127</v>
      </c>
      <c r="N66" t="str">
        <f t="shared" ref="N66:N97" si="19">"普通成交"</f>
        <v>普通成交</v>
      </c>
    </row>
    <row r="67" spans="1:14" x14ac:dyDescent="0.15">
      <c r="A67" t="str">
        <f t="shared" si="18"/>
        <v>20160428</v>
      </c>
      <c r="B67" t="str">
        <f>"09:53:40"</f>
        <v>09:53:40</v>
      </c>
      <c r="C67" t="str">
        <f>"600354"</f>
        <v>600354</v>
      </c>
      <c r="D67" t="str">
        <f>"敦煌种业"</f>
        <v>敦煌种业</v>
      </c>
      <c r="E67" t="str">
        <f>"证券卖出"</f>
        <v>证券卖出</v>
      </c>
      <c r="F67">
        <v>8.61</v>
      </c>
      <c r="G67">
        <v>12900</v>
      </c>
      <c r="H67" t="str">
        <f>"38101"</f>
        <v>38101</v>
      </c>
      <c r="I67">
        <v>8.61</v>
      </c>
      <c r="J67">
        <v>3000</v>
      </c>
      <c r="K67">
        <v>25830</v>
      </c>
      <c r="L67" t="str">
        <f>"1358492"</f>
        <v>1358492</v>
      </c>
      <c r="M67" t="str">
        <f>"A469141127"</f>
        <v>A469141127</v>
      </c>
      <c r="N67" t="str">
        <f t="shared" si="19"/>
        <v>普通成交</v>
      </c>
    </row>
    <row r="68" spans="1:14" x14ac:dyDescent="0.15">
      <c r="A68" t="str">
        <f t="shared" si="18"/>
        <v>20160428</v>
      </c>
      <c r="B68" t="str">
        <f>"09:53:47"</f>
        <v>09:53:47</v>
      </c>
      <c r="C68" t="str">
        <f>"600354"</f>
        <v>600354</v>
      </c>
      <c r="D68" t="str">
        <f>"敦煌种业"</f>
        <v>敦煌种业</v>
      </c>
      <c r="E68" t="str">
        <f>"证券卖出"</f>
        <v>证券卖出</v>
      </c>
      <c r="F68">
        <v>8.61</v>
      </c>
      <c r="G68">
        <v>12900</v>
      </c>
      <c r="H68" t="str">
        <f>"38101"</f>
        <v>38101</v>
      </c>
      <c r="I68">
        <v>8.61</v>
      </c>
      <c r="J68">
        <v>400</v>
      </c>
      <c r="K68">
        <v>3444</v>
      </c>
      <c r="L68" t="str">
        <f>"1362252"</f>
        <v>1362252</v>
      </c>
      <c r="M68" t="str">
        <f>"A469141127"</f>
        <v>A469141127</v>
      </c>
      <c r="N68" t="str">
        <f t="shared" si="19"/>
        <v>普通成交</v>
      </c>
    </row>
    <row r="69" spans="1:14" x14ac:dyDescent="0.15">
      <c r="A69" t="str">
        <f t="shared" si="18"/>
        <v>20160428</v>
      </c>
      <c r="B69" t="str">
        <f>"09:54:07"</f>
        <v>09:54:07</v>
      </c>
      <c r="C69" t="str">
        <f>"002282"</f>
        <v>002282</v>
      </c>
      <c r="D69" t="str">
        <f>"博深工具"</f>
        <v>博深工具</v>
      </c>
      <c r="E69" t="str">
        <f>"证券卖出"</f>
        <v>证券卖出</v>
      </c>
      <c r="F69">
        <v>12.04</v>
      </c>
      <c r="G69">
        <v>5500</v>
      </c>
      <c r="H69" t="str">
        <f>"34928"</f>
        <v>34928</v>
      </c>
      <c r="I69">
        <v>12.04</v>
      </c>
      <c r="J69">
        <v>500</v>
      </c>
      <c r="K69">
        <v>6020</v>
      </c>
      <c r="L69" t="str">
        <f>"03545678"</f>
        <v>03545678</v>
      </c>
      <c r="M69" t="str">
        <f t="shared" ref="M69:M76" si="20">"0134985905"</f>
        <v>0134985905</v>
      </c>
      <c r="N69" t="str">
        <f t="shared" si="19"/>
        <v>普通成交</v>
      </c>
    </row>
    <row r="70" spans="1:14" x14ac:dyDescent="0.15">
      <c r="A70" t="str">
        <f t="shared" si="18"/>
        <v>20160428</v>
      </c>
      <c r="B70" t="str">
        <f>"09:54:47"</f>
        <v>09:54:47</v>
      </c>
      <c r="C70" t="str">
        <f>"002282"</f>
        <v>002282</v>
      </c>
      <c r="D70" t="str">
        <f>"博深工具"</f>
        <v>博深工具</v>
      </c>
      <c r="E70" t="str">
        <f>"证券卖出"</f>
        <v>证券卖出</v>
      </c>
      <c r="F70">
        <v>12.04</v>
      </c>
      <c r="G70">
        <v>5500</v>
      </c>
      <c r="H70" t="str">
        <f>"34928"</f>
        <v>34928</v>
      </c>
      <c r="I70">
        <v>12.04</v>
      </c>
      <c r="J70">
        <v>2300</v>
      </c>
      <c r="K70">
        <v>27692</v>
      </c>
      <c r="L70" t="str">
        <f>"03609370"</f>
        <v>03609370</v>
      </c>
      <c r="M70" t="str">
        <f t="shared" si="20"/>
        <v>0134985905</v>
      </c>
      <c r="N70" t="str">
        <f t="shared" si="19"/>
        <v>普通成交</v>
      </c>
    </row>
    <row r="71" spans="1:14" x14ac:dyDescent="0.15">
      <c r="A71" t="str">
        <f t="shared" si="18"/>
        <v>20160428</v>
      </c>
      <c r="B71" t="str">
        <f>"09:54:49"</f>
        <v>09:54:49</v>
      </c>
      <c r="C71" t="str">
        <f>"000977"</f>
        <v>000977</v>
      </c>
      <c r="D71" t="str">
        <f>"浪潮信息"</f>
        <v>浪潮信息</v>
      </c>
      <c r="E71" t="str">
        <f>"证券买入"</f>
        <v>证券买入</v>
      </c>
      <c r="F71">
        <v>23.73</v>
      </c>
      <c r="G71">
        <v>4300</v>
      </c>
      <c r="H71" t="str">
        <f>"39328"</f>
        <v>39328</v>
      </c>
      <c r="I71">
        <v>23.73</v>
      </c>
      <c r="J71">
        <v>400</v>
      </c>
      <c r="K71">
        <v>9492</v>
      </c>
      <c r="L71" t="str">
        <f>"03613620"</f>
        <v>03613620</v>
      </c>
      <c r="M71" t="str">
        <f t="shared" si="20"/>
        <v>0134985905</v>
      </c>
      <c r="N71" t="str">
        <f t="shared" si="19"/>
        <v>普通成交</v>
      </c>
    </row>
    <row r="72" spans="1:14" x14ac:dyDescent="0.15">
      <c r="A72" t="str">
        <f t="shared" si="18"/>
        <v>20160428</v>
      </c>
      <c r="B72" t="str">
        <f>"09:55:06"</f>
        <v>09:55:06</v>
      </c>
      <c r="C72" t="str">
        <f>"002282"</f>
        <v>002282</v>
      </c>
      <c r="D72" t="str">
        <f>"博深工具"</f>
        <v>博深工具</v>
      </c>
      <c r="E72" t="str">
        <f t="shared" ref="E72:E85" si="21">"证券卖出"</f>
        <v>证券卖出</v>
      </c>
      <c r="F72">
        <v>12.04</v>
      </c>
      <c r="G72">
        <v>5500</v>
      </c>
      <c r="H72" t="str">
        <f>"34928"</f>
        <v>34928</v>
      </c>
      <c r="I72">
        <v>12.04</v>
      </c>
      <c r="J72">
        <v>2000</v>
      </c>
      <c r="K72">
        <v>24080</v>
      </c>
      <c r="L72" t="str">
        <f>"03640591"</f>
        <v>03640591</v>
      </c>
      <c r="M72" t="str">
        <f t="shared" si="20"/>
        <v>0134985905</v>
      </c>
      <c r="N72" t="str">
        <f t="shared" si="19"/>
        <v>普通成交</v>
      </c>
    </row>
    <row r="73" spans="1:14" x14ac:dyDescent="0.15">
      <c r="A73" t="str">
        <f t="shared" si="18"/>
        <v>20160428</v>
      </c>
      <c r="B73" t="str">
        <f>"09:55:15"</f>
        <v>09:55:15</v>
      </c>
      <c r="C73" t="str">
        <f>"002282"</f>
        <v>002282</v>
      </c>
      <c r="D73" t="str">
        <f>"博深工具"</f>
        <v>博深工具</v>
      </c>
      <c r="E73" t="str">
        <f t="shared" si="21"/>
        <v>证券卖出</v>
      </c>
      <c r="F73">
        <v>12.04</v>
      </c>
      <c r="G73">
        <v>5500</v>
      </c>
      <c r="H73" t="str">
        <f>"34928"</f>
        <v>34928</v>
      </c>
      <c r="I73">
        <v>12.04</v>
      </c>
      <c r="J73">
        <v>100</v>
      </c>
      <c r="K73">
        <v>1204</v>
      </c>
      <c r="L73" t="str">
        <f>"03656029"</f>
        <v>03656029</v>
      </c>
      <c r="M73" t="str">
        <f t="shared" si="20"/>
        <v>0134985905</v>
      </c>
      <c r="N73" t="str">
        <f t="shared" si="19"/>
        <v>普通成交</v>
      </c>
    </row>
    <row r="74" spans="1:14" x14ac:dyDescent="0.15">
      <c r="A74" t="str">
        <f t="shared" si="18"/>
        <v>20160428</v>
      </c>
      <c r="B74" t="str">
        <f>"09:55:25"</f>
        <v>09:55:25</v>
      </c>
      <c r="C74" t="str">
        <f>"002282"</f>
        <v>002282</v>
      </c>
      <c r="D74" t="str">
        <f>"博深工具"</f>
        <v>博深工具</v>
      </c>
      <c r="E74" t="str">
        <f t="shared" si="21"/>
        <v>证券卖出</v>
      </c>
      <c r="F74">
        <v>12.04</v>
      </c>
      <c r="G74">
        <v>5500</v>
      </c>
      <c r="H74" t="str">
        <f>"34928"</f>
        <v>34928</v>
      </c>
      <c r="I74">
        <v>12.04</v>
      </c>
      <c r="J74">
        <v>100</v>
      </c>
      <c r="K74">
        <v>1204</v>
      </c>
      <c r="L74" t="str">
        <f>"03672056"</f>
        <v>03672056</v>
      </c>
      <c r="M74" t="str">
        <f t="shared" si="20"/>
        <v>0134985905</v>
      </c>
      <c r="N74" t="str">
        <f t="shared" si="19"/>
        <v>普通成交</v>
      </c>
    </row>
    <row r="75" spans="1:14" x14ac:dyDescent="0.15">
      <c r="A75" t="str">
        <f t="shared" si="18"/>
        <v>20160428</v>
      </c>
      <c r="B75" t="str">
        <f>"09:55:30"</f>
        <v>09:55:30</v>
      </c>
      <c r="C75" t="str">
        <f>"002282"</f>
        <v>002282</v>
      </c>
      <c r="D75" t="str">
        <f>"博深工具"</f>
        <v>博深工具</v>
      </c>
      <c r="E75" t="str">
        <f t="shared" si="21"/>
        <v>证券卖出</v>
      </c>
      <c r="F75">
        <v>12.04</v>
      </c>
      <c r="G75">
        <v>5500</v>
      </c>
      <c r="H75" t="str">
        <f>"34928"</f>
        <v>34928</v>
      </c>
      <c r="I75">
        <v>12.04</v>
      </c>
      <c r="J75">
        <v>500</v>
      </c>
      <c r="K75">
        <v>6020</v>
      </c>
      <c r="L75" t="str">
        <f>"03681278"</f>
        <v>03681278</v>
      </c>
      <c r="M75" t="str">
        <f t="shared" si="20"/>
        <v>0134985905</v>
      </c>
      <c r="N75" t="str">
        <f t="shared" si="19"/>
        <v>普通成交</v>
      </c>
    </row>
    <row r="76" spans="1:14" x14ac:dyDescent="0.15">
      <c r="A76" t="str">
        <f t="shared" si="18"/>
        <v>20160428</v>
      </c>
      <c r="B76" t="str">
        <f>"09:57:42"</f>
        <v>09:57:42</v>
      </c>
      <c r="C76" t="str">
        <f>"000400"</f>
        <v>000400</v>
      </c>
      <c r="D76" t="str">
        <f>"许继电气"</f>
        <v>许继电气</v>
      </c>
      <c r="E76" t="str">
        <f t="shared" si="21"/>
        <v>证券卖出</v>
      </c>
      <c r="F76">
        <v>15.7</v>
      </c>
      <c r="G76">
        <v>2100</v>
      </c>
      <c r="H76" t="str">
        <f>"41931"</f>
        <v>41931</v>
      </c>
      <c r="I76">
        <v>15.71</v>
      </c>
      <c r="J76">
        <v>2100</v>
      </c>
      <c r="K76">
        <v>32991</v>
      </c>
      <c r="L76" t="str">
        <f>"03903451"</f>
        <v>03903451</v>
      </c>
      <c r="M76" t="str">
        <f t="shared" si="20"/>
        <v>0134985905</v>
      </c>
      <c r="N76" t="str">
        <f t="shared" si="19"/>
        <v>普通成交</v>
      </c>
    </row>
    <row r="77" spans="1:14" x14ac:dyDescent="0.15">
      <c r="A77" t="str">
        <f t="shared" si="18"/>
        <v>20160428</v>
      </c>
      <c r="B77" t="str">
        <f>"09:58:52"</f>
        <v>09:58:52</v>
      </c>
      <c r="C77" t="str">
        <f>"600354"</f>
        <v>600354</v>
      </c>
      <c r="D77" t="str">
        <f>"敦煌种业"</f>
        <v>敦煌种业</v>
      </c>
      <c r="E77" t="str">
        <f t="shared" si="21"/>
        <v>证券卖出</v>
      </c>
      <c r="F77">
        <v>8.6199999999999992</v>
      </c>
      <c r="G77">
        <v>5500</v>
      </c>
      <c r="H77" t="str">
        <f>"42879"</f>
        <v>42879</v>
      </c>
      <c r="I77">
        <v>8.6300000000000008</v>
      </c>
      <c r="J77">
        <v>50</v>
      </c>
      <c r="K77">
        <v>431.5</v>
      </c>
      <c r="L77" t="str">
        <f>"1560165"</f>
        <v>1560165</v>
      </c>
      <c r="M77" t="str">
        <f>"A469141127"</f>
        <v>A469141127</v>
      </c>
      <c r="N77" t="str">
        <f t="shared" si="19"/>
        <v>普通成交</v>
      </c>
    </row>
    <row r="78" spans="1:14" x14ac:dyDescent="0.15">
      <c r="A78" t="str">
        <f t="shared" si="18"/>
        <v>20160428</v>
      </c>
      <c r="B78" t="str">
        <f>"09:58:52"</f>
        <v>09:58:52</v>
      </c>
      <c r="C78" t="str">
        <f>"600354"</f>
        <v>600354</v>
      </c>
      <c r="D78" t="str">
        <f>"敦煌种业"</f>
        <v>敦煌种业</v>
      </c>
      <c r="E78" t="str">
        <f t="shared" si="21"/>
        <v>证券卖出</v>
      </c>
      <c r="F78">
        <v>8.6199999999999992</v>
      </c>
      <c r="G78">
        <v>5500</v>
      </c>
      <c r="H78" t="str">
        <f>"42879"</f>
        <v>42879</v>
      </c>
      <c r="I78">
        <v>8.6199999999999992</v>
      </c>
      <c r="J78">
        <v>5450</v>
      </c>
      <c r="K78">
        <v>46979</v>
      </c>
      <c r="L78" t="str">
        <f>"1560166"</f>
        <v>1560166</v>
      </c>
      <c r="M78" t="str">
        <f>"A469141127"</f>
        <v>A469141127</v>
      </c>
      <c r="N78" t="str">
        <f t="shared" si="19"/>
        <v>普通成交</v>
      </c>
    </row>
    <row r="79" spans="1:14" x14ac:dyDescent="0.15">
      <c r="A79" t="str">
        <f t="shared" si="18"/>
        <v>20160428</v>
      </c>
      <c r="B79" t="str">
        <f>"09:59:17"</f>
        <v>09:59:17</v>
      </c>
      <c r="C79" t="str">
        <f>"000777"</f>
        <v>000777</v>
      </c>
      <c r="D79" t="str">
        <f>"中核科技"</f>
        <v>中核科技</v>
      </c>
      <c r="E79" t="str">
        <f t="shared" si="21"/>
        <v>证券卖出</v>
      </c>
      <c r="F79">
        <v>23.56</v>
      </c>
      <c r="G79">
        <v>2600</v>
      </c>
      <c r="H79" t="str">
        <f>"41567"</f>
        <v>41567</v>
      </c>
      <c r="I79">
        <v>23.56</v>
      </c>
      <c r="J79">
        <v>300</v>
      </c>
      <c r="K79">
        <v>7068</v>
      </c>
      <c r="L79" t="str">
        <f>"04040731"</f>
        <v>04040731</v>
      </c>
      <c r="M79" t="str">
        <f>"0134985905"</f>
        <v>0134985905</v>
      </c>
      <c r="N79" t="str">
        <f t="shared" si="19"/>
        <v>普通成交</v>
      </c>
    </row>
    <row r="80" spans="1:14" x14ac:dyDescent="0.15">
      <c r="A80" t="str">
        <f t="shared" si="18"/>
        <v>20160428</v>
      </c>
      <c r="B80" t="str">
        <f>"10:00:45"</f>
        <v>10:00:45</v>
      </c>
      <c r="C80" t="str">
        <f>"002028"</f>
        <v>002028</v>
      </c>
      <c r="D80" t="str">
        <f>"思源电气"</f>
        <v>思源电气</v>
      </c>
      <c r="E80" t="str">
        <f t="shared" si="21"/>
        <v>证券卖出</v>
      </c>
      <c r="F80">
        <v>10.93</v>
      </c>
      <c r="G80">
        <v>11100</v>
      </c>
      <c r="H80" t="str">
        <f>"45132"</f>
        <v>45132</v>
      </c>
      <c r="I80">
        <v>10.93</v>
      </c>
      <c r="J80">
        <v>6700</v>
      </c>
      <c r="K80">
        <v>73231</v>
      </c>
      <c r="L80" t="str">
        <f>"04161835"</f>
        <v>04161835</v>
      </c>
      <c r="M80" t="str">
        <f>"0134985905"</f>
        <v>0134985905</v>
      </c>
      <c r="N80" t="str">
        <f t="shared" si="19"/>
        <v>普通成交</v>
      </c>
    </row>
    <row r="81" spans="1:14" x14ac:dyDescent="0.15">
      <c r="A81" t="str">
        <f t="shared" si="18"/>
        <v>20160428</v>
      </c>
      <c r="B81" t="str">
        <f>"10:00:46"</f>
        <v>10:00:46</v>
      </c>
      <c r="C81" t="str">
        <f>"002028"</f>
        <v>002028</v>
      </c>
      <c r="D81" t="str">
        <f>"思源电气"</f>
        <v>思源电气</v>
      </c>
      <c r="E81" t="str">
        <f t="shared" si="21"/>
        <v>证券卖出</v>
      </c>
      <c r="F81">
        <v>10.93</v>
      </c>
      <c r="G81">
        <v>11100</v>
      </c>
      <c r="H81" t="str">
        <f>"45132"</f>
        <v>45132</v>
      </c>
      <c r="I81">
        <v>10.93</v>
      </c>
      <c r="J81">
        <v>500</v>
      </c>
      <c r="K81">
        <v>5465</v>
      </c>
      <c r="L81" t="str">
        <f>"04163148"</f>
        <v>04163148</v>
      </c>
      <c r="M81" t="str">
        <f>"0134985905"</f>
        <v>0134985905</v>
      </c>
      <c r="N81" t="str">
        <f t="shared" si="19"/>
        <v>普通成交</v>
      </c>
    </row>
    <row r="82" spans="1:14" x14ac:dyDescent="0.15">
      <c r="A82" t="str">
        <f t="shared" si="18"/>
        <v>20160428</v>
      </c>
      <c r="B82" t="str">
        <f>"10:01:32"</f>
        <v>10:01:32</v>
      </c>
      <c r="C82" t="str">
        <f>"600371"</f>
        <v>600371</v>
      </c>
      <c r="D82" t="str">
        <f>"万向德农"</f>
        <v>万向德农</v>
      </c>
      <c r="E82" t="str">
        <f t="shared" si="21"/>
        <v>证券卖出</v>
      </c>
      <c r="F82">
        <v>18.41</v>
      </c>
      <c r="G82">
        <v>6800</v>
      </c>
      <c r="H82" t="str">
        <f>"45830"</f>
        <v>45830</v>
      </c>
      <c r="I82">
        <v>18.41</v>
      </c>
      <c r="J82">
        <v>6800</v>
      </c>
      <c r="K82">
        <v>125188</v>
      </c>
      <c r="L82" t="str">
        <f>"1647387"</f>
        <v>1647387</v>
      </c>
      <c r="M82" t="str">
        <f>"A469141127"</f>
        <v>A469141127</v>
      </c>
      <c r="N82" t="str">
        <f t="shared" si="19"/>
        <v>普通成交</v>
      </c>
    </row>
    <row r="83" spans="1:14" x14ac:dyDescent="0.15">
      <c r="A83" t="str">
        <f t="shared" si="18"/>
        <v>20160428</v>
      </c>
      <c r="B83" t="str">
        <f>"10:01:54"</f>
        <v>10:01:54</v>
      </c>
      <c r="C83" t="str">
        <f>"300379"</f>
        <v>300379</v>
      </c>
      <c r="D83" t="str">
        <f>"东方通"</f>
        <v>东方通</v>
      </c>
      <c r="E83" t="str">
        <f t="shared" si="21"/>
        <v>证券卖出</v>
      </c>
      <c r="F83">
        <v>64.88</v>
      </c>
      <c r="G83">
        <v>800</v>
      </c>
      <c r="H83" t="str">
        <f>"46114"</f>
        <v>46114</v>
      </c>
      <c r="I83">
        <v>64.88</v>
      </c>
      <c r="J83">
        <v>402</v>
      </c>
      <c r="K83">
        <v>26081.759999999998</v>
      </c>
      <c r="L83" t="str">
        <f>"04258936"</f>
        <v>04258936</v>
      </c>
      <c r="M83" t="str">
        <f t="shared" ref="M83:M106" si="22">"0134985905"</f>
        <v>0134985905</v>
      </c>
      <c r="N83" t="str">
        <f t="shared" si="19"/>
        <v>普通成交</v>
      </c>
    </row>
    <row r="84" spans="1:14" x14ac:dyDescent="0.15">
      <c r="A84" t="str">
        <f t="shared" si="18"/>
        <v>20160428</v>
      </c>
      <c r="B84" t="str">
        <f>"10:01:54"</f>
        <v>10:01:54</v>
      </c>
      <c r="C84" t="str">
        <f>"300379"</f>
        <v>300379</v>
      </c>
      <c r="D84" t="str">
        <f>"东方通"</f>
        <v>东方通</v>
      </c>
      <c r="E84" t="str">
        <f t="shared" si="21"/>
        <v>证券卖出</v>
      </c>
      <c r="F84">
        <v>64.88</v>
      </c>
      <c r="G84">
        <v>800</v>
      </c>
      <c r="H84" t="str">
        <f>"46114"</f>
        <v>46114</v>
      </c>
      <c r="I84">
        <v>64.88</v>
      </c>
      <c r="J84">
        <v>398</v>
      </c>
      <c r="K84">
        <v>25822.240000000002</v>
      </c>
      <c r="L84" t="str">
        <f>"04258937"</f>
        <v>04258937</v>
      </c>
      <c r="M84" t="str">
        <f t="shared" si="22"/>
        <v>0134985905</v>
      </c>
      <c r="N84" t="str">
        <f t="shared" si="19"/>
        <v>普通成交</v>
      </c>
    </row>
    <row r="85" spans="1:14" x14ac:dyDescent="0.15">
      <c r="A85" t="str">
        <f t="shared" si="18"/>
        <v>20160428</v>
      </c>
      <c r="B85" t="str">
        <f>"10:02:27"</f>
        <v>10:02:27</v>
      </c>
      <c r="C85" t="str">
        <f>"002028"</f>
        <v>002028</v>
      </c>
      <c r="D85" t="str">
        <f>"思源电气"</f>
        <v>思源电气</v>
      </c>
      <c r="E85" t="str">
        <f t="shared" si="21"/>
        <v>证券卖出</v>
      </c>
      <c r="F85">
        <v>10.89</v>
      </c>
      <c r="G85">
        <v>3900</v>
      </c>
      <c r="H85" t="str">
        <f>"46481"</f>
        <v>46481</v>
      </c>
      <c r="I85">
        <v>10.89</v>
      </c>
      <c r="J85">
        <v>3900</v>
      </c>
      <c r="K85">
        <v>42471</v>
      </c>
      <c r="L85" t="str">
        <f>"04307454"</f>
        <v>04307454</v>
      </c>
      <c r="M85" t="str">
        <f t="shared" si="22"/>
        <v>0134985905</v>
      </c>
      <c r="N85" t="str">
        <f t="shared" si="19"/>
        <v>普通成交</v>
      </c>
    </row>
    <row r="86" spans="1:14" x14ac:dyDescent="0.15">
      <c r="A86" t="str">
        <f t="shared" si="18"/>
        <v>20160428</v>
      </c>
      <c r="B86" t="str">
        <f>"10:02:46"</f>
        <v>10:02:46</v>
      </c>
      <c r="C86" t="str">
        <f>"000400"</f>
        <v>000400</v>
      </c>
      <c r="D86" t="str">
        <f>"许继电气"</f>
        <v>许继电气</v>
      </c>
      <c r="E86" t="str">
        <f>"证券买入"</f>
        <v>证券买入</v>
      </c>
      <c r="F86">
        <v>15.64</v>
      </c>
      <c r="G86">
        <v>2100</v>
      </c>
      <c r="H86" t="str">
        <f>"46731"</f>
        <v>46731</v>
      </c>
      <c r="I86">
        <v>15.63</v>
      </c>
      <c r="J86">
        <v>2100</v>
      </c>
      <c r="K86">
        <v>32823</v>
      </c>
      <c r="L86" t="str">
        <f>"04333541"</f>
        <v>04333541</v>
      </c>
      <c r="M86" t="str">
        <f t="shared" si="22"/>
        <v>0134985905</v>
      </c>
      <c r="N86" t="str">
        <f t="shared" si="19"/>
        <v>普通成交</v>
      </c>
    </row>
    <row r="87" spans="1:14" x14ac:dyDescent="0.15">
      <c r="A87" t="str">
        <f t="shared" si="18"/>
        <v>20160428</v>
      </c>
      <c r="B87" t="str">
        <f>"10:02:58"</f>
        <v>10:02:58</v>
      </c>
      <c r="C87" t="str">
        <f>"000977"</f>
        <v>000977</v>
      </c>
      <c r="D87" t="str">
        <f>"浪潮信息"</f>
        <v>浪潮信息</v>
      </c>
      <c r="E87" t="str">
        <f>"证券买入"</f>
        <v>证券买入</v>
      </c>
      <c r="F87">
        <v>23.69</v>
      </c>
      <c r="G87">
        <v>900</v>
      </c>
      <c r="H87" t="str">
        <f>"46899"</f>
        <v>46899</v>
      </c>
      <c r="I87">
        <v>23.69</v>
      </c>
      <c r="J87">
        <v>400</v>
      </c>
      <c r="K87">
        <v>9476</v>
      </c>
      <c r="L87" t="str">
        <f>"04350565"</f>
        <v>04350565</v>
      </c>
      <c r="M87" t="str">
        <f t="shared" si="22"/>
        <v>0134985905</v>
      </c>
      <c r="N87" t="str">
        <f t="shared" si="19"/>
        <v>普通成交</v>
      </c>
    </row>
    <row r="88" spans="1:14" x14ac:dyDescent="0.15">
      <c r="A88" t="str">
        <f t="shared" si="18"/>
        <v>20160428</v>
      </c>
      <c r="B88" t="str">
        <f>"10:03:34"</f>
        <v>10:03:34</v>
      </c>
      <c r="C88" t="str">
        <f>"000777"</f>
        <v>000777</v>
      </c>
      <c r="D88" t="str">
        <f>"中核科技"</f>
        <v>中核科技</v>
      </c>
      <c r="E88" t="str">
        <f>"证券卖出"</f>
        <v>证券卖出</v>
      </c>
      <c r="F88">
        <v>23.5</v>
      </c>
      <c r="G88">
        <v>2300</v>
      </c>
      <c r="H88" t="str">
        <f>"47390"</f>
        <v>47390</v>
      </c>
      <c r="I88">
        <v>23.5</v>
      </c>
      <c r="J88">
        <v>100</v>
      </c>
      <c r="K88">
        <v>2350</v>
      </c>
      <c r="L88" t="str">
        <f>"04397323"</f>
        <v>04397323</v>
      </c>
      <c r="M88" t="str">
        <f t="shared" si="22"/>
        <v>0134985905</v>
      </c>
      <c r="N88" t="str">
        <f t="shared" si="19"/>
        <v>普通成交</v>
      </c>
    </row>
    <row r="89" spans="1:14" x14ac:dyDescent="0.15">
      <c r="A89" t="str">
        <f t="shared" si="18"/>
        <v>20160428</v>
      </c>
      <c r="B89" t="str">
        <f>"10:03:36"</f>
        <v>10:03:36</v>
      </c>
      <c r="C89" t="str">
        <f>"000777"</f>
        <v>000777</v>
      </c>
      <c r="D89" t="str">
        <f>"中核科技"</f>
        <v>中核科技</v>
      </c>
      <c r="E89" t="str">
        <f>"证券卖出"</f>
        <v>证券卖出</v>
      </c>
      <c r="F89">
        <v>23.5</v>
      </c>
      <c r="G89">
        <v>2300</v>
      </c>
      <c r="H89" t="str">
        <f>"47390"</f>
        <v>47390</v>
      </c>
      <c r="I89">
        <v>23.5</v>
      </c>
      <c r="J89">
        <v>700</v>
      </c>
      <c r="K89">
        <v>16450</v>
      </c>
      <c r="L89" t="str">
        <f>"04399387"</f>
        <v>04399387</v>
      </c>
      <c r="M89" t="str">
        <f t="shared" si="22"/>
        <v>0134985905</v>
      </c>
      <c r="N89" t="str">
        <f t="shared" si="19"/>
        <v>普通成交</v>
      </c>
    </row>
    <row r="90" spans="1:14" x14ac:dyDescent="0.15">
      <c r="A90" t="str">
        <f t="shared" si="18"/>
        <v>20160428</v>
      </c>
      <c r="B90" t="str">
        <f>"10:03:40"</f>
        <v>10:03:40</v>
      </c>
      <c r="C90" t="str">
        <f>"000777"</f>
        <v>000777</v>
      </c>
      <c r="D90" t="str">
        <f>"中核科技"</f>
        <v>中核科技</v>
      </c>
      <c r="E90" t="str">
        <f>"证券卖出"</f>
        <v>证券卖出</v>
      </c>
      <c r="F90">
        <v>23.5</v>
      </c>
      <c r="G90">
        <v>2300</v>
      </c>
      <c r="H90" t="str">
        <f>"47390"</f>
        <v>47390</v>
      </c>
      <c r="I90">
        <v>23.5</v>
      </c>
      <c r="J90">
        <v>100</v>
      </c>
      <c r="K90">
        <v>2350</v>
      </c>
      <c r="L90" t="str">
        <f>"04404441"</f>
        <v>04404441</v>
      </c>
      <c r="M90" t="str">
        <f t="shared" si="22"/>
        <v>0134985905</v>
      </c>
      <c r="N90" t="str">
        <f t="shared" si="19"/>
        <v>普通成交</v>
      </c>
    </row>
    <row r="91" spans="1:14" x14ac:dyDescent="0.15">
      <c r="A91" t="str">
        <f t="shared" si="18"/>
        <v>20160428</v>
      </c>
      <c r="B91" t="str">
        <f>"10:03:41"</f>
        <v>10:03:41</v>
      </c>
      <c r="C91" t="str">
        <f>"000777"</f>
        <v>000777</v>
      </c>
      <c r="D91" t="str">
        <f>"中核科技"</f>
        <v>中核科技</v>
      </c>
      <c r="E91" t="str">
        <f>"证券卖出"</f>
        <v>证券卖出</v>
      </c>
      <c r="F91">
        <v>23.5</v>
      </c>
      <c r="G91">
        <v>2300</v>
      </c>
      <c r="H91" t="str">
        <f>"47390"</f>
        <v>47390</v>
      </c>
      <c r="I91">
        <v>23.5</v>
      </c>
      <c r="J91">
        <v>300</v>
      </c>
      <c r="K91">
        <v>7050</v>
      </c>
      <c r="L91" t="str">
        <f>"04405913"</f>
        <v>04405913</v>
      </c>
      <c r="M91" t="str">
        <f t="shared" si="22"/>
        <v>0134985905</v>
      </c>
      <c r="N91" t="str">
        <f t="shared" si="19"/>
        <v>普通成交</v>
      </c>
    </row>
    <row r="92" spans="1:14" x14ac:dyDescent="0.15">
      <c r="A92" t="str">
        <f t="shared" si="18"/>
        <v>20160428</v>
      </c>
      <c r="B92" t="str">
        <f>"10:03:41"</f>
        <v>10:03:41</v>
      </c>
      <c r="C92" t="str">
        <f>"000777"</f>
        <v>000777</v>
      </c>
      <c r="D92" t="str">
        <f>"中核科技"</f>
        <v>中核科技</v>
      </c>
      <c r="E92" t="str">
        <f>"证券卖出"</f>
        <v>证券卖出</v>
      </c>
      <c r="F92">
        <v>23.5</v>
      </c>
      <c r="G92">
        <v>2300</v>
      </c>
      <c r="H92" t="str">
        <f>"47390"</f>
        <v>47390</v>
      </c>
      <c r="I92">
        <v>23.5</v>
      </c>
      <c r="J92">
        <v>1100</v>
      </c>
      <c r="K92">
        <v>25850</v>
      </c>
      <c r="L92" t="str">
        <f>"04406215"</f>
        <v>04406215</v>
      </c>
      <c r="M92" t="str">
        <f t="shared" si="22"/>
        <v>0134985905</v>
      </c>
      <c r="N92" t="str">
        <f t="shared" si="19"/>
        <v>普通成交</v>
      </c>
    </row>
    <row r="93" spans="1:14" x14ac:dyDescent="0.15">
      <c r="A93" t="str">
        <f t="shared" si="18"/>
        <v>20160428</v>
      </c>
      <c r="B93" t="str">
        <f>"10:03:49"</f>
        <v>10:03:49</v>
      </c>
      <c r="C93" t="str">
        <f>"000977"</f>
        <v>000977</v>
      </c>
      <c r="D93" t="str">
        <f>"浪潮信息"</f>
        <v>浪潮信息</v>
      </c>
      <c r="E93" t="str">
        <f>"证券买入"</f>
        <v>证券买入</v>
      </c>
      <c r="F93">
        <v>23.69</v>
      </c>
      <c r="G93">
        <v>900</v>
      </c>
      <c r="H93" t="str">
        <f>"46899"</f>
        <v>46899</v>
      </c>
      <c r="I93">
        <v>23.69</v>
      </c>
      <c r="J93">
        <v>200</v>
      </c>
      <c r="K93">
        <v>4738</v>
      </c>
      <c r="L93" t="str">
        <f>"04416588"</f>
        <v>04416588</v>
      </c>
      <c r="M93" t="str">
        <f t="shared" si="22"/>
        <v>0134985905</v>
      </c>
      <c r="N93" t="str">
        <f t="shared" si="19"/>
        <v>普通成交</v>
      </c>
    </row>
    <row r="94" spans="1:14" x14ac:dyDescent="0.15">
      <c r="A94" t="str">
        <f t="shared" si="18"/>
        <v>20160428</v>
      </c>
      <c r="B94" t="str">
        <f>"10:03:53"</f>
        <v>10:03:53</v>
      </c>
      <c r="C94" t="str">
        <f>"000977"</f>
        <v>000977</v>
      </c>
      <c r="D94" t="str">
        <f>"浪潮信息"</f>
        <v>浪潮信息</v>
      </c>
      <c r="E94" t="str">
        <f>"证券买入"</f>
        <v>证券买入</v>
      </c>
      <c r="F94">
        <v>23.69</v>
      </c>
      <c r="G94">
        <v>900</v>
      </c>
      <c r="H94" t="str">
        <f>"46899"</f>
        <v>46899</v>
      </c>
      <c r="I94">
        <v>23.69</v>
      </c>
      <c r="J94">
        <v>300</v>
      </c>
      <c r="K94">
        <v>7107</v>
      </c>
      <c r="L94" t="str">
        <f>"04422221"</f>
        <v>04422221</v>
      </c>
      <c r="M94" t="str">
        <f t="shared" si="22"/>
        <v>0134985905</v>
      </c>
      <c r="N94" t="str">
        <f t="shared" si="19"/>
        <v>普通成交</v>
      </c>
    </row>
    <row r="95" spans="1:14" x14ac:dyDescent="0.15">
      <c r="A95" t="str">
        <f t="shared" si="18"/>
        <v>20160428</v>
      </c>
      <c r="B95" t="str">
        <f>"10:06:37"</f>
        <v>10:06:37</v>
      </c>
      <c r="C95" t="str">
        <f>"002175"</f>
        <v>002175</v>
      </c>
      <c r="D95" t="str">
        <f>"东方网络"</f>
        <v>东方网络</v>
      </c>
      <c r="E95" t="str">
        <f t="shared" ref="E95:E101" si="23">"证券卖出"</f>
        <v>证券卖出</v>
      </c>
      <c r="F95">
        <v>47.03</v>
      </c>
      <c r="G95">
        <v>500</v>
      </c>
      <c r="H95" t="str">
        <f>"49449"</f>
        <v>49449</v>
      </c>
      <c r="I95">
        <v>47.1</v>
      </c>
      <c r="J95">
        <v>500</v>
      </c>
      <c r="K95">
        <v>23550</v>
      </c>
      <c r="L95" t="str">
        <f>"04634670"</f>
        <v>04634670</v>
      </c>
      <c r="M95" t="str">
        <f t="shared" si="22"/>
        <v>0134985905</v>
      </c>
      <c r="N95" t="str">
        <f t="shared" si="19"/>
        <v>普通成交</v>
      </c>
    </row>
    <row r="96" spans="1:14" x14ac:dyDescent="0.15">
      <c r="A96" t="str">
        <f t="shared" si="18"/>
        <v>20160428</v>
      </c>
      <c r="B96" t="str">
        <f>"10:06:55"</f>
        <v>10:06:55</v>
      </c>
      <c r="C96" t="str">
        <f>"300001"</f>
        <v>300001</v>
      </c>
      <c r="D96" t="str">
        <f>"特锐德"</f>
        <v>特锐德</v>
      </c>
      <c r="E96" t="str">
        <f t="shared" si="23"/>
        <v>证券卖出</v>
      </c>
      <c r="F96">
        <v>22.68</v>
      </c>
      <c r="G96">
        <v>5200</v>
      </c>
      <c r="H96" t="str">
        <f>"45759"</f>
        <v>45759</v>
      </c>
      <c r="I96">
        <v>22.68</v>
      </c>
      <c r="J96">
        <v>1699</v>
      </c>
      <c r="K96">
        <v>38533.32</v>
      </c>
      <c r="L96" t="str">
        <f>"04659889"</f>
        <v>04659889</v>
      </c>
      <c r="M96" t="str">
        <f t="shared" si="22"/>
        <v>0134985905</v>
      </c>
      <c r="N96" t="str">
        <f t="shared" si="19"/>
        <v>普通成交</v>
      </c>
    </row>
    <row r="97" spans="1:14" x14ac:dyDescent="0.15">
      <c r="A97" t="str">
        <f t="shared" si="18"/>
        <v>20160428</v>
      </c>
      <c r="B97" t="str">
        <f>"10:08:38"</f>
        <v>10:08:38</v>
      </c>
      <c r="C97" t="str">
        <f>"000400"</f>
        <v>000400</v>
      </c>
      <c r="D97" t="str">
        <f>"许继电气"</f>
        <v>许继电气</v>
      </c>
      <c r="E97" t="str">
        <f t="shared" si="23"/>
        <v>证券卖出</v>
      </c>
      <c r="F97">
        <v>15.66</v>
      </c>
      <c r="G97">
        <v>2100</v>
      </c>
      <c r="H97" t="str">
        <f>"50696"</f>
        <v>50696</v>
      </c>
      <c r="I97">
        <v>15.67</v>
      </c>
      <c r="J97">
        <v>2100</v>
      </c>
      <c r="K97">
        <v>32907</v>
      </c>
      <c r="L97" t="str">
        <f>"04793454"</f>
        <v>04793454</v>
      </c>
      <c r="M97" t="str">
        <f t="shared" si="22"/>
        <v>0134985905</v>
      </c>
      <c r="N97" t="str">
        <f t="shared" si="19"/>
        <v>普通成交</v>
      </c>
    </row>
    <row r="98" spans="1:14" x14ac:dyDescent="0.15">
      <c r="A98" t="str">
        <f t="shared" ref="A98:A112" si="24">"20160428"</f>
        <v>20160428</v>
      </c>
      <c r="B98" t="str">
        <f>"10:09:27"</f>
        <v>10:09:27</v>
      </c>
      <c r="C98" t="str">
        <f>"300001"</f>
        <v>300001</v>
      </c>
      <c r="D98" t="str">
        <f>"特锐德"</f>
        <v>特锐德</v>
      </c>
      <c r="E98" t="str">
        <f t="shared" si="23"/>
        <v>证券卖出</v>
      </c>
      <c r="F98">
        <v>22.63</v>
      </c>
      <c r="G98">
        <v>3501</v>
      </c>
      <c r="H98" t="str">
        <f>"51161"</f>
        <v>51161</v>
      </c>
      <c r="I98">
        <v>22.63</v>
      </c>
      <c r="J98">
        <v>1720</v>
      </c>
      <c r="K98">
        <v>38923.599999999999</v>
      </c>
      <c r="L98" t="str">
        <f>"04859614"</f>
        <v>04859614</v>
      </c>
      <c r="M98" t="str">
        <f t="shared" si="22"/>
        <v>0134985905</v>
      </c>
      <c r="N98" t="str">
        <f t="shared" ref="N98:N112" si="25">"普通成交"</f>
        <v>普通成交</v>
      </c>
    </row>
    <row r="99" spans="1:14" x14ac:dyDescent="0.15">
      <c r="A99" t="str">
        <f t="shared" si="24"/>
        <v>20160428</v>
      </c>
      <c r="B99" t="str">
        <f>"10:09:33"</f>
        <v>10:09:33</v>
      </c>
      <c r="C99" t="str">
        <f>"300001"</f>
        <v>300001</v>
      </c>
      <c r="D99" t="str">
        <f>"特锐德"</f>
        <v>特锐德</v>
      </c>
      <c r="E99" t="str">
        <f t="shared" si="23"/>
        <v>证券卖出</v>
      </c>
      <c r="F99">
        <v>22.63</v>
      </c>
      <c r="G99">
        <v>3501</v>
      </c>
      <c r="H99" t="str">
        <f>"51161"</f>
        <v>51161</v>
      </c>
      <c r="I99">
        <v>22.63</v>
      </c>
      <c r="J99">
        <v>100</v>
      </c>
      <c r="K99">
        <v>2263</v>
      </c>
      <c r="L99" t="str">
        <f>"04867899"</f>
        <v>04867899</v>
      </c>
      <c r="M99" t="str">
        <f t="shared" si="22"/>
        <v>0134985905</v>
      </c>
      <c r="N99" t="str">
        <f t="shared" si="25"/>
        <v>普通成交</v>
      </c>
    </row>
    <row r="100" spans="1:14" x14ac:dyDescent="0.15">
      <c r="A100" t="str">
        <f t="shared" si="24"/>
        <v>20160428</v>
      </c>
      <c r="B100" t="str">
        <f>"10:09:34"</f>
        <v>10:09:34</v>
      </c>
      <c r="C100" t="str">
        <f>"300001"</f>
        <v>300001</v>
      </c>
      <c r="D100" t="str">
        <f>"特锐德"</f>
        <v>特锐德</v>
      </c>
      <c r="E100" t="str">
        <f t="shared" si="23"/>
        <v>证券卖出</v>
      </c>
      <c r="F100">
        <v>22.63</v>
      </c>
      <c r="G100">
        <v>3501</v>
      </c>
      <c r="H100" t="str">
        <f>"51161"</f>
        <v>51161</v>
      </c>
      <c r="I100">
        <v>22.63</v>
      </c>
      <c r="J100">
        <v>1000</v>
      </c>
      <c r="K100">
        <v>22630</v>
      </c>
      <c r="L100" t="str">
        <f>"04869488"</f>
        <v>04869488</v>
      </c>
      <c r="M100" t="str">
        <f t="shared" si="22"/>
        <v>0134985905</v>
      </c>
      <c r="N100" t="str">
        <f t="shared" si="25"/>
        <v>普通成交</v>
      </c>
    </row>
    <row r="101" spans="1:14" x14ac:dyDescent="0.15">
      <c r="A101" t="str">
        <f t="shared" si="24"/>
        <v>20160428</v>
      </c>
      <c r="B101" t="str">
        <f>"10:09:41"</f>
        <v>10:09:41</v>
      </c>
      <c r="C101" t="str">
        <f>"300001"</f>
        <v>300001</v>
      </c>
      <c r="D101" t="str">
        <f>"特锐德"</f>
        <v>特锐德</v>
      </c>
      <c r="E101" t="str">
        <f t="shared" si="23"/>
        <v>证券卖出</v>
      </c>
      <c r="F101">
        <v>22.63</v>
      </c>
      <c r="G101">
        <v>3501</v>
      </c>
      <c r="H101" t="str">
        <f>"51161"</f>
        <v>51161</v>
      </c>
      <c r="I101">
        <v>22.63</v>
      </c>
      <c r="J101">
        <v>681</v>
      </c>
      <c r="K101">
        <v>15411.03</v>
      </c>
      <c r="L101" t="str">
        <f>"04878821"</f>
        <v>04878821</v>
      </c>
      <c r="M101" t="str">
        <f t="shared" si="22"/>
        <v>0134985905</v>
      </c>
      <c r="N101" t="str">
        <f t="shared" si="25"/>
        <v>普通成交</v>
      </c>
    </row>
    <row r="102" spans="1:14" x14ac:dyDescent="0.15">
      <c r="A102" t="str">
        <f t="shared" si="24"/>
        <v>20160428</v>
      </c>
      <c r="B102" t="str">
        <f>"10:09:44"</f>
        <v>10:09:44</v>
      </c>
      <c r="C102" t="str">
        <f>"300379"</f>
        <v>300379</v>
      </c>
      <c r="D102" t="str">
        <f>"东方通"</f>
        <v>东方通</v>
      </c>
      <c r="E102" t="str">
        <f t="shared" ref="E102:E112" si="26">"证券买入"</f>
        <v>证券买入</v>
      </c>
      <c r="F102">
        <v>64.739999999999995</v>
      </c>
      <c r="G102">
        <v>800</v>
      </c>
      <c r="H102" t="str">
        <f>"51361"</f>
        <v>51361</v>
      </c>
      <c r="I102">
        <v>64.739999999999995</v>
      </c>
      <c r="J102">
        <v>800</v>
      </c>
      <c r="K102">
        <v>51792</v>
      </c>
      <c r="L102" t="str">
        <f>"04883319"</f>
        <v>04883319</v>
      </c>
      <c r="M102" t="str">
        <f t="shared" si="22"/>
        <v>0134985905</v>
      </c>
      <c r="N102" t="str">
        <f t="shared" si="25"/>
        <v>普通成交</v>
      </c>
    </row>
    <row r="103" spans="1:14" x14ac:dyDescent="0.15">
      <c r="A103" t="str">
        <f t="shared" si="24"/>
        <v>20160428</v>
      </c>
      <c r="B103" t="str">
        <f>"10:10:18"</f>
        <v>10:10:18</v>
      </c>
      <c r="C103" t="str">
        <f>"002175"</f>
        <v>002175</v>
      </c>
      <c r="D103" t="str">
        <f>"东方网络"</f>
        <v>东方网络</v>
      </c>
      <c r="E103" t="str">
        <f t="shared" si="26"/>
        <v>证券买入</v>
      </c>
      <c r="F103">
        <v>46.97</v>
      </c>
      <c r="G103">
        <v>500</v>
      </c>
      <c r="H103" t="str">
        <f>"51760"</f>
        <v>51760</v>
      </c>
      <c r="I103">
        <v>46.97</v>
      </c>
      <c r="J103">
        <v>500</v>
      </c>
      <c r="K103">
        <v>23485</v>
      </c>
      <c r="L103" t="str">
        <f>"04930542"</f>
        <v>04930542</v>
      </c>
      <c r="M103" t="str">
        <f t="shared" si="22"/>
        <v>0134985905</v>
      </c>
      <c r="N103" t="str">
        <f t="shared" si="25"/>
        <v>普通成交</v>
      </c>
    </row>
    <row r="104" spans="1:14" x14ac:dyDescent="0.15">
      <c r="A104" t="str">
        <f t="shared" si="24"/>
        <v>20160428</v>
      </c>
      <c r="B104" t="str">
        <f>"10:10:46"</f>
        <v>10:10:46</v>
      </c>
      <c r="C104" t="str">
        <f>"000400"</f>
        <v>000400</v>
      </c>
      <c r="D104" t="str">
        <f>"许继电气"</f>
        <v>许继电气</v>
      </c>
      <c r="E104" t="str">
        <f t="shared" si="26"/>
        <v>证券买入</v>
      </c>
      <c r="F104">
        <v>15.7</v>
      </c>
      <c r="G104">
        <v>2100</v>
      </c>
      <c r="H104" t="str">
        <f>"52010"</f>
        <v>52010</v>
      </c>
      <c r="I104">
        <v>15.7</v>
      </c>
      <c r="J104">
        <v>303</v>
      </c>
      <c r="K104">
        <v>4757.1000000000004</v>
      </c>
      <c r="L104" t="str">
        <f>"04969928"</f>
        <v>04969928</v>
      </c>
      <c r="M104" t="str">
        <f t="shared" si="22"/>
        <v>0134985905</v>
      </c>
      <c r="N104" t="str">
        <f t="shared" si="25"/>
        <v>普通成交</v>
      </c>
    </row>
    <row r="105" spans="1:14" x14ac:dyDescent="0.15">
      <c r="A105" t="str">
        <f t="shared" si="24"/>
        <v>20160428</v>
      </c>
      <c r="B105" t="str">
        <f>"10:10:47"</f>
        <v>10:10:47</v>
      </c>
      <c r="C105" t="str">
        <f>"000400"</f>
        <v>000400</v>
      </c>
      <c r="D105" t="str">
        <f>"许继电气"</f>
        <v>许继电气</v>
      </c>
      <c r="E105" t="str">
        <f t="shared" si="26"/>
        <v>证券买入</v>
      </c>
      <c r="F105">
        <v>15.7</v>
      </c>
      <c r="G105">
        <v>2100</v>
      </c>
      <c r="H105" t="str">
        <f>"52010"</f>
        <v>52010</v>
      </c>
      <c r="I105">
        <v>15.7</v>
      </c>
      <c r="J105">
        <v>200</v>
      </c>
      <c r="K105">
        <v>3140</v>
      </c>
      <c r="L105" t="str">
        <f>"04971854"</f>
        <v>04971854</v>
      </c>
      <c r="M105" t="str">
        <f t="shared" si="22"/>
        <v>0134985905</v>
      </c>
      <c r="N105" t="str">
        <f t="shared" si="25"/>
        <v>普通成交</v>
      </c>
    </row>
    <row r="106" spans="1:14" x14ac:dyDescent="0.15">
      <c r="A106" t="str">
        <f t="shared" si="24"/>
        <v>20160428</v>
      </c>
      <c r="B106" t="str">
        <f>"10:10:47"</f>
        <v>10:10:47</v>
      </c>
      <c r="C106" t="str">
        <f>"000400"</f>
        <v>000400</v>
      </c>
      <c r="D106" t="str">
        <f>"许继电气"</f>
        <v>许继电气</v>
      </c>
      <c r="E106" t="str">
        <f t="shared" si="26"/>
        <v>证券买入</v>
      </c>
      <c r="F106">
        <v>15.7</v>
      </c>
      <c r="G106">
        <v>2100</v>
      </c>
      <c r="H106" t="str">
        <f>"52010"</f>
        <v>52010</v>
      </c>
      <c r="I106">
        <v>15.7</v>
      </c>
      <c r="J106">
        <v>1597</v>
      </c>
      <c r="K106">
        <v>25072.9</v>
      </c>
      <c r="L106" t="str">
        <f>"04972409"</f>
        <v>04972409</v>
      </c>
      <c r="M106" t="str">
        <f t="shared" si="22"/>
        <v>0134985905</v>
      </c>
      <c r="N106" t="str">
        <f t="shared" si="25"/>
        <v>普通成交</v>
      </c>
    </row>
    <row r="107" spans="1:14" x14ac:dyDescent="0.15">
      <c r="A107" t="str">
        <f t="shared" si="24"/>
        <v>20160428</v>
      </c>
      <c r="B107" t="str">
        <f>"10:10:52"</f>
        <v>10:10:52</v>
      </c>
      <c r="C107" t="str">
        <f t="shared" ref="C107:C112" si="27">"600354"</f>
        <v>600354</v>
      </c>
      <c r="D107" t="str">
        <f t="shared" ref="D107:D112" si="28">"敦煌种业"</f>
        <v>敦煌种业</v>
      </c>
      <c r="E107" t="str">
        <f t="shared" si="26"/>
        <v>证券买入</v>
      </c>
      <c r="F107">
        <v>8.5500000000000007</v>
      </c>
      <c r="G107">
        <v>4000</v>
      </c>
      <c r="H107" t="str">
        <f t="shared" ref="H107:H112" si="29">"52098"</f>
        <v>52098</v>
      </c>
      <c r="I107">
        <v>8.5500000000000007</v>
      </c>
      <c r="J107">
        <v>1600</v>
      </c>
      <c r="K107">
        <v>13680</v>
      </c>
      <c r="L107" t="str">
        <f>"1938346"</f>
        <v>1938346</v>
      </c>
      <c r="M107" t="str">
        <f t="shared" ref="M107:M112" si="30">"A469141127"</f>
        <v>A469141127</v>
      </c>
      <c r="N107" t="str">
        <f t="shared" si="25"/>
        <v>普通成交</v>
      </c>
    </row>
    <row r="108" spans="1:14" x14ac:dyDescent="0.15">
      <c r="A108" t="str">
        <f t="shared" si="24"/>
        <v>20160428</v>
      </c>
      <c r="B108" t="str">
        <f>"10:10:53"</f>
        <v>10:10:53</v>
      </c>
      <c r="C108" t="str">
        <f t="shared" si="27"/>
        <v>600354</v>
      </c>
      <c r="D108" t="str">
        <f t="shared" si="28"/>
        <v>敦煌种业</v>
      </c>
      <c r="E108" t="str">
        <f t="shared" si="26"/>
        <v>证券买入</v>
      </c>
      <c r="F108">
        <v>8.5500000000000007</v>
      </c>
      <c r="G108">
        <v>4000</v>
      </c>
      <c r="H108" t="str">
        <f t="shared" si="29"/>
        <v>52098</v>
      </c>
      <c r="I108">
        <v>8.5500000000000007</v>
      </c>
      <c r="J108">
        <v>200</v>
      </c>
      <c r="K108">
        <v>1710</v>
      </c>
      <c r="L108" t="str">
        <f>"1938541"</f>
        <v>1938541</v>
      </c>
      <c r="M108" t="str">
        <f t="shared" si="30"/>
        <v>A469141127</v>
      </c>
      <c r="N108" t="str">
        <f t="shared" si="25"/>
        <v>普通成交</v>
      </c>
    </row>
    <row r="109" spans="1:14" x14ac:dyDescent="0.15">
      <c r="A109" t="str">
        <f t="shared" si="24"/>
        <v>20160428</v>
      </c>
      <c r="B109" t="str">
        <f>"10:10:53"</f>
        <v>10:10:53</v>
      </c>
      <c r="C109" t="str">
        <f t="shared" si="27"/>
        <v>600354</v>
      </c>
      <c r="D109" t="str">
        <f t="shared" si="28"/>
        <v>敦煌种业</v>
      </c>
      <c r="E109" t="str">
        <f t="shared" si="26"/>
        <v>证券买入</v>
      </c>
      <c r="F109">
        <v>8.5500000000000007</v>
      </c>
      <c r="G109">
        <v>4000</v>
      </c>
      <c r="H109" t="str">
        <f t="shared" si="29"/>
        <v>52098</v>
      </c>
      <c r="I109">
        <v>8.5500000000000007</v>
      </c>
      <c r="J109">
        <v>1000</v>
      </c>
      <c r="K109">
        <v>8550</v>
      </c>
      <c r="L109" t="str">
        <f>"1938688"</f>
        <v>1938688</v>
      </c>
      <c r="M109" t="str">
        <f t="shared" si="30"/>
        <v>A469141127</v>
      </c>
      <c r="N109" t="str">
        <f t="shared" si="25"/>
        <v>普通成交</v>
      </c>
    </row>
    <row r="110" spans="1:14" x14ac:dyDescent="0.15">
      <c r="A110" t="str">
        <f t="shared" si="24"/>
        <v>20160428</v>
      </c>
      <c r="B110" t="str">
        <f>"10:11:01"</f>
        <v>10:11:01</v>
      </c>
      <c r="C110" t="str">
        <f t="shared" si="27"/>
        <v>600354</v>
      </c>
      <c r="D110" t="str">
        <f t="shared" si="28"/>
        <v>敦煌种业</v>
      </c>
      <c r="E110" t="str">
        <f t="shared" si="26"/>
        <v>证券买入</v>
      </c>
      <c r="F110">
        <v>8.5500000000000007</v>
      </c>
      <c r="G110">
        <v>4000</v>
      </c>
      <c r="H110" t="str">
        <f t="shared" si="29"/>
        <v>52098</v>
      </c>
      <c r="I110">
        <v>8.5500000000000007</v>
      </c>
      <c r="J110">
        <v>200</v>
      </c>
      <c r="K110">
        <v>1710</v>
      </c>
      <c r="L110" t="str">
        <f>"1943155"</f>
        <v>1943155</v>
      </c>
      <c r="M110" t="str">
        <f t="shared" si="30"/>
        <v>A469141127</v>
      </c>
      <c r="N110" t="str">
        <f t="shared" si="25"/>
        <v>普通成交</v>
      </c>
    </row>
    <row r="111" spans="1:14" x14ac:dyDescent="0.15">
      <c r="A111" t="str">
        <f t="shared" si="24"/>
        <v>20160428</v>
      </c>
      <c r="B111" t="str">
        <f>"10:11:03"</f>
        <v>10:11:03</v>
      </c>
      <c r="C111" t="str">
        <f t="shared" si="27"/>
        <v>600354</v>
      </c>
      <c r="D111" t="str">
        <f t="shared" si="28"/>
        <v>敦煌种业</v>
      </c>
      <c r="E111" t="str">
        <f t="shared" si="26"/>
        <v>证券买入</v>
      </c>
      <c r="F111">
        <v>8.5500000000000007</v>
      </c>
      <c r="G111">
        <v>4000</v>
      </c>
      <c r="H111" t="str">
        <f t="shared" si="29"/>
        <v>52098</v>
      </c>
      <c r="I111">
        <v>8.5500000000000007</v>
      </c>
      <c r="J111">
        <v>800</v>
      </c>
      <c r="K111">
        <v>6840</v>
      </c>
      <c r="L111" t="str">
        <f>"1943987"</f>
        <v>1943987</v>
      </c>
      <c r="M111" t="str">
        <f t="shared" si="30"/>
        <v>A469141127</v>
      </c>
      <c r="N111" t="str">
        <f t="shared" si="25"/>
        <v>普通成交</v>
      </c>
    </row>
    <row r="112" spans="1:14" x14ac:dyDescent="0.15">
      <c r="A112" t="str">
        <f t="shared" si="24"/>
        <v>20160428</v>
      </c>
      <c r="B112" t="str">
        <f>"10:11:17"</f>
        <v>10:11:17</v>
      </c>
      <c r="C112" t="str">
        <f t="shared" si="27"/>
        <v>600354</v>
      </c>
      <c r="D112" t="str">
        <f t="shared" si="28"/>
        <v>敦煌种业</v>
      </c>
      <c r="E112" t="str">
        <f t="shared" si="26"/>
        <v>证券买入</v>
      </c>
      <c r="F112">
        <v>8.5500000000000007</v>
      </c>
      <c r="G112">
        <v>4000</v>
      </c>
      <c r="H112" t="str">
        <f t="shared" si="29"/>
        <v>52098</v>
      </c>
      <c r="I112">
        <v>8.5500000000000007</v>
      </c>
      <c r="J112">
        <v>200</v>
      </c>
      <c r="K112">
        <v>1710</v>
      </c>
      <c r="L112" t="str">
        <f>"1950769"</f>
        <v>1950769</v>
      </c>
      <c r="M112" t="str">
        <f t="shared" si="30"/>
        <v>A469141127</v>
      </c>
      <c r="N112" t="str">
        <f t="shared" si="25"/>
        <v>普通成交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当日成交--国泰普通.xlsx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Ethan Colin</cp:lastModifiedBy>
  <dcterms:created xsi:type="dcterms:W3CDTF">2016-04-28T08:38:53Z</dcterms:created>
  <dcterms:modified xsi:type="dcterms:W3CDTF">2016-04-28T08:39:06Z</dcterms:modified>
</cp:coreProperties>
</file>