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codeName="ThisWorkbook" autoCompressPictures="0"/>
  <bookViews>
    <workbookView xWindow="0" yWindow="0" windowWidth="25600" windowHeight="16060" activeTab="1"/>
  </bookViews>
  <sheets>
    <sheet name="Risk" sheetId="24" r:id="rId1"/>
    <sheet name="EM" sheetId="32" r:id="rId2"/>
    <sheet name="Summary" sheetId="28" r:id="rId3"/>
    <sheet name="RiskPort" sheetId="30" r:id="rId4"/>
    <sheet name="Sheet1" sheetId="31" r:id="rId5"/>
    <sheet name="Risk-MSGARCH" sheetId="25" r:id="rId6"/>
    <sheet name="Risk-Backtest" sheetId="27" r:id="rId7"/>
    <sheet name="Performance" sheetId="26" r:id="rId8"/>
    <sheet name="PerformanceBench" sheetId="2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1" l="1"/>
  <c r="P9" i="30"/>
  <c r="E7" i="30"/>
  <c r="F36" i="24"/>
  <c r="D9" i="24"/>
  <c r="D13" i="24"/>
  <c r="D14" i="24"/>
  <c r="G36" i="24" a="1"/>
  <c r="G36" i="24"/>
  <c r="S36" i="24"/>
  <c r="E6" i="30" a="1"/>
  <c r="E6" i="30"/>
  <c r="F3" i="24"/>
  <c r="F4" i="24"/>
  <c r="F5" i="24"/>
  <c r="F6" i="24"/>
  <c r="F7" i="24"/>
  <c r="F8" i="24"/>
  <c r="F9" i="24"/>
  <c r="F10" i="24"/>
  <c r="F11" i="24"/>
  <c r="F12" i="24"/>
  <c r="F13" i="24"/>
  <c r="F14" i="24"/>
  <c r="F15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F34" i="24"/>
  <c r="F35" i="24"/>
  <c r="F37" i="24"/>
  <c r="F38" i="24"/>
  <c r="H3" i="30"/>
  <c r="G3" i="24" a="1"/>
  <c r="G3" i="24"/>
  <c r="G4" i="24" a="1"/>
  <c r="G4" i="24"/>
  <c r="G5" i="24" a="1"/>
  <c r="G6" i="24" a="1"/>
  <c r="G7" i="24" a="1"/>
  <c r="G8" i="24" a="1"/>
  <c r="G9" i="24" a="1"/>
  <c r="G10" i="24" a="1"/>
  <c r="G11" i="24" a="1"/>
  <c r="G12" i="24" a="1"/>
  <c r="G13" i="24" a="1"/>
  <c r="G14" i="24" a="1"/>
  <c r="G15" i="24" a="1"/>
  <c r="G16" i="24" a="1"/>
  <c r="G17" i="24" a="1"/>
  <c r="G18" i="24" a="1"/>
  <c r="G19" i="24" a="1"/>
  <c r="G20" i="24" a="1"/>
  <c r="G21" i="24" a="1"/>
  <c r="G22" i="24" a="1"/>
  <c r="G23" i="24" a="1"/>
  <c r="G24" i="24" a="1"/>
  <c r="G25" i="24" a="1"/>
  <c r="G26" i="24" a="1"/>
  <c r="G27" i="24" a="1"/>
  <c r="G28" i="24" a="1"/>
  <c r="G29" i="24" a="1"/>
  <c r="G30" i="24" a="1"/>
  <c r="G31" i="24" a="1"/>
  <c r="G32" i="24" a="1"/>
  <c r="G33" i="24" a="1"/>
  <c r="G34" i="24" a="1"/>
  <c r="G35" i="24" a="1"/>
  <c r="G37" i="24" a="1"/>
  <c r="G38" i="24" a="1"/>
  <c r="G39" i="24" a="1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7" i="24"/>
  <c r="G38" i="24"/>
  <c r="G39" i="24"/>
  <c r="M3" i="30" a="1"/>
  <c r="M3" i="30"/>
  <c r="M4" i="30"/>
  <c r="L3" i="30" a="1"/>
  <c r="L3" i="30"/>
  <c r="L4" i="30"/>
  <c r="K3" i="30" a="1"/>
  <c r="K3" i="30"/>
  <c r="K4" i="30"/>
  <c r="J3" i="30" a="1"/>
  <c r="J3" i="30"/>
  <c r="J4" i="30"/>
  <c r="I3" i="30" a="1"/>
  <c r="I3" i="30"/>
  <c r="I4" i="30"/>
  <c r="E3" i="30"/>
  <c r="T41" i="24"/>
  <c r="S37" i="24"/>
  <c r="S38" i="24"/>
  <c r="S41" i="24"/>
  <c r="I3" i="24"/>
  <c r="I4" i="24"/>
  <c r="I5" i="24"/>
  <c r="I6" i="24"/>
  <c r="I7" i="24"/>
  <c r="I8" i="24"/>
  <c r="I9" i="24"/>
  <c r="I10" i="24"/>
  <c r="I11" i="24"/>
  <c r="I12" i="24"/>
  <c r="I13" i="24"/>
  <c r="I14" i="24"/>
  <c r="I15" i="24"/>
  <c r="I16" i="24"/>
  <c r="I17" i="24"/>
  <c r="I18" i="24"/>
  <c r="I19" i="24"/>
  <c r="I20" i="24"/>
  <c r="I21" i="24"/>
  <c r="I22" i="24"/>
  <c r="I23" i="24"/>
  <c r="I24" i="24"/>
  <c r="I25" i="24"/>
  <c r="I26" i="24"/>
  <c r="I27" i="24"/>
  <c r="I28" i="24"/>
  <c r="I29" i="24"/>
  <c r="I30" i="24"/>
  <c r="I31" i="24"/>
  <c r="I32" i="24"/>
  <c r="I33" i="24"/>
  <c r="I34" i="24"/>
  <c r="I35" i="24"/>
  <c r="I36" i="24"/>
  <c r="I37" i="24"/>
  <c r="I38" i="24"/>
  <c r="I41" i="24"/>
  <c r="F41" i="24"/>
  <c r="Y39" i="24"/>
  <c r="O39" i="24"/>
  <c r="Y38" i="24"/>
  <c r="U38" i="24"/>
  <c r="O38" i="24"/>
  <c r="Y37" i="24"/>
  <c r="U37" i="24"/>
  <c r="O37" i="24"/>
  <c r="Y36" i="24"/>
  <c r="U36" i="24"/>
  <c r="O36" i="24"/>
  <c r="Y35" i="24"/>
  <c r="O35" i="24"/>
  <c r="Y34" i="24"/>
  <c r="U34" i="24"/>
  <c r="O34" i="24"/>
  <c r="Y33" i="24"/>
  <c r="U33" i="24"/>
  <c r="O33" i="24"/>
  <c r="Y32" i="24"/>
  <c r="U32" i="24"/>
  <c r="O32" i="24"/>
  <c r="Y31" i="24"/>
  <c r="U31" i="24"/>
  <c r="O31" i="24"/>
  <c r="Y30" i="24"/>
  <c r="U30" i="24"/>
  <c r="O30" i="24"/>
  <c r="Y29" i="24"/>
  <c r="U29" i="24"/>
  <c r="O29" i="24"/>
  <c r="Y28" i="24"/>
  <c r="U28" i="24"/>
  <c r="O28" i="24"/>
  <c r="Y27" i="24"/>
  <c r="U27" i="24"/>
  <c r="O27" i="24"/>
  <c r="Y26" i="24"/>
  <c r="U26" i="24"/>
  <c r="O26" i="24"/>
  <c r="Y25" i="24"/>
  <c r="U25" i="24"/>
  <c r="O25" i="24"/>
  <c r="Y24" i="24"/>
  <c r="U24" i="24"/>
  <c r="O24" i="24"/>
  <c r="Y23" i="24"/>
  <c r="U23" i="24"/>
  <c r="O23" i="24"/>
  <c r="Y22" i="24"/>
  <c r="U22" i="24"/>
  <c r="O22" i="24"/>
  <c r="Y21" i="24"/>
  <c r="U21" i="24"/>
  <c r="O21" i="24"/>
  <c r="Y20" i="24"/>
  <c r="U20" i="24"/>
  <c r="O20" i="24"/>
  <c r="Y19" i="24"/>
  <c r="U19" i="24"/>
  <c r="O19" i="24"/>
  <c r="Y18" i="24"/>
  <c r="U18" i="24"/>
  <c r="O18" i="24"/>
  <c r="Y17" i="24"/>
  <c r="U17" i="24"/>
  <c r="O17" i="24"/>
  <c r="Y16" i="24"/>
  <c r="U16" i="24"/>
  <c r="O16" i="24"/>
  <c r="Y15" i="24"/>
  <c r="U15" i="24"/>
  <c r="O15" i="24"/>
  <c r="Y14" i="24"/>
  <c r="U14" i="24"/>
  <c r="O14" i="24"/>
  <c r="Y13" i="24"/>
  <c r="U13" i="24"/>
  <c r="O13" i="24"/>
  <c r="Y12" i="24"/>
  <c r="U12" i="24"/>
  <c r="O12" i="24"/>
  <c r="Y11" i="24"/>
  <c r="U11" i="24"/>
  <c r="O11" i="24"/>
  <c r="Y10" i="24"/>
  <c r="U10" i="24"/>
  <c r="O10" i="24"/>
  <c r="Y9" i="24"/>
  <c r="U9" i="24"/>
  <c r="O9" i="24"/>
  <c r="Y8" i="24"/>
  <c r="U8" i="24"/>
  <c r="O8" i="24"/>
  <c r="Y7" i="24"/>
  <c r="U7" i="24"/>
  <c r="O7" i="24"/>
  <c r="Y6" i="24"/>
  <c r="U6" i="24"/>
  <c r="O6" i="24"/>
  <c r="Y5" i="24"/>
  <c r="U5" i="24"/>
  <c r="O5" i="24"/>
  <c r="Y4" i="24"/>
  <c r="U4" i="24"/>
  <c r="O4" i="24"/>
  <c r="Y3" i="24"/>
  <c r="U3" i="24"/>
  <c r="O3" i="24"/>
</calcChain>
</file>

<file path=xl/comments1.xml><?xml version="1.0" encoding="utf-8"?>
<comments xmlns="http://schemas.openxmlformats.org/spreadsheetml/2006/main">
  <authors>
    <author>ml ml</author>
  </authors>
  <commentList>
    <comment ref="B2" authorId="0">
      <text>
        <r>
          <rPr>
            <b/>
            <sz val="9"/>
            <color indexed="81"/>
            <rFont val="Calibri"/>
            <family val="2"/>
          </rPr>
          <t>ml ml:</t>
        </r>
        <r>
          <rPr>
            <sz val="9"/>
            <color indexed="81"/>
            <rFont val="Calibri"/>
            <family val="2"/>
          </rPr>
          <t xml:space="preserve">
red = too short time series for the consideration of the cumulative simulation i.e. no diversification benefits are considered</t>
        </r>
      </text>
    </comment>
  </commentList>
</comments>
</file>

<file path=xl/sharedStrings.xml><?xml version="1.0" encoding="utf-8"?>
<sst xmlns="http://schemas.openxmlformats.org/spreadsheetml/2006/main" count="197" uniqueCount="192">
  <si>
    <t>Name</t>
  </si>
  <si>
    <t>Newstrike Resources Ltd</t>
  </si>
  <si>
    <t>Canopy Growth Corp </t>
  </si>
  <si>
    <t>Manganese X Energy Corp</t>
  </si>
  <si>
    <t>Amundi ETF CAC 40</t>
  </si>
  <si>
    <t>Volume</t>
  </si>
  <si>
    <t>CANNAROYALTY CORP. REGISTERED SHARES O.N.</t>
  </si>
  <si>
    <t>GLOBAL X MSCI ARGENTINA ETF</t>
  </si>
  <si>
    <t>iShares MSCI France ETF</t>
  </si>
  <si>
    <t>Apple Inc</t>
  </si>
  <si>
    <t xml:space="preserve">SNAP INC. REGISTERED </t>
  </si>
  <si>
    <t>Global X Lithium &amp; Battery Tech ETF</t>
  </si>
  <si>
    <t>Global X Robotics &amp; Artificial Intelligence ETF</t>
  </si>
  <si>
    <t>DB X-TRACKERS MSCI INDONESIA INDEX UCITS ETF</t>
  </si>
  <si>
    <t>COMSTAGE-SDAX UCITS ETF</t>
  </si>
  <si>
    <t>ROBO GLOBAL(R)ROBOTICS AND AUTOMATION GO UCITS ETF</t>
  </si>
  <si>
    <t>Russell 3000</t>
  </si>
  <si>
    <t>Spectra7 Microsystems</t>
  </si>
  <si>
    <t>ISHARES MDAX UCITS ETF</t>
  </si>
  <si>
    <t>SWX:ROBO</t>
  </si>
  <si>
    <t>CNSX:CRZ</t>
  </si>
  <si>
    <t>BMV:EWQ</t>
  </si>
  <si>
    <t>FRA:9SC2</t>
  </si>
  <si>
    <t>FRA:C005</t>
  </si>
  <si>
    <t>FRA:EXS3</t>
  </si>
  <si>
    <t>FRA:APC</t>
  </si>
  <si>
    <t>Google Finance Ticker1</t>
  </si>
  <si>
    <t>MSCI WORLD ETF</t>
  </si>
  <si>
    <t>#Length</t>
  </si>
  <si>
    <t>S&amp;P 500</t>
  </si>
  <si>
    <t>Share Portfolio</t>
  </si>
  <si>
    <t>FRA:7M0</t>
  </si>
  <si>
    <t>NYSEARCA:EIDO</t>
  </si>
  <si>
    <t>NYSE:SNAP</t>
  </si>
  <si>
    <t>NYSEARCA:LIT</t>
  </si>
  <si>
    <t>NASDAQ:BOTZ</t>
  </si>
  <si>
    <t>NYSEARCA:IWV</t>
  </si>
  <si>
    <t>NYSEARCA:ARGT</t>
  </si>
  <si>
    <t>FRA:0N8</t>
  </si>
  <si>
    <t>FRA:11L1</t>
  </si>
  <si>
    <t>FRA:GC40</t>
  </si>
  <si>
    <t>Value</t>
  </si>
  <si>
    <t>LON:IJPE</t>
  </si>
  <si>
    <t>iShares MSCI Japan EUR Hedged UCITS ETF (Acc)</t>
  </si>
  <si>
    <t>NYSEARCA:SPY</t>
  </si>
  <si>
    <t>NYSEARCA:URTH</t>
  </si>
  <si>
    <t>Cannabis Science Inc</t>
  </si>
  <si>
    <t>GW Pharmaceuticals PLC- ADR</t>
  </si>
  <si>
    <t>OTCMKTS:CBIS</t>
  </si>
  <si>
    <t>OTCMKTS:GRNH</t>
  </si>
  <si>
    <t>NASDAQ:GWPH</t>
  </si>
  <si>
    <t>VaR conf. Interval 5%</t>
  </si>
  <si>
    <t>Aphria Inc</t>
  </si>
  <si>
    <t>FRA:10E</t>
  </si>
  <si>
    <t>GreenGro Technologies, Inc. Common Stock</t>
  </si>
  <si>
    <t>Aurora Cannabis Inc</t>
  </si>
  <si>
    <t>FRA:MEW</t>
  </si>
  <si>
    <t>MedReleaf Corp</t>
  </si>
  <si>
    <t>FRA:21P</t>
  </si>
  <si>
    <t>Denison Mines Corp</t>
  </si>
  <si>
    <t>FRA:IUQ</t>
  </si>
  <si>
    <t xml:space="preserve">AMG Metallurgical Group NV </t>
  </si>
  <si>
    <t>Energy Fuels Inc</t>
  </si>
  <si>
    <t>FRA:VO51</t>
  </si>
  <si>
    <t>FRA:ADG</t>
  </si>
  <si>
    <t>std. log returns</t>
  </si>
  <si>
    <t>Close Price</t>
  </si>
  <si>
    <t>VaR 99% 1D. Nor. Dis.</t>
  </si>
  <si>
    <t>1D. log Return</t>
  </si>
  <si>
    <t>5D. log Return</t>
  </si>
  <si>
    <t>23D. log Return</t>
  </si>
  <si>
    <t>125D. log Return</t>
  </si>
  <si>
    <t>250D. log Return</t>
  </si>
  <si>
    <t>In Cum. Sim.</t>
  </si>
  <si>
    <t>VaR 99% 1D. Bootstrap</t>
  </si>
  <si>
    <t>VaR</t>
  </si>
  <si>
    <t xml:space="preserve">  of which cum. Sim. VaR</t>
  </si>
  <si>
    <t xml:space="preserve">  of which isol. VaR</t>
  </si>
  <si>
    <t>isol. Var</t>
  </si>
  <si>
    <t>log Normal</t>
  </si>
  <si>
    <t>HS</t>
  </si>
  <si>
    <t>HS - MSGARCH</t>
  </si>
  <si>
    <t>ES</t>
  </si>
  <si>
    <t xml:space="preserve">  of which cum. Sim. ES </t>
  </si>
  <si>
    <t xml:space="preserve">  of which isol. ES</t>
  </si>
  <si>
    <t>isol. ES</t>
  </si>
  <si>
    <t>CAPM</t>
  </si>
  <si>
    <t>Total Portfolio</t>
  </si>
  <si>
    <t>OTCMKTS:HLSPY</t>
  </si>
  <si>
    <t>Heliospectra AB</t>
  </si>
  <si>
    <t>MSGARCH</t>
  </si>
  <si>
    <t>VaR HS</t>
  </si>
  <si>
    <t>VaR Gaus</t>
  </si>
  <si>
    <t>NASDAQ:FINX</t>
  </si>
  <si>
    <t>Glb X FUNDS/FINTECH THEMATIC ET</t>
  </si>
  <si>
    <t>NASDAQ:AVAV</t>
  </si>
  <si>
    <t>AeroVironment, Inc.</t>
  </si>
  <si>
    <t>Position Value</t>
  </si>
  <si>
    <t>1D return in €</t>
  </si>
  <si>
    <t>cVaR</t>
  </si>
  <si>
    <t>iShares MSCI South Korea Index Fund(ETF)</t>
  </si>
  <si>
    <t>mVaR</t>
  </si>
  <si>
    <t>NYSEARCA:DTO</t>
  </si>
  <si>
    <t>DB CRUDE OIL DOUBLE SHORT ETN</t>
  </si>
  <si>
    <t>iShares MSCI Thailand Inv Mrkt Index Fd</t>
  </si>
  <si>
    <t>NYSEARCA:THD</t>
  </si>
  <si>
    <t>indivinduall VaR</t>
  </si>
  <si>
    <t>cVaR / ind. VaR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</si>
  <si>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</si>
  <si>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</si>
  <si>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</si>
  <si>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</si>
  <si>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</si>
  <si>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</si>
  <si>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</si>
  <si>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</si>
  <si>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Total:</t>
  </si>
  <si>
    <t xml:space="preserve">cVaR / position Value in % </t>
  </si>
  <si>
    <t>LON:IDKO</t>
  </si>
  <si>
    <t>FRA:SXRT</t>
  </si>
  <si>
    <t>iShares Core EURO STOXX 50 UCITS ETF (Acc)</t>
  </si>
  <si>
    <t>NYSEARCA:EEM</t>
  </si>
  <si>
    <t>iShares MSCI Emerging Markets Indx (ETF)</t>
  </si>
  <si>
    <t>LIT</t>
  </si>
  <si>
    <t>BOTZ</t>
  </si>
  <si>
    <t>EIDO</t>
  </si>
  <si>
    <t>ROBO</t>
  </si>
  <si>
    <t>IWV</t>
  </si>
  <si>
    <t>7M0</t>
  </si>
  <si>
    <t>SNAP</t>
  </si>
  <si>
    <t>CRZ</t>
  </si>
  <si>
    <t>ARGT</t>
  </si>
  <si>
    <t>EWQ</t>
  </si>
  <si>
    <t>0N8</t>
  </si>
  <si>
    <t>11L1</t>
  </si>
  <si>
    <t>9SC2</t>
  </si>
  <si>
    <t>C005</t>
  </si>
  <si>
    <t>GC40</t>
  </si>
  <si>
    <t>EXS3</t>
  </si>
  <si>
    <t>APC</t>
  </si>
  <si>
    <t>IJPE</t>
  </si>
  <si>
    <t>CBIS</t>
  </si>
  <si>
    <t>GRNH</t>
  </si>
  <si>
    <t>GWPH</t>
  </si>
  <si>
    <t>21P</t>
  </si>
  <si>
    <t>MEW</t>
  </si>
  <si>
    <t>10E</t>
  </si>
  <si>
    <t>IUQ</t>
  </si>
  <si>
    <t>VO51</t>
  </si>
  <si>
    <t>HLSPY</t>
  </si>
  <si>
    <t>FINX</t>
  </si>
  <si>
    <t>AVAV</t>
  </si>
  <si>
    <t>IDKO</t>
  </si>
  <si>
    <t>ADG</t>
  </si>
  <si>
    <t>THD</t>
  </si>
  <si>
    <t>DTO</t>
  </si>
  <si>
    <t>URTH</t>
  </si>
  <si>
    <t>SPY</t>
  </si>
  <si>
    <t>EEM</t>
  </si>
  <si>
    <t>SXRT</t>
  </si>
  <si>
    <t>Chile</t>
  </si>
  <si>
    <t xml:space="preserve"> Hungary</t>
  </si>
  <si>
    <t>and</t>
  </si>
  <si>
    <t>South Africa</t>
  </si>
  <si>
    <t>United Arab Emirates</t>
  </si>
  <si>
    <t>Brazil</t>
  </si>
  <si>
    <t>Colombia</t>
  </si>
  <si>
    <t>Egypt</t>
  </si>
  <si>
    <t>Greece</t>
  </si>
  <si>
    <t> India</t>
  </si>
  <si>
    <t>Indonesia</t>
  </si>
  <si>
    <t>Korea</t>
  </si>
  <si>
    <t>Malaysia</t>
  </si>
  <si>
    <t>Mexico</t>
  </si>
  <si>
    <t>Morocco</t>
  </si>
  <si>
    <t>Qatar</t>
  </si>
  <si>
    <t>Peru</t>
  </si>
  <si>
    <t>Philippines</t>
  </si>
  <si>
    <t>Poland</t>
  </si>
  <si>
    <t>Russia</t>
  </si>
  <si>
    <t>South Korea</t>
  </si>
  <si>
    <t>Taiwan</t>
  </si>
  <si>
    <t>Thailand</t>
  </si>
  <si>
    <t>Turkey</t>
  </si>
  <si>
    <t>China</t>
  </si>
  <si>
    <t>Czech Republic</t>
  </si>
  <si>
    <t>LON:CSBR</t>
  </si>
  <si>
    <t>FRA: CEBE</t>
  </si>
  <si>
    <t>LON: CNYA</t>
  </si>
  <si>
    <t>FRA: 36BZ</t>
  </si>
  <si>
    <t>NYSEARCA: GXG</t>
  </si>
  <si>
    <t>NYSEARCA: 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</si>
</sst>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164" formatCode="_-* #,##0.0000\ &quot;€&quot;_-;\-* #,##0.0000\ &quot;€&quot;_-;_-* &quot;-&quot;??\ &quot;€&quot;_-;_-@_-"/>
    <numFmt numFmtId="165" formatCode="0.000%"/>
    <numFmt numFmtId="166" formatCode="_-* #,##0\ _€_-;\-* #,##0\ _€_-;_-* &quot;-&quot;??\ _€_-;_-@_-"/>
    <numFmt numFmtId="167" formatCode="_-* #,##0\ &quot;€&quot;_-;\-* #,##0\ &quot;€&quot;_-;_-* &quot;-&quot;??\ &quot;€&quot;_-;_-@_-"/>
    <numFmt numFmtId="168" formatCode="_-* #,##0.00000\ &quot;€&quot;_-;\-* #,##0.00000\ &quot;€&quot;_-;_-* &quot;-&quot;??\ &quot;€&quot;_-;_-@_-"/>
    <numFmt numFmtId="169" formatCode="_-&quot;â‚¬&quot;* #,##0.00_-;\-&quot;â‚¬&quot;* #,##0.00_-;_-&quot;â‚¬&quot;* &quot;-&quot;??_-;_-@_-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1"/>
      <color rgb="FF222222"/>
      <name val="Calibri"/>
    </font>
    <font>
      <sz val="13"/>
      <color rgb="FF222222"/>
      <name val="Arial"/>
    </font>
    <font>
      <sz val="27"/>
      <color theme="1"/>
      <name val="Arial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44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 vertical="center" wrapText="1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/>
    </xf>
    <xf numFmtId="44" fontId="3" fillId="2" borderId="0" xfId="0" applyNumberFormat="1" applyFont="1" applyFill="1" applyAlignment="1">
      <alignment horizontal="center"/>
    </xf>
    <xf numFmtId="10" fontId="3" fillId="2" borderId="0" xfId="0" applyNumberFormat="1" applyFont="1" applyFill="1"/>
    <xf numFmtId="167" fontId="3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167" fontId="3" fillId="2" borderId="0" xfId="0" applyNumberFormat="1" applyFont="1" applyFill="1"/>
    <xf numFmtId="44" fontId="3" fillId="0" borderId="0" xfId="0" applyNumberFormat="1" applyFont="1" applyAlignment="1">
      <alignment horizontal="center"/>
    </xf>
    <xf numFmtId="168" fontId="3" fillId="2" borderId="0" xfId="0" applyNumberFormat="1" applyFont="1" applyFill="1" applyAlignment="1">
      <alignment horizontal="center"/>
    </xf>
    <xf numFmtId="167" fontId="3" fillId="0" borderId="0" xfId="0" applyNumberFormat="1" applyFont="1"/>
    <xf numFmtId="44" fontId="3" fillId="0" borderId="0" xfId="0" applyNumberFormat="1" applyFont="1"/>
    <xf numFmtId="0" fontId="4" fillId="3" borderId="2" xfId="0" applyFont="1" applyFill="1" applyBorder="1" applyAlignment="1">
      <alignment horizontal="center" vertical="center" wrapText="1"/>
    </xf>
    <xf numFmtId="164" fontId="3" fillId="2" borderId="0" xfId="0" applyNumberFormat="1" applyFont="1" applyFill="1" applyAlignment="1">
      <alignment horizontal="center"/>
    </xf>
    <xf numFmtId="168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/>
    <xf numFmtId="0" fontId="4" fillId="0" borderId="1" xfId="0" applyFont="1" applyBorder="1" applyAlignment="1">
      <alignment horizontal="center" vertical="center" wrapText="1"/>
    </xf>
    <xf numFmtId="10" fontId="3" fillId="0" borderId="0" xfId="0" applyNumberFormat="1" applyFont="1"/>
    <xf numFmtId="0" fontId="5" fillId="3" borderId="3" xfId="0" applyFont="1" applyFill="1" applyBorder="1" applyAlignment="1">
      <alignment horizontal="center" vertical="center" wrapText="1"/>
    </xf>
    <xf numFmtId="169" fontId="3" fillId="0" borderId="0" xfId="0" applyNumberFormat="1" applyFont="1"/>
    <xf numFmtId="3" fontId="6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166" fontId="3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169" fontId="3" fillId="0" borderId="0" xfId="0" applyNumberFormat="1" applyFont="1" applyAlignment="1">
      <alignment horizontal="center"/>
    </xf>
    <xf numFmtId="0" fontId="7" fillId="0" borderId="0" xfId="0" applyFont="1"/>
    <xf numFmtId="10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/>
    <xf numFmtId="44" fontId="3" fillId="0" borderId="0" xfId="1" applyFont="1"/>
    <xf numFmtId="165" fontId="14" fillId="0" borderId="4" xfId="0" applyNumberFormat="1" applyFont="1" applyBorder="1" applyAlignment="1">
      <alignment horizontal="center"/>
    </xf>
    <xf numFmtId="165" fontId="14" fillId="0" borderId="5" xfId="0" applyNumberFormat="1" applyFont="1" applyBorder="1" applyAlignment="1">
      <alignment horizontal="center"/>
    </xf>
    <xf numFmtId="0" fontId="2" fillId="0" borderId="0" xfId="0" applyFont="1"/>
    <xf numFmtId="0" fontId="15" fillId="0" borderId="0" xfId="0" applyFont="1"/>
    <xf numFmtId="0" fontId="1" fillId="0" borderId="0" xfId="0" applyFont="1"/>
  </cellXfs>
  <cellStyles count="46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00\ &quot;€&quot;_-;\-* #,##0.000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-* #,##0.00\ &quot;€&quot;_-;\-* #,##0.0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-* #,##0.00\ &quot;€&quot;_-;\-* #,##0.0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_-* #,##0\ &quot;€&quot;_-;\-* #,##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_-* #,##0\ &quot;€&quot;_-;\-* #,##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5" formatCode="0.00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_-* #,##0\ &quot;€&quot;_-;\-* #,##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_-* #,##0\ &quot;€&quot;_-;\-* #,##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8" formatCode="_-* #,##0.00000\ &quot;€&quot;_-;\-* #,##0.0000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167" formatCode="_-* #,##0\ &quot;€&quot;_-;\-* #,##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167" formatCode="_-* #,##0\ &quot;€&quot;_-;\-* #,##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14" formatCode="0.00%"/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14" formatCode="0.00%"/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_-* #,##0\ &quot;€&quot;_-;\-* #,##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_-* #,##0\ &quot;€&quot;_-;\-* #,##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-* #,##0.00\ &quot;€&quot;_-;\-* #,##0.0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351366</xdr:colOff>
      <xdr:row>7</xdr:row>
      <xdr:rowOff>81280</xdr:rowOff>
    </xdr:from>
    <xdr:to>
      <xdr:col>9</xdr:col>
      <xdr:colOff>627380</xdr:colOff>
      <xdr:row>11</xdr:row>
      <xdr:rowOff>0</xdr:rowOff>
    </xdr:to>
    <xdr:sp macro="" textlink="">
      <xdr:nvSpPr>
        <xdr:cNvPr id="1027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627380</xdr:colOff>
      <xdr:row>11</xdr:row>
      <xdr:rowOff>0</xdr:rowOff>
    </xdr:to>
    <xdr:sp macro="" textlink="">
      <xdr:nvSpPr>
        <xdr:cNvPr id="1025" name="Text Box 1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gradFill rotWithShape="0">
          <a:gsLst>
            <a:gs pos="0">
              <a:srgbClr val="FBFE82"/>
            </a:gs>
            <a:gs pos="100000">
              <a:srgbClr val="FBF6D6"/>
            </a:gs>
          </a:gsLst>
          <a:lin ang="5400000"/>
        </a:gradFill>
        <a:ln w="9525">
          <a:solidFill>
            <a:srgbClr val="EDEAA1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2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3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1028" name="Text Box 4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4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5" name="Text Box 4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6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7" name="Text Box 4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8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9" name="Text Box 4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10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640080</xdr:colOff>
      <xdr:row>11</xdr:row>
      <xdr:rowOff>0</xdr:rowOff>
    </xdr:to>
    <xdr:sp macro="" textlink="">
      <xdr:nvSpPr>
        <xdr:cNvPr id="11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640080</xdr:colOff>
      <xdr:row>11</xdr:row>
      <xdr:rowOff>0</xdr:rowOff>
    </xdr:to>
    <xdr:sp macro="" textlink="">
      <xdr:nvSpPr>
        <xdr:cNvPr id="12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640080</xdr:colOff>
      <xdr:row>11</xdr:row>
      <xdr:rowOff>0</xdr:rowOff>
    </xdr:to>
    <xdr:sp macro="" textlink="">
      <xdr:nvSpPr>
        <xdr:cNvPr id="13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640080</xdr:colOff>
      <xdr:row>11</xdr:row>
      <xdr:rowOff>0</xdr:rowOff>
    </xdr:to>
    <xdr:sp macro="" textlink="">
      <xdr:nvSpPr>
        <xdr:cNvPr id="14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640080</xdr:colOff>
      <xdr:row>11</xdr:row>
      <xdr:rowOff>0</xdr:rowOff>
    </xdr:to>
    <xdr:sp macro="" textlink="">
      <xdr:nvSpPr>
        <xdr:cNvPr id="15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16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17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18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19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20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21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22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23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24" name="Text Box 4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25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26" name="Text Box 4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27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28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29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1029" name="Text Box 5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30" name="Text Box 4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31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1024" name="Text Box 4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1026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1030" name="Text Box 4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1031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1032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30</xdr:row>
      <xdr:rowOff>162560</xdr:rowOff>
    </xdr:to>
    <xdr:sp macro="" textlink="">
      <xdr:nvSpPr>
        <xdr:cNvPr id="1033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30</xdr:row>
      <xdr:rowOff>162560</xdr:rowOff>
    </xdr:to>
    <xdr:sp macro="" textlink="">
      <xdr:nvSpPr>
        <xdr:cNvPr id="1034" name="Text Box 4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30</xdr:row>
      <xdr:rowOff>162560</xdr:rowOff>
    </xdr:to>
    <xdr:sp macro="" textlink="">
      <xdr:nvSpPr>
        <xdr:cNvPr id="1035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30</xdr:row>
      <xdr:rowOff>162560</xdr:rowOff>
    </xdr:to>
    <xdr:sp macro="" textlink="">
      <xdr:nvSpPr>
        <xdr:cNvPr id="1036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30</xdr:row>
      <xdr:rowOff>162560</xdr:rowOff>
    </xdr:to>
    <xdr:sp macro="" textlink="">
      <xdr:nvSpPr>
        <xdr:cNvPr id="1037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30</xdr:row>
      <xdr:rowOff>162560</xdr:rowOff>
    </xdr:to>
    <xdr:sp macro="" textlink="">
      <xdr:nvSpPr>
        <xdr:cNvPr id="1038" name="Text Box 4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30</xdr:row>
      <xdr:rowOff>162560</xdr:rowOff>
    </xdr:to>
    <xdr:sp macro="" textlink="">
      <xdr:nvSpPr>
        <xdr:cNvPr id="1039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30</xdr:row>
      <xdr:rowOff>162560</xdr:rowOff>
    </xdr:to>
    <xdr:sp macro="" textlink="">
      <xdr:nvSpPr>
        <xdr:cNvPr id="1040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35</xdr:row>
      <xdr:rowOff>162560</xdr:rowOff>
    </xdr:to>
    <xdr:sp macro="" textlink="">
      <xdr:nvSpPr>
        <xdr:cNvPr id="1041" name="Text Box 3" hidden="1"/>
        <xdr:cNvSpPr txBox="1">
          <a:spLocks noChangeArrowheads="1"/>
        </xdr:cNvSpPr>
      </xdr:nvSpPr>
      <xdr:spPr bwMode="auto">
        <a:xfrm>
          <a:off x="3530600" y="3632200"/>
          <a:ext cx="4864100" cy="1168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35</xdr:row>
      <xdr:rowOff>162560</xdr:rowOff>
    </xdr:to>
    <xdr:sp macro="" textlink="">
      <xdr:nvSpPr>
        <xdr:cNvPr id="1042" name="Text Box 3" hidden="1"/>
        <xdr:cNvSpPr txBox="1">
          <a:spLocks noChangeArrowheads="1"/>
        </xdr:cNvSpPr>
      </xdr:nvSpPr>
      <xdr:spPr bwMode="auto">
        <a:xfrm>
          <a:off x="3530600" y="3632200"/>
          <a:ext cx="4864100" cy="1168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35</xdr:row>
      <xdr:rowOff>162560</xdr:rowOff>
    </xdr:to>
    <xdr:sp macro="" textlink="">
      <xdr:nvSpPr>
        <xdr:cNvPr id="1043" name="Text Box 3" hidden="1"/>
        <xdr:cNvSpPr txBox="1">
          <a:spLocks noChangeArrowheads="1"/>
        </xdr:cNvSpPr>
      </xdr:nvSpPr>
      <xdr:spPr bwMode="auto">
        <a:xfrm>
          <a:off x="3530600" y="3632200"/>
          <a:ext cx="4864100" cy="1168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41</xdr:row>
      <xdr:rowOff>162560</xdr:rowOff>
    </xdr:to>
    <xdr:sp macro="" textlink="">
      <xdr:nvSpPr>
        <xdr:cNvPr id="1044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41</xdr:row>
      <xdr:rowOff>162560</xdr:rowOff>
    </xdr:to>
    <xdr:sp macro="" textlink="">
      <xdr:nvSpPr>
        <xdr:cNvPr id="1045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41</xdr:row>
      <xdr:rowOff>162560</xdr:rowOff>
    </xdr:to>
    <xdr:sp macro="" textlink="">
      <xdr:nvSpPr>
        <xdr:cNvPr id="1046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41</xdr:row>
      <xdr:rowOff>162560</xdr:rowOff>
    </xdr:to>
    <xdr:sp macro="" textlink="">
      <xdr:nvSpPr>
        <xdr:cNvPr id="1047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41</xdr:row>
      <xdr:rowOff>162560</xdr:rowOff>
    </xdr:to>
    <xdr:sp macro="" textlink="">
      <xdr:nvSpPr>
        <xdr:cNvPr id="1048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41</xdr:row>
      <xdr:rowOff>162560</xdr:rowOff>
    </xdr:to>
    <xdr:sp macro="" textlink="">
      <xdr:nvSpPr>
        <xdr:cNvPr id="1049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41</xdr:row>
      <xdr:rowOff>162560</xdr:rowOff>
    </xdr:to>
    <xdr:sp macro="" textlink="">
      <xdr:nvSpPr>
        <xdr:cNvPr id="1050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41</xdr:row>
      <xdr:rowOff>162560</xdr:rowOff>
    </xdr:to>
    <xdr:sp macro="" textlink="">
      <xdr:nvSpPr>
        <xdr:cNvPr id="1051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2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3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4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5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6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7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8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9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60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61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62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63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64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6</xdr:row>
      <xdr:rowOff>76200</xdr:rowOff>
    </xdr:from>
    <xdr:to>
      <xdr:col>9</xdr:col>
      <xdr:colOff>640080</xdr:colOff>
      <xdr:row>31</xdr:row>
      <xdr:rowOff>0</xdr:rowOff>
    </xdr:to>
    <xdr:sp macro="" textlink="">
      <xdr:nvSpPr>
        <xdr:cNvPr id="1065" name="Text Box 3" hidden="1"/>
        <xdr:cNvSpPr txBox="1">
          <a:spLocks noChangeArrowheads="1"/>
        </xdr:cNvSpPr>
      </xdr:nvSpPr>
      <xdr:spPr bwMode="auto">
        <a:xfrm>
          <a:off x="3530600" y="16764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6</xdr:row>
      <xdr:rowOff>76200</xdr:rowOff>
    </xdr:from>
    <xdr:to>
      <xdr:col>9</xdr:col>
      <xdr:colOff>640080</xdr:colOff>
      <xdr:row>31</xdr:row>
      <xdr:rowOff>0</xdr:rowOff>
    </xdr:to>
    <xdr:sp macro="" textlink="">
      <xdr:nvSpPr>
        <xdr:cNvPr id="1066" name="Text Box 3" hidden="1"/>
        <xdr:cNvSpPr txBox="1">
          <a:spLocks noChangeArrowheads="1"/>
        </xdr:cNvSpPr>
      </xdr:nvSpPr>
      <xdr:spPr bwMode="auto">
        <a:xfrm>
          <a:off x="3530600" y="16764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6</xdr:row>
      <xdr:rowOff>76200</xdr:rowOff>
    </xdr:from>
    <xdr:to>
      <xdr:col>9</xdr:col>
      <xdr:colOff>645160</xdr:colOff>
      <xdr:row>31</xdr:row>
      <xdr:rowOff>0</xdr:rowOff>
    </xdr:to>
    <xdr:sp macro="" textlink="">
      <xdr:nvSpPr>
        <xdr:cNvPr id="1067" name="Text Box 3" hidden="1"/>
        <xdr:cNvSpPr txBox="1">
          <a:spLocks noChangeArrowheads="1"/>
        </xdr:cNvSpPr>
      </xdr:nvSpPr>
      <xdr:spPr bwMode="auto">
        <a:xfrm>
          <a:off x="3530600" y="16764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6</xdr:row>
      <xdr:rowOff>76200</xdr:rowOff>
    </xdr:from>
    <xdr:to>
      <xdr:col>9</xdr:col>
      <xdr:colOff>647700</xdr:colOff>
      <xdr:row>31</xdr:row>
      <xdr:rowOff>0</xdr:rowOff>
    </xdr:to>
    <xdr:sp macro="" textlink="">
      <xdr:nvSpPr>
        <xdr:cNvPr id="1068" name="Text Box 3" hidden="1"/>
        <xdr:cNvSpPr txBox="1">
          <a:spLocks noChangeArrowheads="1"/>
        </xdr:cNvSpPr>
      </xdr:nvSpPr>
      <xdr:spPr bwMode="auto">
        <a:xfrm>
          <a:off x="3530600" y="16764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6</xdr:row>
      <xdr:rowOff>76200</xdr:rowOff>
    </xdr:from>
    <xdr:to>
      <xdr:col>9</xdr:col>
      <xdr:colOff>647700</xdr:colOff>
      <xdr:row>31</xdr:row>
      <xdr:rowOff>0</xdr:rowOff>
    </xdr:to>
    <xdr:sp macro="" textlink="">
      <xdr:nvSpPr>
        <xdr:cNvPr id="1069" name="Text Box 3" hidden="1"/>
        <xdr:cNvSpPr txBox="1">
          <a:spLocks noChangeArrowheads="1"/>
        </xdr:cNvSpPr>
      </xdr:nvSpPr>
      <xdr:spPr bwMode="auto">
        <a:xfrm>
          <a:off x="3530600" y="16764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6</xdr:row>
      <xdr:rowOff>76200</xdr:rowOff>
    </xdr:from>
    <xdr:to>
      <xdr:col>9</xdr:col>
      <xdr:colOff>647700</xdr:colOff>
      <xdr:row>31</xdr:row>
      <xdr:rowOff>0</xdr:rowOff>
    </xdr:to>
    <xdr:sp macro="" textlink="">
      <xdr:nvSpPr>
        <xdr:cNvPr id="1070" name="Text Box 3" hidden="1"/>
        <xdr:cNvSpPr txBox="1">
          <a:spLocks noChangeArrowheads="1"/>
        </xdr:cNvSpPr>
      </xdr:nvSpPr>
      <xdr:spPr bwMode="auto">
        <a:xfrm>
          <a:off x="3530600" y="16764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6</xdr:row>
      <xdr:rowOff>76200</xdr:rowOff>
    </xdr:from>
    <xdr:to>
      <xdr:col>9</xdr:col>
      <xdr:colOff>647700</xdr:colOff>
      <xdr:row>31</xdr:row>
      <xdr:rowOff>0</xdr:rowOff>
    </xdr:to>
    <xdr:sp macro="" textlink="">
      <xdr:nvSpPr>
        <xdr:cNvPr id="1071" name="Text Box 3" hidden="1"/>
        <xdr:cNvSpPr txBox="1">
          <a:spLocks noChangeArrowheads="1"/>
        </xdr:cNvSpPr>
      </xdr:nvSpPr>
      <xdr:spPr bwMode="auto">
        <a:xfrm>
          <a:off x="3530600" y="16764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ables/table1.xml><?xml version="1.0" encoding="utf-8"?>
<table xmlns="http://schemas.openxmlformats.org/spreadsheetml/2006/main" id="3" name="RiskTab" displayName="RiskTab" ref="B2:AH39" totalsRowShown="0" headerRowDxfId="66" dataDxfId="64" headerRowBorderDxfId="65">
  <autoFilter ref="B2:AH39"/>
  <tableColumns count="33">
    <tableColumn id="1" name="Name" totalsRowDxfId="63"/>
    <tableColumn id="32" name="Google Finance Ticker1" dataDxfId="62" totalsRowDxfId="61"/>
    <tableColumn id="6" name="Volume" dataDxfId="60" totalsRowDxfId="59"/>
    <tableColumn id="18" name="Close Price" dataDxfId="58" totalsRowDxfId="57"/>
    <tableColumn id="33" name="Position Value" dataDxfId="56" totalsRowDxfId="55">
      <calculatedColumnFormula>RiskTab[[#This Row],[Volume]]*RiskTab[[#This Row],[Close Price]]</calculatedColumnFormula>
    </tableColumn>
    <tableColumn id="25" name="Share Portfolio" dataDxfId="54" totalsRowDxfId="53">
      <calculatedColumnFormula array="1">RiskTab[[#This Row],[Position Value]]/ (MMULT(TRANSPOSE(RiskTab[Volume]),RiskTab[Close Price]))</calculatedColumnFormula>
    </tableColumn>
    <tableColumn id="39" name="1D. log Return" dataDxfId="52" totalsRowDxfId="51"/>
    <tableColumn id="38" name="1D return in €" dataDxfId="50" totalsRowDxfId="49">
      <calculatedColumnFormula>RiskTab[[#This Row],[1D. log Return]]*RiskTab[[#This Row],[Position Value]]</calculatedColumnFormula>
    </tableColumn>
    <tableColumn id="37" name="5D. log Return" dataDxfId="48" totalsRowDxfId="47"/>
    <tableColumn id="36" name="23D. log Return" dataDxfId="46" totalsRowDxfId="45"/>
    <tableColumn id="35" name="125D. log Return" dataDxfId="44" totalsRowDxfId="43"/>
    <tableColumn id="34" name="250D. log Return" dataDxfId="42" totalsRowDxfId="41"/>
    <tableColumn id="9" name="std. log returns" dataDxfId="40" totalsRowDxfId="39"/>
    <tableColumn id="10" name="VaR 99% 1D. Nor. Dis." dataDxfId="38" totalsRowDxfId="37">
      <calculatedColumnFormula>NORMSINV(0.01) * RiskTab[[#This Row],[std. log returns]]</calculatedColumnFormula>
    </tableColumn>
    <tableColumn id="31" name="VaR Gaus" dataDxfId="36" totalsRowDxfId="35"/>
    <tableColumn id="23" name="VaR HS" dataDxfId="34" totalsRowDxfId="33"/>
    <tableColumn id="11" name="VaR 99% 1D. Bootstrap" dataDxfId="32" totalsRowDxfId="31"/>
    <tableColumn id="19" name="indivinduall VaR" dataDxfId="30" totalsRowDxfId="29">
      <calculatedColumnFormula>IFERROR(RiskTab[[#This Row],[cVaR]]/(RiskTab[[#This Row],[Volume]]*RiskTab[[#This Row],[Share Portfolio]]),"")</calculatedColumnFormula>
    </tableColumn>
    <tableColumn id="20" name="cVaR" dataDxfId="28" totalsRowDxfId="27"/>
    <tableColumn id="3" name="cVaR / ind. VaR" dataDxfId="26" totalsRowDxfId="25">
      <calculatedColumnFormula>IFERROR(RiskTab[[#This Row],[cVaR]]/RiskTab[[#This Row],[indivinduall VaR]],"")</calculatedColumnFormula>
    </tableColumn>
    <tableColumn id="2" name="In Cum. Sim." dataDxfId="24" totalsRowDxfId="23"/>
    <tableColumn id="21" name="mVaR" dataDxfId="22" totalsRowDxfId="21"/>
    <tableColumn id="22" name="#Length" dataDxfId="20" totalsRowDxfId="19"/>
    <tableColumn id="12" name="cVaR / position Value in % " dataDxfId="18" totalsRowDxfId="17">
      <calculatedColumnFormula>IFERROR(RiskTab[[#This Row],[cVaR]]/RiskTab[[#This Row],[Position Value]],"")</calculatedColumnFormula>
    </tableColumn>
    <tableColumn id="8" name="VaR conf. Interval 5%" dataDxfId="16" totalsRowDxfId="15"/>
    <tableColumn id="7" name="Column1" dataDxfId="14" totalsRowDxfId="13"/>
    <tableColumn id="5" name="Column2" dataDxfId="12" totalsRowDxfId="11"/>
    <tableColumn id="14" name="Column3" dataDxfId="10" totalsRowDxfId="9"/>
    <tableColumn id="13" name="Column4" dataDxfId="8" totalsRowDxfId="7"/>
    <tableColumn id="15" name="Column5" dataDxfId="6" totalsRowDxfId="5"/>
    <tableColumn id="16" name="Column6" dataDxfId="4" totalsRowDxfId="3"/>
    <tableColumn id="4" name="Column7" dataDxfId="2" totalsRowDxfId="1"/>
    <tableColumn id="17" name="Column8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4" Type="http://schemas.openxmlformats.org/officeDocument/2006/relationships/comments" Target="../comments1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1"/>
  <sheetViews>
    <sheetView zoomScale="125" zoomScaleNormal="125" zoomScalePageLayoutView="125" workbookViewId="0">
      <pane xSplit="2" ySplit="2" topLeftCell="Y17" activePane="bottomRight" state="frozen"/>
      <selection pane="topRight" activeCell="B1" sqref="B1"/>
      <selection pane="bottomLeft" activeCell="A2" sqref="A2"/>
      <selection pane="bottomRight" activeCell="AB33" sqref="AB33"/>
    </sheetView>
  </sheetViews>
  <sheetFormatPr baseColWidth="10" defaultColWidth="8.83203125" defaultRowHeight="14" x14ac:dyDescent="0"/>
  <cols>
    <col min="1" max="1" width="3.1640625" customWidth="1"/>
    <col min="2" max="2" width="19.6640625" customWidth="1"/>
    <col min="3" max="3" width="18.83203125" customWidth="1"/>
    <col min="4" max="4" width="9.33203125" customWidth="1"/>
    <col min="5" max="5" width="10.6640625" customWidth="1"/>
    <col min="6" max="6" width="8.83203125" customWidth="1"/>
    <col min="7" max="7" width="11.1640625" customWidth="1"/>
    <col min="8" max="8" width="9.6640625" customWidth="1"/>
    <col min="9" max="9" width="10.33203125" customWidth="1"/>
    <col min="10" max="10" width="11.5" customWidth="1"/>
    <col min="11" max="11" width="8.33203125" customWidth="1"/>
    <col min="12" max="12" width="9.83203125" customWidth="1"/>
    <col min="13" max="13" width="7.83203125" customWidth="1"/>
    <col min="14" max="14" width="9.83203125" customWidth="1"/>
    <col min="15" max="15" width="8.5" customWidth="1"/>
    <col min="16" max="16" width="9.1640625" customWidth="1"/>
    <col min="17" max="17" width="7.5" customWidth="1"/>
    <col min="18" max="18" width="8.5" customWidth="1"/>
    <col min="19" max="19" width="8.1640625" customWidth="1"/>
    <col min="20" max="20" width="9.83203125" customWidth="1"/>
    <col min="21" max="21" width="10.83203125" customWidth="1"/>
    <col min="22" max="22" width="9.5" customWidth="1"/>
    <col min="23" max="23" width="11.83203125" customWidth="1"/>
    <col min="24" max="24" width="16.6640625" customWidth="1"/>
    <col min="25" max="25" width="11.5" customWidth="1"/>
    <col min="26" max="26" width="21.83203125" customWidth="1"/>
    <col min="27" max="28" width="17.6640625" customWidth="1"/>
    <col min="29" max="29" width="13.5" customWidth="1"/>
    <col min="30" max="30" width="16.5" customWidth="1"/>
  </cols>
  <sheetData>
    <row r="1" spans="1:34">
      <c r="A1" s="20">
        <v>1</v>
      </c>
      <c r="B1" s="20">
        <v>2</v>
      </c>
      <c r="C1" s="20">
        <v>3</v>
      </c>
      <c r="D1" s="20">
        <v>4</v>
      </c>
      <c r="E1" s="20">
        <v>5</v>
      </c>
      <c r="F1" s="20">
        <v>6</v>
      </c>
      <c r="G1" s="20">
        <v>7</v>
      </c>
      <c r="H1" s="20">
        <v>8</v>
      </c>
      <c r="I1" s="20">
        <v>9</v>
      </c>
      <c r="J1" s="20">
        <v>10</v>
      </c>
      <c r="K1" s="20">
        <v>11</v>
      </c>
      <c r="L1" s="20">
        <v>12</v>
      </c>
      <c r="M1" s="20">
        <v>13</v>
      </c>
      <c r="N1" s="20">
        <v>14</v>
      </c>
      <c r="O1" s="20">
        <v>15</v>
      </c>
      <c r="P1" s="20">
        <v>16</v>
      </c>
      <c r="Q1" s="20">
        <v>17</v>
      </c>
      <c r="R1" s="20">
        <v>18</v>
      </c>
      <c r="S1" s="20">
        <v>19</v>
      </c>
      <c r="T1" s="20">
        <v>20</v>
      </c>
      <c r="U1" s="20">
        <v>21</v>
      </c>
      <c r="V1" s="20">
        <v>22</v>
      </c>
      <c r="W1" s="20">
        <v>23</v>
      </c>
      <c r="X1" s="20">
        <v>24</v>
      </c>
      <c r="Y1" s="20">
        <v>25</v>
      </c>
      <c r="Z1" s="20">
        <v>26</v>
      </c>
      <c r="AA1" s="20">
        <v>27</v>
      </c>
      <c r="AB1" s="20">
        <v>28</v>
      </c>
      <c r="AC1" s="20">
        <v>29</v>
      </c>
      <c r="AD1" s="20">
        <v>30</v>
      </c>
      <c r="AE1" s="20">
        <v>31</v>
      </c>
    </row>
    <row r="2" spans="1:34" ht="56" customHeight="1">
      <c r="B2" s="22" t="s">
        <v>0</v>
      </c>
      <c r="C2" s="22" t="s">
        <v>26</v>
      </c>
      <c r="D2" s="22" t="s">
        <v>5</v>
      </c>
      <c r="E2" s="22" t="s">
        <v>66</v>
      </c>
      <c r="F2" s="22" t="s">
        <v>97</v>
      </c>
      <c r="G2" s="22" t="s">
        <v>30</v>
      </c>
      <c r="H2" s="24" t="s">
        <v>68</v>
      </c>
      <c r="I2" s="22" t="s">
        <v>98</v>
      </c>
      <c r="J2" s="22" t="s">
        <v>69</v>
      </c>
      <c r="K2" s="22" t="s">
        <v>70</v>
      </c>
      <c r="L2" s="22" t="s">
        <v>71</v>
      </c>
      <c r="M2" s="22" t="s">
        <v>72</v>
      </c>
      <c r="N2" s="22" t="s">
        <v>65</v>
      </c>
      <c r="O2" s="22" t="s">
        <v>67</v>
      </c>
      <c r="P2" s="22" t="s">
        <v>92</v>
      </c>
      <c r="Q2" s="22" t="s">
        <v>91</v>
      </c>
      <c r="R2" s="22" t="s">
        <v>74</v>
      </c>
      <c r="S2" s="22" t="s">
        <v>106</v>
      </c>
      <c r="T2" s="22" t="s">
        <v>99</v>
      </c>
      <c r="U2" s="22" t="s">
        <v>107</v>
      </c>
      <c r="V2" s="30" t="s">
        <v>73</v>
      </c>
      <c r="W2" s="30" t="s">
        <v>101</v>
      </c>
      <c r="X2" s="30" t="s">
        <v>28</v>
      </c>
      <c r="Y2" s="30" t="s">
        <v>117</v>
      </c>
      <c r="Z2" s="30" t="s">
        <v>51</v>
      </c>
      <c r="AA2" s="16" t="s">
        <v>108</v>
      </c>
      <c r="AB2" s="30" t="s">
        <v>109</v>
      </c>
      <c r="AC2" s="30" t="s">
        <v>110</v>
      </c>
      <c r="AD2" s="16" t="s">
        <v>111</v>
      </c>
      <c r="AE2" s="16" t="s">
        <v>112</v>
      </c>
      <c r="AF2" s="27" t="s">
        <v>113</v>
      </c>
      <c r="AG2" s="30" t="s">
        <v>114</v>
      </c>
      <c r="AH2" s="2" t="s">
        <v>115</v>
      </c>
    </row>
    <row r="3" spans="1:34">
      <c r="A3">
        <v>1</v>
      </c>
      <c r="B3" t="s">
        <v>11</v>
      </c>
      <c r="C3" s="3" t="s">
        <v>34</v>
      </c>
      <c r="D3" s="1">
        <v>212</v>
      </c>
      <c r="E3" s="12">
        <v>29.091784338896002</v>
      </c>
      <c r="F3" s="6">
        <f>RiskTab[[#This Row],[Volume]]*RiskTab[[#This Row],[Close Price]]</f>
        <v>6167.4582798459523</v>
      </c>
      <c r="G3" s="31">
        <f t="array" ref="G3">RiskTab[[#This Row],[Position Value]]/ (MMULT(TRANSPOSE(RiskTab[Volume]),RiskTab[Close Price]))</f>
        <v>0.12475193378678502</v>
      </c>
      <c r="H3" s="31">
        <v>-1.13710938394815E-2</v>
      </c>
      <c r="I3" s="6">
        <f>RiskTab[[#This Row],[1D. log Return]]*RiskTab[[#This Row],[Position Value]]</f>
        <v>-70.130746851215477</v>
      </c>
      <c r="J3" s="31">
        <v>3.4313119776369701E-2</v>
      </c>
      <c r="K3" s="31">
        <v>-0.14136136559659601</v>
      </c>
      <c r="L3" s="31">
        <v>6.6479753890700294E-2</v>
      </c>
      <c r="M3" s="31">
        <v>0.15855259337026101</v>
      </c>
      <c r="N3" s="31">
        <v>1.4278532779009701E-2</v>
      </c>
      <c r="O3" s="31">
        <f>NORMSINV(0.01) * RiskTab[[#This Row],[std. log returns]]</f>
        <v>-3.3216834374871676E-2</v>
      </c>
      <c r="P3" s="31">
        <v>-3.2761945259513599E-2</v>
      </c>
      <c r="Q3" s="31">
        <v>-3.9961627494222697E-2</v>
      </c>
      <c r="R3" s="12">
        <v>-98.670511273402795</v>
      </c>
      <c r="S3" s="14">
        <v>-196.69449744787201</v>
      </c>
      <c r="T3" s="14">
        <v>-136.559583771512</v>
      </c>
      <c r="U3" s="31">
        <f>IFERROR(RiskTab[[#This Row],[cVaR]]/RiskTab[[#This Row],[indivinduall VaR]],"")</f>
        <v>0.69427251673729728</v>
      </c>
      <c r="V3" s="1">
        <v>1</v>
      </c>
      <c r="W3" s="18">
        <v>-2.1972242004721899E-2</v>
      </c>
      <c r="X3" s="5">
        <v>753</v>
      </c>
      <c r="Y3" s="23">
        <f>IFERROR(RiskTab[[#This Row],[cVaR]]/RiskTab[[#This Row],[Position Value]],"")</f>
        <v>-2.2141955012125823E-2</v>
      </c>
      <c r="Z3" s="23">
        <v>-2.5056549203982901E-2</v>
      </c>
      <c r="AA3" s="6"/>
      <c r="AB3" s="23"/>
      <c r="AC3" s="23"/>
      <c r="AD3" s="41" t="s">
        <v>123</v>
      </c>
      <c r="AE3" s="6"/>
      <c r="AF3" s="1"/>
      <c r="AG3" s="25"/>
      <c r="AH3" s="4"/>
    </row>
    <row r="4" spans="1:34">
      <c r="A4">
        <v>2</v>
      </c>
      <c r="B4" t="s">
        <v>12</v>
      </c>
      <c r="C4" s="3" t="s">
        <v>35</v>
      </c>
      <c r="D4" s="1">
        <v>150</v>
      </c>
      <c r="E4" s="12">
        <v>19.889281129653401</v>
      </c>
      <c r="F4" s="6">
        <f>RiskTab[[#This Row],[Volume]]*RiskTab[[#This Row],[Close Price]]</f>
        <v>2983.39216944801</v>
      </c>
      <c r="G4" s="31">
        <f t="array" ref="G4">RiskTab[[#This Row],[Position Value]]/ (MMULT(TRANSPOSE(RiskTab[Volume]),RiskTab[Close Price]))</f>
        <v>6.0346406168520897E-2</v>
      </c>
      <c r="H4" s="31">
        <v>2.3239983212999201E-3</v>
      </c>
      <c r="I4" s="6">
        <f>RiskTab[[#This Row],[1D. log Return]]*RiskTab[[#This Row],[Position Value]]</f>
        <v>6.9333983935765024</v>
      </c>
      <c r="J4" s="31">
        <v>2.0700803063844499E-2</v>
      </c>
      <c r="K4" s="31">
        <v>-8.1141265438822593E-2</v>
      </c>
      <c r="L4" s="31">
        <v>0.14770209277902999</v>
      </c>
      <c r="M4" s="31">
        <v>0.23774702965143199</v>
      </c>
      <c r="N4" s="31">
        <v>9.7873930898852903E-3</v>
      </c>
      <c r="O4" s="31">
        <f>NORMSINV(0.01) * RiskTab[[#This Row],[std. log returns]]</f>
        <v>-2.276888110705666E-2</v>
      </c>
      <c r="P4" s="31">
        <v>-2.15723295994814E-2</v>
      </c>
      <c r="Q4" s="31">
        <v>-2.23776438845277E-2</v>
      </c>
      <c r="R4" s="12">
        <v>0</v>
      </c>
      <c r="S4" s="14">
        <v>-63.135396423329297</v>
      </c>
      <c r="T4" s="14">
        <v>-70.115187238501406</v>
      </c>
      <c r="U4" s="31">
        <f>IFERROR(RiskTab[[#This Row],[cVaR]]/RiskTab[[#This Row],[indivinduall VaR]],"")</f>
        <v>1.1105527360337124</v>
      </c>
      <c r="V4" s="1">
        <v>1</v>
      </c>
      <c r="W4" s="18">
        <v>-2.36455641683051E-2</v>
      </c>
      <c r="X4" s="5">
        <v>358</v>
      </c>
      <c r="Y4" s="23">
        <f>IFERROR(RiskTab[[#This Row],[cVaR]]/RiskTab[[#This Row],[Position Value]],"")</f>
        <v>-2.3501833904549727E-2</v>
      </c>
      <c r="Z4" s="23" t="e">
        <v>#NUM!</v>
      </c>
      <c r="AA4" s="6"/>
      <c r="AB4" s="23"/>
      <c r="AC4" s="23"/>
      <c r="AD4" s="41" t="s">
        <v>124</v>
      </c>
      <c r="AE4" s="6"/>
      <c r="AF4" s="1"/>
      <c r="AG4" s="25"/>
      <c r="AH4" s="4"/>
    </row>
    <row r="5" spans="1:34">
      <c r="A5">
        <v>3</v>
      </c>
      <c r="B5" t="s">
        <v>13</v>
      </c>
      <c r="C5" s="3" t="s">
        <v>32</v>
      </c>
      <c r="D5" s="1">
        <v>227</v>
      </c>
      <c r="E5" s="12">
        <v>24.1575738125802</v>
      </c>
      <c r="F5" s="6">
        <f>RiskTab[[#This Row],[Volume]]*RiskTab[[#This Row],[Close Price]]</f>
        <v>5483.7692554557052</v>
      </c>
      <c r="G5" s="31">
        <f t="array" ref="G5">RiskTab[[#This Row],[Position Value]]/ (MMULT(TRANSPOSE(RiskTab[Volume]),RiskTab[Close Price]))</f>
        <v>0.1109226504691824</v>
      </c>
      <c r="H5" s="31">
        <v>7.9859618234601193E-3</v>
      </c>
      <c r="I5" s="6">
        <f>RiskTab[[#This Row],[1D. log Return]]*RiskTab[[#This Row],[Position Value]]</f>
        <v>43.793171922733585</v>
      </c>
      <c r="J5" s="31">
        <v>3.7057364737939698E-2</v>
      </c>
      <c r="K5" s="31">
        <v>3.0759123663202099E-3</v>
      </c>
      <c r="L5" s="31">
        <v>5.1451939930339002E-2</v>
      </c>
      <c r="M5" s="31">
        <v>4.60465589875967E-2</v>
      </c>
      <c r="N5" s="31">
        <v>1.59439563449928E-2</v>
      </c>
      <c r="O5" s="31">
        <f>NORMSINV(0.01) * RiskTab[[#This Row],[std. log returns]]</f>
        <v>-3.7091188946973976E-2</v>
      </c>
      <c r="P5" s="31">
        <v>-3.70850635292558E-2</v>
      </c>
      <c r="Q5" s="31">
        <v>-4.5227601313030601E-2</v>
      </c>
      <c r="R5" s="12">
        <v>-82.538320329142806</v>
      </c>
      <c r="S5" s="14">
        <v>-193.92946990875501</v>
      </c>
      <c r="T5" s="14">
        <v>-131.227317881646</v>
      </c>
      <c r="U5" s="31">
        <f>IFERROR(RiskTab[[#This Row],[cVaR]]/RiskTab[[#This Row],[indivinduall VaR]],"")</f>
        <v>0.67667548384157006</v>
      </c>
      <c r="V5" s="1">
        <v>1</v>
      </c>
      <c r="W5" s="18">
        <v>-2.40752229937016E-2</v>
      </c>
      <c r="X5" s="5">
        <v>753</v>
      </c>
      <c r="Y5" s="23">
        <f>IFERROR(RiskTab[[#This Row],[cVaR]]/RiskTab[[#This Row],[Position Value]],"")</f>
        <v>-2.3930131223353402E-2</v>
      </c>
      <c r="Z5" s="23">
        <v>-3.47448591451016E-2</v>
      </c>
      <c r="AA5" s="6"/>
      <c r="AB5" s="23"/>
      <c r="AC5" s="23"/>
      <c r="AD5" s="41" t="s">
        <v>125</v>
      </c>
      <c r="AE5" s="6"/>
      <c r="AF5" s="1"/>
      <c r="AG5" s="25"/>
      <c r="AH5" s="4"/>
    </row>
    <row r="6" spans="1:34">
      <c r="A6">
        <v>4</v>
      </c>
      <c r="B6" t="s">
        <v>15</v>
      </c>
      <c r="C6" s="3" t="s">
        <v>19</v>
      </c>
      <c r="D6" s="1">
        <v>205</v>
      </c>
      <c r="E6" s="12">
        <v>15.6</v>
      </c>
      <c r="F6" s="6">
        <f>RiskTab[[#This Row],[Volume]]*RiskTab[[#This Row],[Close Price]]</f>
        <v>3198</v>
      </c>
      <c r="G6" s="31">
        <f t="array" ref="G6">RiskTab[[#This Row],[Position Value]]/ (MMULT(TRANSPOSE(RiskTab[Volume]),RiskTab[Close Price]))</f>
        <v>6.4687374627867514E-2</v>
      </c>
      <c r="H6" s="31">
        <v>3.21027563024812E-3</v>
      </c>
      <c r="I6" s="6">
        <f>RiskTab[[#This Row],[1D. log Return]]*RiskTab[[#This Row],[Position Value]]</f>
        <v>10.266461465533489</v>
      </c>
      <c r="J6" s="31">
        <v>2.99306662461882E-2</v>
      </c>
      <c r="K6" s="31">
        <v>-8.8292607145678201E-2</v>
      </c>
      <c r="L6" s="31">
        <v>0.156503873768013</v>
      </c>
      <c r="M6" s="31">
        <v>0.24747565197374</v>
      </c>
      <c r="N6" s="31">
        <v>1.0383077395111399E-2</v>
      </c>
      <c r="O6" s="31">
        <f>NORMSINV(0.01) * RiskTab[[#This Row],[std. log returns]]</f>
        <v>-2.4154650024118915E-2</v>
      </c>
      <c r="P6" s="31">
        <v>-2.3001785305819099E-2</v>
      </c>
      <c r="Q6" s="31">
        <v>-2.9982474956485601E-2</v>
      </c>
      <c r="R6" s="12">
        <v>-34.844156264375002</v>
      </c>
      <c r="S6" s="14">
        <v>-82.842807823940205</v>
      </c>
      <c r="T6" s="14">
        <v>-64.065686163556194</v>
      </c>
      <c r="U6" s="31">
        <f>IFERROR(RiskTab[[#This Row],[cVaR]]/RiskTab[[#This Row],[indivinduall VaR]],"")</f>
        <v>0.77334035200388596</v>
      </c>
      <c r="V6" s="1">
        <v>1</v>
      </c>
      <c r="W6" s="18">
        <v>-2.0696393527259702E-2</v>
      </c>
      <c r="X6" s="5">
        <v>518</v>
      </c>
      <c r="Y6" s="23">
        <f>IFERROR(RiskTab[[#This Row],[cVaR]]/RiskTab[[#This Row],[Position Value]],"")</f>
        <v>-2.0033047580849343E-2</v>
      </c>
      <c r="Z6" s="23">
        <v>-2.02938193398139E-2</v>
      </c>
      <c r="AA6" s="6"/>
      <c r="AB6" s="23"/>
      <c r="AC6" s="23"/>
      <c r="AD6" s="41" t="s">
        <v>126</v>
      </c>
      <c r="AE6" s="6"/>
      <c r="AF6" s="1"/>
      <c r="AG6" s="25"/>
      <c r="AH6" s="4"/>
    </row>
    <row r="7" spans="1:34">
      <c r="A7">
        <v>5</v>
      </c>
      <c r="B7" t="s">
        <v>16</v>
      </c>
      <c r="C7" s="3" t="s">
        <v>36</v>
      </c>
      <c r="D7" s="1">
        <v>0</v>
      </c>
      <c r="E7" s="12">
        <v>129.54107830551999</v>
      </c>
      <c r="F7" s="6">
        <f>RiskTab[[#This Row],[Volume]]*RiskTab[[#This Row],[Close Price]]</f>
        <v>0</v>
      </c>
      <c r="G7" s="31">
        <f t="array" ref="G7">RiskTab[[#This Row],[Position Value]]/ (MMULT(TRANSPOSE(RiskTab[Volume]),RiskTab[Close Price]))</f>
        <v>0</v>
      </c>
      <c r="H7" s="31">
        <v>3.0674927793406001E-3</v>
      </c>
      <c r="I7" s="6">
        <f>RiskTab[[#This Row],[1D. log Return]]*RiskTab[[#This Row],[Position Value]]</f>
        <v>0</v>
      </c>
      <c r="J7" s="31">
        <v>2.8038221445605398E-2</v>
      </c>
      <c r="K7" s="31">
        <v>-4.5238987242725202E-2</v>
      </c>
      <c r="L7" s="31">
        <v>5.4689092808758701E-2</v>
      </c>
      <c r="M7" s="31">
        <v>-1.3239992805798901E-2</v>
      </c>
      <c r="N7" s="31">
        <v>1.009554424359E-2</v>
      </c>
      <c r="O7" s="31">
        <f>NORMSINV(0.01) * RiskTab[[#This Row],[std. log returns]]</f>
        <v>-2.3485747888360844E-2</v>
      </c>
      <c r="P7" s="31">
        <v>-2.3270618589349701E-2</v>
      </c>
      <c r="Q7" s="31">
        <v>-2.9207804363172201E-2</v>
      </c>
      <c r="R7" s="12">
        <v>3.5242919693701001E-15</v>
      </c>
      <c r="S7" s="14">
        <v>0</v>
      </c>
      <c r="T7" s="14">
        <v>0</v>
      </c>
      <c r="U7" s="31" t="str">
        <f>IFERROR(RiskTab[[#This Row],[cVaR]]/RiskTab[[#This Row],[indivinduall VaR]],"")</f>
        <v/>
      </c>
      <c r="V7" s="1">
        <v>1</v>
      </c>
      <c r="W7" s="18">
        <v>-1.5775261091107499E-2</v>
      </c>
      <c r="X7" s="5">
        <v>753</v>
      </c>
      <c r="Y7" s="23" t="str">
        <f>IFERROR(RiskTab[[#This Row],[cVaR]]/RiskTab[[#This Row],[Position Value]],"")</f>
        <v/>
      </c>
      <c r="Z7" s="23">
        <v>-1.5932212033460399E-2</v>
      </c>
      <c r="AA7" s="6"/>
      <c r="AB7" s="23"/>
      <c r="AC7" s="23"/>
      <c r="AD7" s="41" t="s">
        <v>127</v>
      </c>
      <c r="AE7" s="6"/>
      <c r="AF7" s="1"/>
      <c r="AG7" s="25"/>
      <c r="AH7" s="4"/>
    </row>
    <row r="8" spans="1:34">
      <c r="A8">
        <v>6</v>
      </c>
      <c r="B8" t="s">
        <v>17</v>
      </c>
      <c r="C8" s="3" t="s">
        <v>31</v>
      </c>
      <c r="D8" s="1">
        <v>3140</v>
      </c>
      <c r="E8" s="12">
        <v>0.14000000000000001</v>
      </c>
      <c r="F8" s="6">
        <f>RiskTab[[#This Row],[Volume]]*RiskTab[[#This Row],[Close Price]]</f>
        <v>439.6</v>
      </c>
      <c r="G8" s="31">
        <f t="array" ref="G8">RiskTab[[#This Row],[Position Value]]/ (MMULT(TRANSPOSE(RiskTab[Volume]),RiskTab[Close Price]))</f>
        <v>8.8919855804911081E-3</v>
      </c>
      <c r="H8" s="31">
        <v>0</v>
      </c>
      <c r="I8" s="6">
        <f>RiskTab[[#This Row],[1D. log Return]]*RiskTab[[#This Row],[Position Value]]</f>
        <v>0</v>
      </c>
      <c r="J8" s="31">
        <v>-0.13353139262452299</v>
      </c>
      <c r="K8" s="31">
        <v>-0.405465108108164</v>
      </c>
      <c r="L8" s="31">
        <v>-0.405465108108164</v>
      </c>
      <c r="M8" s="31">
        <v>-0.82667857318446802</v>
      </c>
      <c r="N8" s="31">
        <v>5.0892203663390201E-2</v>
      </c>
      <c r="O8" s="31">
        <f>NORMSINV(0.01) * RiskTab[[#This Row],[std. log returns]]</f>
        <v>-0.11839296979758128</v>
      </c>
      <c r="P8" s="31">
        <v>-0.119767832516172</v>
      </c>
      <c r="Q8" s="31">
        <v>-0.17392444712202099</v>
      </c>
      <c r="R8" s="12">
        <v>0</v>
      </c>
      <c r="S8" s="14">
        <v>-108.08649988849599</v>
      </c>
      <c r="T8" s="14">
        <v>0</v>
      </c>
      <c r="U8" s="31">
        <f>IFERROR(RiskTab[[#This Row],[cVaR]]/RiskTab[[#This Row],[indivinduall VaR]],"")</f>
        <v>0</v>
      </c>
      <c r="V8" s="1">
        <v>0</v>
      </c>
      <c r="W8" s="18">
        <v>0</v>
      </c>
      <c r="X8" s="5">
        <v>757</v>
      </c>
      <c r="Y8" s="23">
        <f>IFERROR(RiskTab[[#This Row],[cVaR]]/RiskTab[[#This Row],[Position Value]],"")</f>
        <v>0</v>
      </c>
      <c r="Z8" s="23">
        <v>-0.18232155679395401</v>
      </c>
      <c r="AA8" s="6"/>
      <c r="AB8" s="23"/>
      <c r="AC8" s="23"/>
      <c r="AD8" s="41" t="s">
        <v>128</v>
      </c>
      <c r="AE8" s="6"/>
      <c r="AF8" s="1"/>
      <c r="AG8" s="25"/>
      <c r="AH8" s="4"/>
    </row>
    <row r="9" spans="1:34">
      <c r="A9">
        <v>7</v>
      </c>
      <c r="B9" t="s">
        <v>10</v>
      </c>
      <c r="C9" s="3" t="s">
        <v>33</v>
      </c>
      <c r="D9" s="1">
        <f>53-53</f>
        <v>0</v>
      </c>
      <c r="E9" s="12">
        <v>16.383183568677801</v>
      </c>
      <c r="F9" s="6">
        <f>RiskTab[[#This Row],[Volume]]*RiskTab[[#This Row],[Close Price]]</f>
        <v>0</v>
      </c>
      <c r="G9" s="31">
        <f t="array" ref="G9">RiskTab[[#This Row],[Position Value]]/ (MMULT(TRANSPOSE(RiskTab[Volume]),RiskTab[Close Price]))</f>
        <v>0</v>
      </c>
      <c r="H9" s="31">
        <v>3.5685319710688598E-2</v>
      </c>
      <c r="I9" s="6">
        <f>RiskTab[[#This Row],[1D. log Return]]*RiskTab[[#This Row],[Position Value]]</f>
        <v>0</v>
      </c>
      <c r="J9" s="31">
        <v>6.7215181387594705E-2</v>
      </c>
      <c r="K9" s="31">
        <v>0.34304519586762899</v>
      </c>
      <c r="L9" s="31">
        <v>0.36148633743043801</v>
      </c>
      <c r="M9" s="31">
        <v>0</v>
      </c>
      <c r="N9" s="31">
        <v>4.6199683794614699E-2</v>
      </c>
      <c r="O9" s="31">
        <f>NORMSINV(0.01) * RiskTab[[#This Row],[std. log returns]]</f>
        <v>-0.10747653617696099</v>
      </c>
      <c r="P9" s="31">
        <v>-0.1087015763548</v>
      </c>
      <c r="Q9" s="31">
        <v>-0.14568719696999</v>
      </c>
      <c r="R9" s="12">
        <v>0</v>
      </c>
      <c r="S9" s="14">
        <v>0</v>
      </c>
      <c r="T9" s="14">
        <v>0</v>
      </c>
      <c r="U9" s="31" t="str">
        <f>IFERROR(RiskTab[[#This Row],[cVaR]]/RiskTab[[#This Row],[indivinduall VaR]],"")</f>
        <v/>
      </c>
      <c r="V9" s="1">
        <v>0</v>
      </c>
      <c r="W9" s="18">
        <v>0</v>
      </c>
      <c r="X9" s="5">
        <v>244</v>
      </c>
      <c r="Y9" s="23" t="str">
        <f>IFERROR(RiskTab[[#This Row],[cVaR]]/RiskTab[[#This Row],[Position Value]],"")</f>
        <v/>
      </c>
      <c r="Z9" s="23" t="e">
        <v>#NUM!</v>
      </c>
      <c r="AA9" s="6"/>
      <c r="AB9" s="23"/>
      <c r="AC9" s="23"/>
      <c r="AD9" s="41" t="s">
        <v>129</v>
      </c>
      <c r="AE9" s="6"/>
      <c r="AF9" s="1"/>
      <c r="AG9" s="25"/>
      <c r="AH9" s="4"/>
    </row>
    <row r="10" spans="1:34">
      <c r="A10">
        <v>8</v>
      </c>
      <c r="B10" t="s">
        <v>6</v>
      </c>
      <c r="C10" s="3" t="s">
        <v>20</v>
      </c>
      <c r="D10" s="1">
        <v>244</v>
      </c>
      <c r="E10" s="12">
        <v>4.47</v>
      </c>
      <c r="F10" s="6">
        <f>RiskTab[[#This Row],[Volume]]*RiskTab[[#This Row],[Close Price]]</f>
        <v>1090.6799999999998</v>
      </c>
      <c r="G10" s="31">
        <f t="array" ref="G10">RiskTab[[#This Row],[Position Value]]/ (MMULT(TRANSPOSE(RiskTab[Volume]),RiskTab[Close Price]))</f>
        <v>2.2061671594472337E-2</v>
      </c>
      <c r="H10" s="31">
        <v>-6.6889881507967699E-3</v>
      </c>
      <c r="I10" s="6">
        <f>RiskTab[[#This Row],[1D. log Return]]*RiskTab[[#This Row],[Position Value]]</f>
        <v>-7.2955455963110198</v>
      </c>
      <c r="J10" s="31">
        <v>9.8671527507029594E-2</v>
      </c>
      <c r="K10" s="31">
        <v>5.51864155672908E-2</v>
      </c>
      <c r="L10" s="31">
        <v>0.62191967127157799</v>
      </c>
      <c r="M10" s="31">
        <v>0.45711169697033099</v>
      </c>
      <c r="N10" s="31">
        <v>4.1790878427728897E-2</v>
      </c>
      <c r="O10" s="31">
        <f>NORMSINV(0.01) * RiskTab[[#This Row],[std. log returns]]</f>
        <v>-9.722012118464636E-2</v>
      </c>
      <c r="P10" s="31">
        <v>-9.5935260418769194E-2</v>
      </c>
      <c r="Q10" s="31">
        <v>-7.88133015552481E-2</v>
      </c>
      <c r="R10" s="12">
        <v>0</v>
      </c>
      <c r="S10" s="14">
        <v>-87.708266189617305</v>
      </c>
      <c r="T10" s="14">
        <v>0</v>
      </c>
      <c r="U10" s="31">
        <f>IFERROR(RiskTab[[#This Row],[cVaR]]/RiskTab[[#This Row],[indivinduall VaR]],"")</f>
        <v>0</v>
      </c>
      <c r="V10" s="1">
        <v>0</v>
      </c>
      <c r="W10" s="18">
        <v>0</v>
      </c>
      <c r="X10" s="5">
        <v>299</v>
      </c>
      <c r="Y10" s="23">
        <f>IFERROR(RiskTab[[#This Row],[cVaR]]/RiskTab[[#This Row],[Position Value]],"")</f>
        <v>0</v>
      </c>
      <c r="Z10" s="23" t="e">
        <v>#NUM!</v>
      </c>
      <c r="AA10" s="6"/>
      <c r="AB10" s="23"/>
      <c r="AC10" s="23"/>
      <c r="AD10" s="41" t="s">
        <v>130</v>
      </c>
      <c r="AE10" s="6"/>
      <c r="AF10" s="1"/>
      <c r="AG10" s="25"/>
      <c r="AH10" s="4"/>
    </row>
    <row r="11" spans="1:34">
      <c r="A11">
        <v>9</v>
      </c>
      <c r="B11" t="s">
        <v>7</v>
      </c>
      <c r="C11" s="3" t="s">
        <v>37</v>
      </c>
      <c r="D11" s="1">
        <v>115</v>
      </c>
      <c r="E11" s="12">
        <v>29.565147625160499</v>
      </c>
      <c r="F11" s="6">
        <f>RiskTab[[#This Row],[Volume]]*RiskTab[[#This Row],[Close Price]]</f>
        <v>3399.9919768934574</v>
      </c>
      <c r="G11" s="31">
        <f t="array" ref="G11">RiskTab[[#This Row],[Position Value]]/ (MMULT(TRANSPOSE(RiskTab[Volume]),RiskTab[Close Price]))</f>
        <v>6.8773156579440581E-2</v>
      </c>
      <c r="H11" s="31">
        <v>5.0413912977997901E-3</v>
      </c>
      <c r="I11" s="6">
        <f>RiskTab[[#This Row],[1D. log Return]]*RiskTab[[#This Row],[Position Value]]</f>
        <v>17.140689964899781</v>
      </c>
      <c r="J11" s="31">
        <v>7.4508667748198296E-2</v>
      </c>
      <c r="K11" s="31">
        <v>-3.84554265595516E-2</v>
      </c>
      <c r="L11" s="31">
        <v>0.18192701652521201</v>
      </c>
      <c r="M11" s="31">
        <v>0.166031683468464</v>
      </c>
      <c r="N11" s="31">
        <v>1.45522047347865E-2</v>
      </c>
      <c r="O11" s="31">
        <f>NORMSINV(0.01) * RiskTab[[#This Row],[std. log returns]]</f>
        <v>-3.3853490547377629E-2</v>
      </c>
      <c r="P11" s="31">
        <v>-3.3167810158948603E-2</v>
      </c>
      <c r="Q11" s="31">
        <v>-3.51053856418223E-2</v>
      </c>
      <c r="R11" s="12">
        <v>-38.441581108712199</v>
      </c>
      <c r="S11" s="14">
        <v>-99.434252201224695</v>
      </c>
      <c r="T11" s="14">
        <v>-52.625982977546499</v>
      </c>
      <c r="U11" s="31">
        <f>IFERROR(RiskTab[[#This Row],[cVaR]]/RiskTab[[#This Row],[indivinduall VaR]],"")</f>
        <v>0.52925407304363803</v>
      </c>
      <c r="V11" s="1">
        <v>1</v>
      </c>
      <c r="W11" s="18">
        <v>-3.2686945948787498</v>
      </c>
      <c r="X11" s="5">
        <v>753</v>
      </c>
      <c r="Y11" s="23">
        <f>IFERROR(RiskTab[[#This Row],[cVaR]]/RiskTab[[#This Row],[Position Value]],"")</f>
        <v>-1.5478266812155949E-2</v>
      </c>
      <c r="Z11" s="23">
        <v>-2.8104144181325001E-2</v>
      </c>
      <c r="AA11" s="6"/>
      <c r="AB11" s="23"/>
      <c r="AC11" s="23"/>
      <c r="AD11" s="41" t="s">
        <v>131</v>
      </c>
      <c r="AE11" s="6"/>
      <c r="AF11" s="1"/>
      <c r="AG11" s="25"/>
      <c r="AH11" s="4"/>
    </row>
    <row r="12" spans="1:34">
      <c r="A12">
        <v>10</v>
      </c>
      <c r="B12" t="s">
        <v>8</v>
      </c>
      <c r="C12" s="3" t="s">
        <v>21</v>
      </c>
      <c r="D12" s="1">
        <v>0</v>
      </c>
      <c r="E12" s="12">
        <v>598.4</v>
      </c>
      <c r="F12" s="6">
        <f>RiskTab[[#This Row],[Volume]]*RiskTab[[#This Row],[Close Price]]</f>
        <v>0</v>
      </c>
      <c r="G12" s="31">
        <f t="array" ref="G12">RiskTab[[#This Row],[Position Value]]/ (MMULT(TRANSPOSE(RiskTab[Volume]),RiskTab[Close Price]))</f>
        <v>0</v>
      </c>
      <c r="H12" s="31">
        <v>6.8751842876517699E-3</v>
      </c>
      <c r="I12" s="6">
        <f>RiskTab[[#This Row],[1D. log Return]]*RiskTab[[#This Row],[Position Value]]</f>
        <v>0</v>
      </c>
      <c r="J12" s="31">
        <v>2.2442472259196E-2</v>
      </c>
      <c r="K12" s="31">
        <v>-3.7071655273211802E-2</v>
      </c>
      <c r="L12" s="31">
        <v>0.128673083473446</v>
      </c>
      <c r="M12" s="31">
        <v>8.5705715395547194E-2</v>
      </c>
      <c r="N12" s="31">
        <v>2.8080813123580999E-2</v>
      </c>
      <c r="O12" s="31">
        <f>NORMSINV(0.01) * RiskTab[[#This Row],[std. log returns]]</f>
        <v>-6.5325739911380798E-2</v>
      </c>
      <c r="P12" s="31">
        <v>-6.4628464386554299E-2</v>
      </c>
      <c r="Q12" s="31">
        <v>-8.63683714430524E-2</v>
      </c>
      <c r="R12" s="12">
        <v>3.5242919693701001E-15</v>
      </c>
      <c r="S12" s="14">
        <v>0</v>
      </c>
      <c r="T12" s="14">
        <v>0</v>
      </c>
      <c r="U12" s="31" t="str">
        <f>IFERROR(RiskTab[[#This Row],[cVaR]]/RiskTab[[#This Row],[indivinduall VaR]],"")</f>
        <v/>
      </c>
      <c r="V12" s="1">
        <v>1</v>
      </c>
      <c r="W12" s="18">
        <v>-0.13922826749671899</v>
      </c>
      <c r="X12" s="5">
        <v>632</v>
      </c>
      <c r="Y12" s="23" t="str">
        <f>IFERROR(RiskTab[[#This Row],[cVaR]]/RiskTab[[#This Row],[Position Value]],"")</f>
        <v/>
      </c>
      <c r="Z12" s="23">
        <v>-2.93788497328729E-2</v>
      </c>
      <c r="AA12" s="6"/>
      <c r="AB12" s="23"/>
      <c r="AC12" s="23"/>
      <c r="AD12" s="41" t="s">
        <v>132</v>
      </c>
      <c r="AE12" s="6"/>
      <c r="AF12" s="1"/>
      <c r="AG12" s="25"/>
      <c r="AH12" s="4"/>
    </row>
    <row r="13" spans="1:34">
      <c r="A13">
        <v>11</v>
      </c>
      <c r="B13" t="s">
        <v>1</v>
      </c>
      <c r="C13" s="3" t="s">
        <v>38</v>
      </c>
      <c r="D13" s="19">
        <f>2136-507</f>
        <v>1629</v>
      </c>
      <c r="E13" s="12">
        <v>0.65</v>
      </c>
      <c r="F13" s="6">
        <f>RiskTab[[#This Row],[Volume]]*RiskTab[[#This Row],[Close Price]]</f>
        <v>1058.8500000000001</v>
      </c>
      <c r="G13" s="31">
        <f t="array" ref="G13">RiskTab[[#This Row],[Position Value]]/ (MMULT(TRANSPOSE(RiskTab[Volume]),RiskTab[Close Price]))</f>
        <v>2.1417831965202479E-2</v>
      </c>
      <c r="H13" s="31">
        <v>-3.0305349495328999E-2</v>
      </c>
      <c r="I13" s="6">
        <f>RiskTab[[#This Row],[1D. log Return]]*RiskTab[[#This Row],[Position Value]]</f>
        <v>-32.088819313129115</v>
      </c>
      <c r="J13" s="31">
        <v>-0.19506058257138401</v>
      </c>
      <c r="K13" s="31">
        <v>-0.34740130715340301</v>
      </c>
      <c r="L13" s="31">
        <v>0.99633343954769105</v>
      </c>
      <c r="M13" s="31">
        <v>0</v>
      </c>
      <c r="N13" s="31">
        <v>9.1135480324945201E-2</v>
      </c>
      <c r="O13" s="31">
        <f>NORMSINV(0.01) * RiskTab[[#This Row],[std. log returns]]</f>
        <v>-0.21201283090362713</v>
      </c>
      <c r="P13" s="31">
        <v>-0.20584031701345301</v>
      </c>
      <c r="Q13" s="31">
        <v>-0.19796230362735101</v>
      </c>
      <c r="R13" s="12">
        <v>0</v>
      </c>
      <c r="S13" s="14">
        <v>-249.42090054310401</v>
      </c>
      <c r="T13" s="14">
        <v>0</v>
      </c>
      <c r="U13" s="31">
        <f>IFERROR(RiskTab[[#This Row],[cVaR]]/RiskTab[[#This Row],[indivinduall VaR]],"")</f>
        <v>0</v>
      </c>
      <c r="V13" s="1">
        <v>0</v>
      </c>
      <c r="W13" s="18">
        <v>0</v>
      </c>
      <c r="X13" s="5">
        <v>173</v>
      </c>
      <c r="Y13" s="23">
        <f>IFERROR(RiskTab[[#This Row],[cVaR]]/RiskTab[[#This Row],[Position Value]],"")</f>
        <v>0</v>
      </c>
      <c r="Z13" s="23" t="e">
        <v>#NUM!</v>
      </c>
      <c r="AA13" s="6"/>
      <c r="AB13" s="23"/>
      <c r="AC13" s="23"/>
      <c r="AD13" s="41" t="s">
        <v>133</v>
      </c>
      <c r="AE13" s="6"/>
      <c r="AF13" s="1"/>
      <c r="AG13" s="25"/>
      <c r="AH13" s="4"/>
    </row>
    <row r="14" spans="1:34">
      <c r="A14">
        <v>12</v>
      </c>
      <c r="B14" t="s">
        <v>2</v>
      </c>
      <c r="C14" s="3" t="s">
        <v>39</v>
      </c>
      <c r="D14" s="1">
        <f>114+53</f>
        <v>167</v>
      </c>
      <c r="E14" s="12">
        <v>17.190000000000001</v>
      </c>
      <c r="F14" s="6">
        <f>RiskTab[[#This Row],[Volume]]*RiskTab[[#This Row],[Close Price]]</f>
        <v>2870.73</v>
      </c>
      <c r="G14" s="31">
        <f t="array" ref="G14">RiskTab[[#This Row],[Position Value]]/ (MMULT(TRANSPOSE(RiskTab[Volume]),RiskTab[Close Price]))</f>
        <v>5.8067538138041941E-2</v>
      </c>
      <c r="H14" s="31">
        <v>-2.2434072862272701E-2</v>
      </c>
      <c r="I14" s="6">
        <f>RiskTab[[#This Row],[1D. log Return]]*RiskTab[[#This Row],[Position Value]]</f>
        <v>-64.402165987912113</v>
      </c>
      <c r="J14" s="31">
        <v>3.49251240322603E-2</v>
      </c>
      <c r="K14" s="31">
        <v>-0.29982445927750601</v>
      </c>
      <c r="L14" s="31">
        <v>1.03932312341668</v>
      </c>
      <c r="M14" s="31">
        <v>0.63495510812289102</v>
      </c>
      <c r="N14" s="31">
        <v>4.6896179619686999E-2</v>
      </c>
      <c r="O14" s="31">
        <f>NORMSINV(0.01) * RiskTab[[#This Row],[std. log returns]]</f>
        <v>-0.10909682775889626</v>
      </c>
      <c r="P14" s="31">
        <v>-0.105758808696059</v>
      </c>
      <c r="Q14" s="31">
        <v>-0.12808853166213099</v>
      </c>
      <c r="R14" s="12">
        <v>-98.130333417805801</v>
      </c>
      <c r="S14" s="14">
        <v>-380.88238541148598</v>
      </c>
      <c r="T14" s="14">
        <v>-119.639607610597</v>
      </c>
      <c r="U14" s="31">
        <f>IFERROR(RiskTab[[#This Row],[cVaR]]/RiskTab[[#This Row],[indivinduall VaR]],"")</f>
        <v>0.31411168432308689</v>
      </c>
      <c r="V14" s="1">
        <v>1</v>
      </c>
      <c r="W14" s="18">
        <v>-0.16109532740245</v>
      </c>
      <c r="X14" s="5">
        <v>752</v>
      </c>
      <c r="Y14" s="23">
        <f>IFERROR(RiskTab[[#This Row],[cVaR]]/RiskTab[[#This Row],[Position Value]],"")</f>
        <v>-4.1675673996020873E-2</v>
      </c>
      <c r="Z14" s="23">
        <v>-9.3271443114476493E-2</v>
      </c>
      <c r="AA14" s="6"/>
      <c r="AB14" s="23"/>
      <c r="AC14" s="23"/>
      <c r="AD14" s="41" t="s">
        <v>134</v>
      </c>
      <c r="AE14" s="6"/>
      <c r="AF14" s="1"/>
      <c r="AG14" s="25"/>
      <c r="AH14" s="4"/>
    </row>
    <row r="15" spans="1:34">
      <c r="A15">
        <v>13</v>
      </c>
      <c r="B15" t="s">
        <v>3</v>
      </c>
      <c r="C15" s="3" t="s">
        <v>22</v>
      </c>
      <c r="D15" s="26">
        <v>3246</v>
      </c>
      <c r="E15" s="12">
        <v>0.11</v>
      </c>
      <c r="F15" s="6">
        <f>RiskTab[[#This Row],[Volume]]*RiskTab[[#This Row],[Close Price]]</f>
        <v>357.06</v>
      </c>
      <c r="G15" s="31">
        <f t="array" ref="G15">RiskTab[[#This Row],[Position Value]]/ (MMULT(TRANSPOSE(RiskTab[Volume]),RiskTab[Close Price]))</f>
        <v>7.2224121277756018E-3</v>
      </c>
      <c r="H15" s="31">
        <v>9.5310179804324796E-2</v>
      </c>
      <c r="I15" s="6">
        <f>RiskTab[[#This Row],[1D. log Return]]*RiskTab[[#This Row],[Position Value]]</f>
        <v>34.031452800932215</v>
      </c>
      <c r="J15" s="31">
        <v>9.5310179804324796E-2</v>
      </c>
      <c r="K15" s="31">
        <v>0</v>
      </c>
      <c r="L15" s="31">
        <v>0.31845373111853498</v>
      </c>
      <c r="M15" s="31">
        <v>-0.37469344944140998</v>
      </c>
      <c r="N15" s="31">
        <v>9.2661733133574398E-2</v>
      </c>
      <c r="O15" s="31">
        <f>NORMSINV(0.01) * RiskTab[[#This Row],[std. log returns]]</f>
        <v>-0.21556342588023053</v>
      </c>
      <c r="P15" s="31">
        <v>-0.21192741964353301</v>
      </c>
      <c r="Q15" s="31">
        <v>-0.22314355131420999</v>
      </c>
      <c r="R15" s="12">
        <v>0</v>
      </c>
      <c r="S15" s="14">
        <v>-91.492810750189506</v>
      </c>
      <c r="T15" s="14">
        <v>0</v>
      </c>
      <c r="U15" s="31">
        <f>IFERROR(RiskTab[[#This Row],[cVaR]]/RiskTab[[#This Row],[indivinduall VaR]],"")</f>
        <v>0</v>
      </c>
      <c r="V15" s="1">
        <v>0</v>
      </c>
      <c r="W15" s="18">
        <v>0</v>
      </c>
      <c r="X15" s="5">
        <v>388</v>
      </c>
      <c r="Y15" s="23">
        <f>IFERROR(RiskTab[[#This Row],[cVaR]]/RiskTab[[#This Row],[Position Value]],"")</f>
        <v>0</v>
      </c>
      <c r="Z15" s="23" t="e">
        <v>#NUM!</v>
      </c>
      <c r="AA15" s="6"/>
      <c r="AB15" s="23"/>
      <c r="AC15" s="23"/>
      <c r="AD15" s="41" t="s">
        <v>135</v>
      </c>
      <c r="AE15" s="6"/>
      <c r="AF15" s="1"/>
      <c r="AG15" s="25"/>
      <c r="AH15" s="4"/>
    </row>
    <row r="16" spans="1:34">
      <c r="A16">
        <v>14</v>
      </c>
      <c r="B16" t="s">
        <v>14</v>
      </c>
      <c r="C16" s="3" t="s">
        <v>23</v>
      </c>
      <c r="D16" s="1">
        <v>41</v>
      </c>
      <c r="E16" s="12">
        <v>112.34</v>
      </c>
      <c r="F16" s="6">
        <f>RiskTab[[#This Row],[Volume]]*RiskTab[[#This Row],[Close Price]]</f>
        <v>4605.9400000000005</v>
      </c>
      <c r="G16" s="31">
        <f t="array" ref="G16">RiskTab[[#This Row],[Position Value]]/ (MMULT(TRANSPOSE(RiskTab[Volume]),RiskTab[Close Price]))</f>
        <v>9.316640597044408E-2</v>
      </c>
      <c r="H16" s="31">
        <v>0</v>
      </c>
      <c r="I16" s="6">
        <f>RiskTab[[#This Row],[1D. log Return]]*RiskTab[[#This Row],[Position Value]]</f>
        <v>0</v>
      </c>
      <c r="J16" s="31">
        <v>1.9596132683886901E-2</v>
      </c>
      <c r="K16" s="31">
        <v>-2.8432943785345399E-2</v>
      </c>
      <c r="L16" s="31">
        <v>2.80742362488349E-2</v>
      </c>
      <c r="M16" s="31">
        <v>0.16010272406411399</v>
      </c>
      <c r="N16" s="31">
        <v>1.1097913808957501E-2</v>
      </c>
      <c r="O16" s="31">
        <f>NORMSINV(0.01) * RiskTab[[#This Row],[std. log returns]]</f>
        <v>-2.5817608195756771E-2</v>
      </c>
      <c r="P16" s="31">
        <v>-2.5338989611028099E-2</v>
      </c>
      <c r="Q16" s="31">
        <v>-4.0942696177876603E-2</v>
      </c>
      <c r="R16" s="12">
        <v>-23.355709585802199</v>
      </c>
      <c r="S16" s="14">
        <v>-142.09548821948499</v>
      </c>
      <c r="T16" s="14">
        <v>-87.251877708452895</v>
      </c>
      <c r="U16" s="31">
        <f>IFERROR(RiskTab[[#This Row],[cVaR]]/RiskTab[[#This Row],[indivinduall VaR]],"")</f>
        <v>0.61403693250049574</v>
      </c>
      <c r="V16" s="1">
        <v>1</v>
      </c>
      <c r="W16" s="18">
        <v>-7.2490239592525499E-2</v>
      </c>
      <c r="X16" s="5">
        <v>757</v>
      </c>
      <c r="Y16" s="23">
        <f>IFERROR(RiskTab[[#This Row],[cVaR]]/RiskTab[[#This Row],[Position Value]],"")</f>
        <v>-1.8943337887261425E-2</v>
      </c>
      <c r="Z16" s="23">
        <v>-1.52191635296074E-2</v>
      </c>
      <c r="AA16" s="6"/>
      <c r="AB16" s="23"/>
      <c r="AC16" s="23"/>
      <c r="AD16" s="41" t="s">
        <v>136</v>
      </c>
      <c r="AE16" s="6"/>
      <c r="AF16" s="1"/>
      <c r="AG16" s="25"/>
      <c r="AH16" s="4"/>
    </row>
    <row r="17" spans="1:34">
      <c r="A17">
        <v>15</v>
      </c>
      <c r="B17" t="s">
        <v>4</v>
      </c>
      <c r="C17" s="3" t="s">
        <v>40</v>
      </c>
      <c r="D17" s="1">
        <v>55</v>
      </c>
      <c r="E17" s="12">
        <v>71.290000000000006</v>
      </c>
      <c r="F17" s="6">
        <f>RiskTab[[#This Row],[Volume]]*RiskTab[[#This Row],[Close Price]]</f>
        <v>3920.9500000000003</v>
      </c>
      <c r="G17" s="31">
        <f t="array" ref="G17">RiskTab[[#This Row],[Position Value]]/ (MMULT(TRANSPOSE(RiskTab[Volume]),RiskTab[Close Price]))</f>
        <v>7.9310807238004113E-2</v>
      </c>
      <c r="H17" s="31">
        <v>0</v>
      </c>
      <c r="I17" s="6">
        <f>RiskTab[[#This Row],[1D. log Return]]*RiskTab[[#This Row],[Position Value]]</f>
        <v>0</v>
      </c>
      <c r="J17" s="31">
        <v>-6.0022095313866201E-2</v>
      </c>
      <c r="K17" s="31">
        <v>-4.5920491409550998E-2</v>
      </c>
      <c r="L17" s="31">
        <v>-7.4069236683991201E-3</v>
      </c>
      <c r="M17" s="31">
        <v>9.23687952339005E-2</v>
      </c>
      <c r="N17" s="31">
        <v>7.1034835821649203E-3</v>
      </c>
      <c r="O17" s="31">
        <f>NORMSINV(0.01) * RiskTab[[#This Row],[std. log returns]]</f>
        <v>-1.6525173929653379E-2</v>
      </c>
      <c r="P17" s="31">
        <v>-1.6293968149544001E-2</v>
      </c>
      <c r="Q17" s="31">
        <v>-1.42723601847552E-2</v>
      </c>
      <c r="R17" s="12">
        <v>0</v>
      </c>
      <c r="S17" s="14">
        <v>-219.03274691470199</v>
      </c>
      <c r="T17" s="14">
        <v>0</v>
      </c>
      <c r="U17" s="31">
        <f>IFERROR(RiskTab[[#This Row],[cVaR]]/RiskTab[[#This Row],[indivinduall VaR]],"")</f>
        <v>0</v>
      </c>
      <c r="V17" s="1">
        <v>0</v>
      </c>
      <c r="W17" s="18">
        <v>0</v>
      </c>
      <c r="X17" s="5">
        <v>753</v>
      </c>
      <c r="Y17" s="23">
        <f>IFERROR(RiskTab[[#This Row],[cVaR]]/RiskTab[[#This Row],[Position Value]],"")</f>
        <v>0</v>
      </c>
      <c r="Z17" s="23">
        <v>-9.4235730626923697E-3</v>
      </c>
      <c r="AA17" s="6"/>
      <c r="AB17" s="23"/>
      <c r="AC17" s="23"/>
      <c r="AD17" s="41" t="s">
        <v>137</v>
      </c>
      <c r="AE17" s="6"/>
      <c r="AF17" s="1"/>
      <c r="AG17" s="25"/>
      <c r="AH17" s="4"/>
    </row>
    <row r="18" spans="1:34">
      <c r="A18">
        <v>16</v>
      </c>
      <c r="B18" t="s">
        <v>18</v>
      </c>
      <c r="C18" s="3" t="s">
        <v>24</v>
      </c>
      <c r="D18" s="1">
        <v>25</v>
      </c>
      <c r="E18" s="12">
        <v>223.85</v>
      </c>
      <c r="F18" s="6">
        <f>RiskTab[[#This Row],[Volume]]*RiskTab[[#This Row],[Close Price]]</f>
        <v>5596.25</v>
      </c>
      <c r="G18" s="31">
        <f t="array" ref="G18">RiskTab[[#This Row],[Position Value]]/ (MMULT(TRANSPOSE(RiskTab[Volume]),RiskTab[Close Price]))</f>
        <v>0.1131978487370868</v>
      </c>
      <c r="H18" s="31">
        <v>-3.5674508291938501E-3</v>
      </c>
      <c r="I18" s="6">
        <f>RiskTab[[#This Row],[1D. log Return]]*RiskTab[[#This Row],[Position Value]]</f>
        <v>-19.964346702876085</v>
      </c>
      <c r="J18" s="31">
        <v>3.0618107802729E-2</v>
      </c>
      <c r="K18" s="31">
        <v>-3.53300595745107E-2</v>
      </c>
      <c r="L18" s="31">
        <v>4.05242203797389E-2</v>
      </c>
      <c r="M18" s="31">
        <v>8.8502934927866803E-2</v>
      </c>
      <c r="N18" s="31">
        <v>1.09928562316893E-2</v>
      </c>
      <c r="O18" s="31">
        <f>NORMSINV(0.01) * RiskTab[[#This Row],[std. log returns]]</f>
        <v>-2.5573207724227012E-2</v>
      </c>
      <c r="P18" s="31">
        <v>-2.52354688696916E-2</v>
      </c>
      <c r="Q18" s="31">
        <v>-3.0954124439962202E-2</v>
      </c>
      <c r="R18" s="12">
        <v>-54.0069603233935</v>
      </c>
      <c r="S18" s="14">
        <v>-118.038854027461</v>
      </c>
      <c r="T18" s="14">
        <v>-70.275181761463699</v>
      </c>
      <c r="U18" s="31">
        <f>IFERROR(RiskTab[[#This Row],[cVaR]]/RiskTab[[#This Row],[indivinduall VaR]],"")</f>
        <v>0.59535635397743369</v>
      </c>
      <c r="V18" s="1">
        <v>1</v>
      </c>
      <c r="W18" s="18">
        <v>-4.7652267680859898E-3</v>
      </c>
      <c r="X18" s="5">
        <v>757</v>
      </c>
      <c r="Y18" s="23">
        <f>IFERROR(RiskTab[[#This Row],[cVaR]]/RiskTab[[#This Row],[Position Value]],"")</f>
        <v>-1.2557548673033495E-2</v>
      </c>
      <c r="Z18" s="23">
        <v>-2.0089622382284799E-2</v>
      </c>
      <c r="AA18" s="6"/>
      <c r="AB18" s="23"/>
      <c r="AC18" s="23"/>
      <c r="AD18" s="41" t="s">
        <v>138</v>
      </c>
      <c r="AE18" s="6"/>
      <c r="AF18" s="1"/>
      <c r="AG18" s="25"/>
      <c r="AH18" s="4"/>
    </row>
    <row r="19" spans="1:34">
      <c r="A19">
        <v>17</v>
      </c>
      <c r="B19" t="s">
        <v>9</v>
      </c>
      <c r="C19" s="3" t="s">
        <v>25</v>
      </c>
      <c r="D19" s="1">
        <v>23</v>
      </c>
      <c r="E19" s="12">
        <v>138.80000000000001</v>
      </c>
      <c r="F19" s="6">
        <f>RiskTab[[#This Row],[Volume]]*RiskTab[[#This Row],[Close Price]]</f>
        <v>3192.4</v>
      </c>
      <c r="G19" s="31">
        <f t="array" ref="G19">RiskTab[[#This Row],[Position Value]]/ (MMULT(TRANSPOSE(RiskTab[Volume]),RiskTab[Close Price]))</f>
        <v>6.4574100926205219E-2</v>
      </c>
      <c r="H19" s="31">
        <v>-4.6003531390610402E-3</v>
      </c>
      <c r="I19" s="6">
        <f>RiskTab[[#This Row],[1D. log Return]]*RiskTab[[#This Row],[Position Value]]</f>
        <v>-14.686167361138466</v>
      </c>
      <c r="J19" s="31">
        <v>4.76596794887909E-2</v>
      </c>
      <c r="K19" s="31">
        <v>-3.9553178386022098E-2</v>
      </c>
      <c r="L19" s="31">
        <v>2.7537072099753399E-2</v>
      </c>
      <c r="M19" s="31">
        <v>7.9442503586134805E-2</v>
      </c>
      <c r="N19" s="31">
        <v>1.5733964103762599E-2</v>
      </c>
      <c r="O19" s="31">
        <f>NORMSINV(0.01) * RiskTab[[#This Row],[std. log returns]]</f>
        <v>-3.6602673943023023E-2</v>
      </c>
      <c r="P19" s="31">
        <v>-3.6352452373867E-2</v>
      </c>
      <c r="Q19" s="31">
        <v>-4.4961206697270703E-2</v>
      </c>
      <c r="R19" s="12">
        <v>-34.285213066813597</v>
      </c>
      <c r="S19" s="14">
        <v>-102.516983870231</v>
      </c>
      <c r="T19" s="14">
        <v>-67.525941985637004</v>
      </c>
      <c r="U19" s="31">
        <f>IFERROR(RiskTab[[#This Row],[cVaR]]/RiskTab[[#This Row],[indivinduall VaR]],"")</f>
        <v>0.65868053698412854</v>
      </c>
      <c r="V19" s="1">
        <v>1</v>
      </c>
      <c r="W19" s="18">
        <v>-4.0776535015481796</v>
      </c>
      <c r="X19" s="5">
        <v>757</v>
      </c>
      <c r="Y19" s="23">
        <f>IFERROR(RiskTab[[#This Row],[cVaR]]/RiskTab[[#This Row],[Position Value]],"")</f>
        <v>-2.1152093091604124E-2</v>
      </c>
      <c r="Z19" s="23">
        <v>-3.2604085982983498E-2</v>
      </c>
      <c r="AA19" s="6"/>
      <c r="AB19" s="23"/>
      <c r="AC19" s="23"/>
      <c r="AD19" s="41" t="s">
        <v>139</v>
      </c>
      <c r="AE19" s="6"/>
      <c r="AF19" s="1"/>
      <c r="AG19" s="25"/>
      <c r="AH19" s="4"/>
    </row>
    <row r="20" spans="1:34">
      <c r="A20">
        <v>18</v>
      </c>
      <c r="B20" t="s">
        <v>43</v>
      </c>
      <c r="C20" s="3" t="s">
        <v>42</v>
      </c>
      <c r="D20" s="1">
        <v>40</v>
      </c>
      <c r="E20" s="12">
        <v>50.36</v>
      </c>
      <c r="F20" s="6">
        <f>RiskTab[[#This Row],[Volume]]*RiskTab[[#This Row],[Close Price]]</f>
        <v>2014.4</v>
      </c>
      <c r="G20" s="31">
        <f t="array" ref="G20">RiskTab[[#This Row],[Position Value]]/ (MMULT(TRANSPOSE(RiskTab[Volume]),RiskTab[Close Price]))</f>
        <v>4.0746168683669898E-2</v>
      </c>
      <c r="H20" s="31">
        <v>5.57548238430305E-3</v>
      </c>
      <c r="I20" s="6">
        <f>RiskTab[[#This Row],[1D. log Return]]*RiskTab[[#This Row],[Position Value]]</f>
        <v>11.231251714940065</v>
      </c>
      <c r="J20" s="31">
        <v>9.57708836431026E-3</v>
      </c>
      <c r="K20" s="31">
        <v>-7.3852634894373104E-2</v>
      </c>
      <c r="L20" s="31">
        <v>0.107215557928226</v>
      </c>
      <c r="M20" s="31">
        <v>0.11654274080336501</v>
      </c>
      <c r="N20" s="31">
        <v>1.37302333187393E-2</v>
      </c>
      <c r="O20" s="31">
        <f>NORMSINV(0.01) * RiskTab[[#This Row],[std. log returns]]</f>
        <v>-3.1941299091133891E-2</v>
      </c>
      <c r="P20" s="31">
        <v>-3.1755301768160202E-2</v>
      </c>
      <c r="Q20" s="31">
        <v>-3.9752236798762802E-2</v>
      </c>
      <c r="R20" s="12">
        <v>3.5242919693701001E-15</v>
      </c>
      <c r="S20" s="14">
        <v>-40.687346296220397</v>
      </c>
      <c r="T20" s="14">
        <v>-27.298132843982302</v>
      </c>
      <c r="U20" s="31">
        <f>IFERROR(RiskTab[[#This Row],[cVaR]]/RiskTab[[#This Row],[indivinduall VaR]],"")</f>
        <v>0.67092438630036999</v>
      </c>
      <c r="V20" s="1">
        <v>1</v>
      </c>
      <c r="W20" s="18">
        <v>-3.8211272178159603E-2</v>
      </c>
      <c r="X20" s="5">
        <v>752</v>
      </c>
      <c r="Y20" s="23">
        <f>IFERROR(RiskTab[[#This Row],[cVaR]]/RiskTab[[#This Row],[Position Value]],"")</f>
        <v>-1.355149565328748E-2</v>
      </c>
      <c r="Z20" s="23">
        <v>-1.6040673906739099E-2</v>
      </c>
      <c r="AA20" s="6"/>
      <c r="AB20" s="23"/>
      <c r="AC20" s="23"/>
      <c r="AD20" s="41" t="s">
        <v>140</v>
      </c>
      <c r="AE20" s="6"/>
      <c r="AF20" s="1"/>
      <c r="AG20" s="25"/>
      <c r="AH20" s="4"/>
    </row>
    <row r="21" spans="1:34">
      <c r="A21">
        <v>19</v>
      </c>
      <c r="B21" t="s">
        <v>46</v>
      </c>
      <c r="C21" s="3" t="s">
        <v>48</v>
      </c>
      <c r="D21" s="1">
        <v>0</v>
      </c>
      <c r="E21" s="12">
        <v>6.4184852374839493E-2</v>
      </c>
      <c r="F21" s="6">
        <f>RiskTab[[#This Row],[Volume]]*RiskTab[[#This Row],[Close Price]]</f>
        <v>0</v>
      </c>
      <c r="G21" s="31">
        <f t="array" ref="G21">RiskTab[[#This Row],[Position Value]]/ (MMULT(TRANSPOSE(RiskTab[Volume]),RiskTab[Close Price]))</f>
        <v>0</v>
      </c>
      <c r="H21" s="31">
        <v>2.3239983212999201E-3</v>
      </c>
      <c r="I21" s="6">
        <f>RiskTab[[#This Row],[1D. log Return]]*RiskTab[[#This Row],[Position Value]]</f>
        <v>0</v>
      </c>
      <c r="J21" s="31">
        <v>-1.54427615130213E-2</v>
      </c>
      <c r="K21" s="31">
        <v>-0.24972940231837801</v>
      </c>
      <c r="L21" s="31">
        <v>0.40649153878591299</v>
      </c>
      <c r="M21" s="31">
        <v>-0.47573832809149302</v>
      </c>
      <c r="N21" s="31">
        <v>0.15723774963233</v>
      </c>
      <c r="O21" s="31">
        <f>NORMSINV(0.01) * RiskTab[[#This Row],[std. log returns]]</f>
        <v>-0.36578970457613691</v>
      </c>
      <c r="P21" s="31">
        <v>-0.36504849131466499</v>
      </c>
      <c r="Q21" s="31">
        <v>-0.69290651404776304</v>
      </c>
      <c r="R21" s="12">
        <v>3.5242919693701001E-15</v>
      </c>
      <c r="S21" s="14">
        <v>0</v>
      </c>
      <c r="T21" s="14">
        <v>0</v>
      </c>
      <c r="U21" s="31" t="str">
        <f>IFERROR(RiskTab[[#This Row],[cVaR]]/RiskTab[[#This Row],[indivinduall VaR]],"")</f>
        <v/>
      </c>
      <c r="V21" s="1">
        <v>1</v>
      </c>
      <c r="W21" s="18">
        <v>-6.2729442521231193E-2</v>
      </c>
      <c r="X21" s="5">
        <v>753</v>
      </c>
      <c r="Y21" s="23" t="str">
        <f>IFERROR(RiskTab[[#This Row],[cVaR]]/RiskTab[[#This Row],[Position Value]],"")</f>
        <v/>
      </c>
      <c r="Z21" s="31" t="e">
        <v>#NUM!</v>
      </c>
      <c r="AA21" s="6"/>
      <c r="AB21" s="23"/>
      <c r="AC21" s="23"/>
      <c r="AD21" s="41" t="s">
        <v>141</v>
      </c>
      <c r="AE21" s="6"/>
      <c r="AF21" s="1"/>
      <c r="AG21" s="25"/>
      <c r="AH21" s="4"/>
    </row>
    <row r="22" spans="1:34">
      <c r="A22">
        <v>20</v>
      </c>
      <c r="B22" t="s">
        <v>54</v>
      </c>
      <c r="C22" s="3" t="s">
        <v>49</v>
      </c>
      <c r="D22" s="1">
        <v>0</v>
      </c>
      <c r="E22" s="12">
        <v>3.2092426187419802E-2</v>
      </c>
      <c r="F22" s="6">
        <f>RiskTab[[#This Row],[Volume]]*RiskTab[[#This Row],[Close Price]]</f>
        <v>0</v>
      </c>
      <c r="G22" s="31">
        <f t="array" ref="G22">RiskTab[[#This Row],[Position Value]]/ (MMULT(TRANSPOSE(RiskTab[Volume]),RiskTab[Close Price]))</f>
        <v>0</v>
      </c>
      <c r="H22" s="31">
        <v>2.3239983212994799E-3</v>
      </c>
      <c r="I22" s="6">
        <f>RiskTab[[#This Row],[1D. log Return]]*RiskTab[[#This Row],[Position Value]]</f>
        <v>0</v>
      </c>
      <c r="J22" s="31">
        <v>-1.54427615130213E-2</v>
      </c>
      <c r="K22" s="31">
        <v>-0.24972940231837801</v>
      </c>
      <c r="L22" s="31">
        <v>-0.46897719856798697</v>
      </c>
      <c r="M22" s="31">
        <v>-0.96821481318928704</v>
      </c>
      <c r="N22" s="31">
        <v>0.104022673707918</v>
      </c>
      <c r="O22" s="31">
        <f>NORMSINV(0.01) * RiskTab[[#This Row],[std. log returns]]</f>
        <v>-0.2419929258324591</v>
      </c>
      <c r="P22" s="31">
        <v>-0.243304270445868</v>
      </c>
      <c r="Q22" s="31">
        <v>-0.309810751489003</v>
      </c>
      <c r="R22" s="12">
        <v>3.5242919693701001E-15</v>
      </c>
      <c r="S22" s="14">
        <v>0</v>
      </c>
      <c r="T22" s="14">
        <v>0</v>
      </c>
      <c r="U22" s="31" t="str">
        <f>IFERROR(RiskTab[[#This Row],[cVaR]]/RiskTab[[#This Row],[indivinduall VaR]],"")</f>
        <v/>
      </c>
      <c r="V22" s="1">
        <v>1</v>
      </c>
      <c r="W22" s="18">
        <v>-1.0977214515151001E-6</v>
      </c>
      <c r="X22" s="5">
        <v>753</v>
      </c>
      <c r="Y22" s="23" t="str">
        <f>IFERROR(RiskTab[[#This Row],[cVaR]]/RiskTab[[#This Row],[Position Value]],"")</f>
        <v/>
      </c>
      <c r="Z22" s="31" t="e">
        <v>#NUM!</v>
      </c>
      <c r="AA22" s="6"/>
      <c r="AB22" s="23"/>
      <c r="AC22" s="23"/>
      <c r="AD22" s="41" t="s">
        <v>142</v>
      </c>
      <c r="AE22" s="6"/>
      <c r="AF22" s="1"/>
      <c r="AG22" s="25"/>
      <c r="AH22" s="4"/>
    </row>
    <row r="23" spans="1:34">
      <c r="A23">
        <v>21</v>
      </c>
      <c r="B23" t="s">
        <v>47</v>
      </c>
      <c r="C23" s="3" t="s">
        <v>50</v>
      </c>
      <c r="D23" s="1">
        <v>0</v>
      </c>
      <c r="E23" s="12">
        <v>105.110718870347</v>
      </c>
      <c r="F23" s="6">
        <f>RiskTab[[#This Row],[Volume]]*RiskTab[[#This Row],[Close Price]]</f>
        <v>0</v>
      </c>
      <c r="G23" s="31">
        <f t="array" ref="G23">RiskTab[[#This Row],[Position Value]]/ (MMULT(TRANSPOSE(RiskTab[Volume]),RiskTab[Close Price]))</f>
        <v>0</v>
      </c>
      <c r="H23" s="31">
        <v>4.9225934858245796E-3</v>
      </c>
      <c r="I23" s="6">
        <f>RiskTab[[#This Row],[1D. log Return]]*RiskTab[[#This Row],[Position Value]]</f>
        <v>0</v>
      </c>
      <c r="J23" s="31">
        <v>2.30729105675938E-2</v>
      </c>
      <c r="K23" s="31">
        <v>-3.3886818867326703E-2</v>
      </c>
      <c r="L23" s="31">
        <v>0.19160424990941699</v>
      </c>
      <c r="M23" s="31">
        <v>-0.14638656125470201</v>
      </c>
      <c r="N23" s="31">
        <v>4.0679270999274701E-2</v>
      </c>
      <c r="O23" s="31">
        <f>NORMSINV(0.01) * RiskTab[[#This Row],[std. log returns]]</f>
        <v>-9.4634135606693925E-2</v>
      </c>
      <c r="P23" s="31">
        <v>-9.4071301316517794E-2</v>
      </c>
      <c r="Q23" s="31">
        <v>-7.2641204727838096E-2</v>
      </c>
      <c r="R23" s="12">
        <v>3.5242919693701001E-15</v>
      </c>
      <c r="S23" s="14">
        <v>0</v>
      </c>
      <c r="T23" s="14">
        <v>0</v>
      </c>
      <c r="U23" s="31" t="str">
        <f>IFERROR(RiskTab[[#This Row],[cVaR]]/RiskTab[[#This Row],[indivinduall VaR]],"")</f>
        <v/>
      </c>
      <c r="V23" s="1">
        <v>1</v>
      </c>
      <c r="W23" s="18">
        <v>-9.8916398094388604E-3</v>
      </c>
      <c r="X23" s="5">
        <v>753</v>
      </c>
      <c r="Y23" s="23" t="str">
        <f>IFERROR(RiskTab[[#This Row],[cVaR]]/RiskTab[[#This Row],[Position Value]],"")</f>
        <v/>
      </c>
      <c r="Z23" s="31" t="e">
        <v>#NUM!</v>
      </c>
      <c r="AA23" s="6"/>
      <c r="AB23" s="23"/>
      <c r="AC23" s="23"/>
      <c r="AD23" s="41" t="s">
        <v>143</v>
      </c>
      <c r="AE23" s="6"/>
      <c r="AF23" s="1"/>
      <c r="AG23" s="33"/>
      <c r="AH23" s="4"/>
    </row>
    <row r="24" spans="1:34">
      <c r="A24">
        <v>22</v>
      </c>
      <c r="B24" t="s">
        <v>55</v>
      </c>
      <c r="C24" s="3" t="s">
        <v>58</v>
      </c>
      <c r="D24" s="1">
        <v>65</v>
      </c>
      <c r="E24" s="12">
        <v>6.73</v>
      </c>
      <c r="F24" s="6">
        <f>RiskTab[[#This Row],[Volume]]*RiskTab[[#This Row],[Close Price]]</f>
        <v>437.45000000000005</v>
      </c>
      <c r="G24" s="31">
        <f t="array" ref="G24">RiskTab[[#This Row],[Position Value]]/ (MMULT(TRANSPOSE(RiskTab[Volume]),RiskTab[Close Price]))</f>
        <v>8.8484965700314725E-3</v>
      </c>
      <c r="H24" s="31">
        <v>5.02771532910102E-2</v>
      </c>
      <c r="I24" s="6">
        <f>RiskTab[[#This Row],[1D. log Return]]*RiskTab[[#This Row],[Position Value]]</f>
        <v>21.993740707152416</v>
      </c>
      <c r="J24" s="31">
        <v>-8.4035184316583605E-2</v>
      </c>
      <c r="K24" s="31">
        <v>-0.179096947773836</v>
      </c>
      <c r="L24" s="31">
        <v>1.40579985574415</v>
      </c>
      <c r="M24" s="31">
        <v>1.2647212574842399</v>
      </c>
      <c r="N24" s="31">
        <v>5.78845431550234E-2</v>
      </c>
      <c r="O24" s="31">
        <f>NORMSINV(0.01) * RiskTab[[#This Row],[std. log returns]]</f>
        <v>-0.13465958390851399</v>
      </c>
      <c r="P24" s="31">
        <v>-0.13079282553386301</v>
      </c>
      <c r="Q24" s="31">
        <v>-0.156065142759447</v>
      </c>
      <c r="R24" s="12">
        <v>3.5242919693701001E-15</v>
      </c>
      <c r="S24" s="14">
        <v>-71.510584286371099</v>
      </c>
      <c r="T24" s="14">
        <v>-31.8628980213293</v>
      </c>
      <c r="U24" s="31">
        <f>IFERROR(RiskTab[[#This Row],[cVaR]]/RiskTab[[#This Row],[indivinduall VaR]],"")</f>
        <v>0.44556897890431468</v>
      </c>
      <c r="V24" s="1">
        <v>1</v>
      </c>
      <c r="W24" s="18">
        <v>-2.2312172558258698E-3</v>
      </c>
      <c r="X24" s="5">
        <v>755</v>
      </c>
      <c r="Y24" s="23">
        <f>IFERROR(RiskTab[[#This Row],[cVaR]]/RiskTab[[#This Row],[Position Value]],"")</f>
        <v>-7.2837805512239798E-2</v>
      </c>
      <c r="Z24" s="31"/>
      <c r="AA24" s="6"/>
      <c r="AB24" s="23"/>
      <c r="AC24" s="23"/>
      <c r="AD24" s="41" t="s">
        <v>144</v>
      </c>
      <c r="AE24" s="6"/>
      <c r="AF24" s="1"/>
      <c r="AG24" s="33"/>
      <c r="AH24" s="4"/>
    </row>
    <row r="25" spans="1:34">
      <c r="A25">
        <v>23</v>
      </c>
      <c r="B25" t="s">
        <v>57</v>
      </c>
      <c r="C25" s="3" t="s">
        <v>56</v>
      </c>
      <c r="D25" s="1">
        <v>0</v>
      </c>
      <c r="E25" s="12">
        <v>13.45</v>
      </c>
      <c r="F25" s="6">
        <f>RiskTab[[#This Row],[Volume]]*RiskTab[[#This Row],[Close Price]]</f>
        <v>0</v>
      </c>
      <c r="G25" s="31">
        <f t="array" ref="G25">RiskTab[[#This Row],[Position Value]]/ (MMULT(TRANSPOSE(RiskTab[Volume]),RiskTab[Close Price]))</f>
        <v>0</v>
      </c>
      <c r="H25" s="31">
        <v>5.2180513477657602E-3</v>
      </c>
      <c r="I25" s="6">
        <f>RiskTab[[#This Row],[1D. log Return]]*RiskTab[[#This Row],[Position Value]]</f>
        <v>0</v>
      </c>
      <c r="J25" s="31">
        <v>0.10991444611118401</v>
      </c>
      <c r="K25" s="31">
        <v>-0.16103083398507301</v>
      </c>
      <c r="L25" s="31">
        <v>0.89970048961395799</v>
      </c>
      <c r="M25" s="31">
        <v>0</v>
      </c>
      <c r="N25" s="31">
        <v>4.8603010227446598E-2</v>
      </c>
      <c r="O25" s="31">
        <f>NORMSINV(0.01) * RiskTab[[#This Row],[std. log returns]]</f>
        <v>-0.11306750951460563</v>
      </c>
      <c r="P25" s="31">
        <v>-0.10783298017474099</v>
      </c>
      <c r="Q25" s="31">
        <v>-0.11205337134743</v>
      </c>
      <c r="R25" s="12">
        <v>0</v>
      </c>
      <c r="S25" s="14">
        <v>0</v>
      </c>
      <c r="T25" s="14">
        <v>0</v>
      </c>
      <c r="U25" s="31" t="str">
        <f>IFERROR(RiskTab[[#This Row],[cVaR]]/RiskTab[[#This Row],[indivinduall VaR]],"")</f>
        <v/>
      </c>
      <c r="V25" s="1">
        <v>0</v>
      </c>
      <c r="W25" s="18">
        <v>0</v>
      </c>
      <c r="X25" s="5">
        <v>161</v>
      </c>
      <c r="Y25" s="23" t="str">
        <f>IFERROR(RiskTab[[#This Row],[cVaR]]/RiskTab[[#This Row],[Position Value]],"")</f>
        <v/>
      </c>
      <c r="Z25" s="31"/>
      <c r="AA25" s="6"/>
      <c r="AB25" s="23"/>
      <c r="AC25" s="23"/>
      <c r="AD25" s="41" t="s">
        <v>145</v>
      </c>
      <c r="AE25" s="6"/>
      <c r="AF25" s="1"/>
      <c r="AG25" s="33"/>
      <c r="AH25" s="4"/>
    </row>
    <row r="26" spans="1:34">
      <c r="A26">
        <v>24</v>
      </c>
      <c r="B26" t="s">
        <v>52</v>
      </c>
      <c r="C26" s="3" t="s">
        <v>53</v>
      </c>
      <c r="D26" s="1">
        <v>0</v>
      </c>
      <c r="E26" s="12">
        <v>9.35</v>
      </c>
      <c r="F26" s="6">
        <f>RiskTab[[#This Row],[Volume]]*RiskTab[[#This Row],[Close Price]]</f>
        <v>0</v>
      </c>
      <c r="G26" s="31">
        <f t="array" ref="G26">RiskTab[[#This Row],[Position Value]]/ (MMULT(TRANSPOSE(RiskTab[Volume]),RiskTab[Close Price]))</f>
        <v>0</v>
      </c>
      <c r="H26" s="31">
        <v>2.9302150687393599E-2</v>
      </c>
      <c r="I26" s="6">
        <f>RiskTab[[#This Row],[1D. log Return]]*RiskTab[[#This Row],[Position Value]]</f>
        <v>0</v>
      </c>
      <c r="J26" s="31">
        <v>-0.101610176410782</v>
      </c>
      <c r="K26" s="31">
        <v>-0.43185186328135899</v>
      </c>
      <c r="L26" s="31">
        <v>0.84908198218070496</v>
      </c>
      <c r="M26" s="31">
        <v>0.65846162257205498</v>
      </c>
      <c r="N26" s="31">
        <v>5.3323521815704003E-2</v>
      </c>
      <c r="O26" s="31">
        <f>NORMSINV(0.01) * RiskTab[[#This Row],[std. log returns]]</f>
        <v>-0.12404906161233339</v>
      </c>
      <c r="P26" s="31">
        <v>-0.119200865703672</v>
      </c>
      <c r="Q26" s="31">
        <v>-0.163624290181381</v>
      </c>
      <c r="R26" s="12">
        <v>3.5242919693701001E-15</v>
      </c>
      <c r="S26" s="14">
        <v>0</v>
      </c>
      <c r="T26" s="14">
        <v>0</v>
      </c>
      <c r="U26" s="31" t="str">
        <f>IFERROR(RiskTab[[#This Row],[cVaR]]/RiskTab[[#This Row],[indivinduall VaR]],"")</f>
        <v/>
      </c>
      <c r="V26" s="1">
        <v>1</v>
      </c>
      <c r="W26" s="18">
        <v>-5.3173408244902003E-3</v>
      </c>
      <c r="X26" s="5">
        <v>459</v>
      </c>
      <c r="Y26" s="23" t="str">
        <f>IFERROR(RiskTab[[#This Row],[cVaR]]/RiskTab[[#This Row],[Position Value]],"")</f>
        <v/>
      </c>
      <c r="Z26" s="31"/>
      <c r="AA26" s="6"/>
      <c r="AB26" s="23"/>
      <c r="AC26" s="23"/>
      <c r="AD26" s="41" t="s">
        <v>146</v>
      </c>
      <c r="AE26" s="6"/>
      <c r="AF26" s="1"/>
      <c r="AG26" s="33"/>
      <c r="AH26" s="4"/>
    </row>
    <row r="27" spans="1:34">
      <c r="A27">
        <v>25</v>
      </c>
      <c r="B27" t="s">
        <v>59</v>
      </c>
      <c r="C27" s="3" t="s">
        <v>60</v>
      </c>
      <c r="D27" s="1">
        <v>0</v>
      </c>
      <c r="E27" s="12">
        <v>0.37</v>
      </c>
      <c r="F27" s="6">
        <f>RiskTab[[#This Row],[Volume]]*RiskTab[[#This Row],[Close Price]]</f>
        <v>0</v>
      </c>
      <c r="G27" s="31">
        <f t="array" ref="G27">RiskTab[[#This Row],[Position Value]]/ (MMULT(TRANSPOSE(RiskTab[Volume]),RiskTab[Close Price]))</f>
        <v>0</v>
      </c>
      <c r="H27" s="31">
        <v>0</v>
      </c>
      <c r="I27" s="6">
        <f>RiskTab[[#This Row],[1D. log Return]]*RiskTab[[#This Row],[Position Value]]</f>
        <v>0</v>
      </c>
      <c r="J27" s="31">
        <v>0</v>
      </c>
      <c r="K27" s="31">
        <v>-0.195744577126095</v>
      </c>
      <c r="L27" s="31">
        <v>-5.2643733485421999E-2</v>
      </c>
      <c r="M27" s="31">
        <v>-0.66574820637183096</v>
      </c>
      <c r="N27" s="31">
        <v>3.8207212487422398E-2</v>
      </c>
      <c r="O27" s="31">
        <f>NORMSINV(0.01) * RiskTab[[#This Row],[std. log returns]]</f>
        <v>-8.8883267543141756E-2</v>
      </c>
      <c r="P27" s="31">
        <v>-8.9827809342104506E-2</v>
      </c>
      <c r="Q27" s="31">
        <v>-0.10265415406008301</v>
      </c>
      <c r="R27" s="12">
        <v>3.5242919693701001E-15</v>
      </c>
      <c r="S27" s="14">
        <v>0</v>
      </c>
      <c r="T27" s="14">
        <v>0</v>
      </c>
      <c r="U27" s="31" t="str">
        <f>IFERROR(RiskTab[[#This Row],[cVaR]]/RiskTab[[#This Row],[indivinduall VaR]],"")</f>
        <v/>
      </c>
      <c r="V27" s="1">
        <v>1</v>
      </c>
      <c r="W27" s="18">
        <v>-7.5434126438267402E-4</v>
      </c>
      <c r="X27" s="5">
        <v>757</v>
      </c>
      <c r="Y27" s="23" t="str">
        <f>IFERROR(RiskTab[[#This Row],[cVaR]]/RiskTab[[#This Row],[Position Value]],"")</f>
        <v/>
      </c>
      <c r="Z27" s="31"/>
      <c r="AA27" s="6"/>
      <c r="AB27" s="23"/>
      <c r="AC27" s="23"/>
      <c r="AD27" s="41" t="s">
        <v>147</v>
      </c>
      <c r="AE27" s="6"/>
      <c r="AF27" s="1"/>
      <c r="AG27" s="12"/>
      <c r="AH27" s="4"/>
    </row>
    <row r="28" spans="1:34">
      <c r="A28">
        <v>26</v>
      </c>
      <c r="B28" t="s">
        <v>62</v>
      </c>
      <c r="C28" s="3" t="s">
        <v>63</v>
      </c>
      <c r="D28" s="1">
        <v>0</v>
      </c>
      <c r="E28" s="12">
        <v>1.34</v>
      </c>
      <c r="F28" s="6">
        <f>RiskTab[[#This Row],[Volume]]*RiskTab[[#This Row],[Close Price]]</f>
        <v>0</v>
      </c>
      <c r="G28" s="31">
        <f t="array" ref="G28">RiskTab[[#This Row],[Position Value]]/ (MMULT(TRANSPOSE(RiskTab[Volume]),RiskTab[Close Price]))</f>
        <v>0</v>
      </c>
      <c r="H28" s="31">
        <v>0</v>
      </c>
      <c r="I28" s="6">
        <f>RiskTab[[#This Row],[1D. log Return]]*RiskTab[[#This Row],[Position Value]]</f>
        <v>0</v>
      </c>
      <c r="J28" s="31">
        <v>7.4906717291575702E-3</v>
      </c>
      <c r="K28" s="31">
        <v>-5.7987257650349303E-2</v>
      </c>
      <c r="L28" s="31">
        <v>-9.2592786827824805E-2</v>
      </c>
      <c r="M28" s="31">
        <v>-0.54023950897228401</v>
      </c>
      <c r="N28" s="31">
        <v>4.5417173898990602E-2</v>
      </c>
      <c r="O28" s="31">
        <f>NORMSINV(0.01) * RiskTab[[#This Row],[std. log returns]]</f>
        <v>-0.10565614594485995</v>
      </c>
      <c r="P28" s="31">
        <v>-0.107120010594438</v>
      </c>
      <c r="Q28" s="31">
        <v>-0.109957437855617</v>
      </c>
      <c r="R28" s="12">
        <v>3.5242919693701001E-15</v>
      </c>
      <c r="S28" s="14">
        <v>0</v>
      </c>
      <c r="T28" s="14">
        <v>0</v>
      </c>
      <c r="U28" s="31" t="str">
        <f>IFERROR(RiskTab[[#This Row],[cVaR]]/RiskTab[[#This Row],[indivinduall VaR]],"")</f>
        <v/>
      </c>
      <c r="V28" s="1">
        <v>1</v>
      </c>
      <c r="W28" s="18">
        <v>-5.7480791577404503E-2</v>
      </c>
      <c r="X28" s="5">
        <v>755</v>
      </c>
      <c r="Y28" s="23" t="str">
        <f>IFERROR(RiskTab[[#This Row],[cVaR]]/RiskTab[[#This Row],[Position Value]],"")</f>
        <v/>
      </c>
      <c r="Z28" s="31"/>
      <c r="AA28" s="6"/>
      <c r="AB28" s="23"/>
      <c r="AC28" s="23"/>
      <c r="AD28" s="41" t="s">
        <v>148</v>
      </c>
      <c r="AE28" s="6"/>
      <c r="AF28" s="1"/>
      <c r="AG28" s="12"/>
      <c r="AH28" s="4"/>
    </row>
    <row r="29" spans="1:34">
      <c r="A29">
        <v>27</v>
      </c>
      <c r="B29" t="s">
        <v>89</v>
      </c>
      <c r="C29" s="3" t="s">
        <v>88</v>
      </c>
      <c r="D29" s="1">
        <v>0</v>
      </c>
      <c r="E29" s="12">
        <v>0.56161745827984599</v>
      </c>
      <c r="F29" s="6">
        <f>RiskTab[[#This Row],[Volume]]*RiskTab[[#This Row],[Close Price]]</f>
        <v>0</v>
      </c>
      <c r="G29" s="31">
        <f t="array" ref="G29">RiskTab[[#This Row],[Position Value]]/ (MMULT(TRANSPOSE(RiskTab[Volume]),RiskTab[Close Price]))</f>
        <v>0</v>
      </c>
      <c r="H29" s="31">
        <v>-0.13120739430322301</v>
      </c>
      <c r="I29" s="6">
        <f>RiskTab[[#This Row],[1D. log Return]]*RiskTab[[#This Row],[Position Value]]</f>
        <v>0</v>
      </c>
      <c r="J29" s="31">
        <v>-0.20959877595397899</v>
      </c>
      <c r="K29" s="31">
        <v>-0.288950115471659</v>
      </c>
      <c r="L29" s="31">
        <v>0.18760283657353899</v>
      </c>
      <c r="M29" s="31">
        <v>-0.42076706140837999</v>
      </c>
      <c r="N29" s="31">
        <v>0.10748495968241301</v>
      </c>
      <c r="O29" s="31">
        <f>NORMSINV(0.01) * RiskTab[[#This Row],[std. log returns]]</f>
        <v>-0.25004740744854698</v>
      </c>
      <c r="P29" s="31">
        <v>-0.25129762915022602</v>
      </c>
      <c r="Q29" s="31">
        <v>-0.24957792079169799</v>
      </c>
      <c r="R29" s="12">
        <v>3.5242919693701001E-15</v>
      </c>
      <c r="S29" s="14">
        <v>0</v>
      </c>
      <c r="T29" s="14">
        <v>0</v>
      </c>
      <c r="U29" s="31" t="str">
        <f>IFERROR(RiskTab[[#This Row],[cVaR]]/RiskTab[[#This Row],[indivinduall VaR]],"")</f>
        <v/>
      </c>
      <c r="V29" s="1">
        <v>1</v>
      </c>
      <c r="W29" s="18">
        <v>-0.25073704351939302</v>
      </c>
      <c r="X29" s="5">
        <v>587</v>
      </c>
      <c r="Y29" s="23" t="str">
        <f>IFERROR(RiskTab[[#This Row],[cVaR]]/RiskTab[[#This Row],[Position Value]],"")</f>
        <v/>
      </c>
      <c r="Z29" s="31"/>
      <c r="AA29" s="6"/>
      <c r="AB29" s="23"/>
      <c r="AC29" s="23"/>
      <c r="AD29" s="41" t="s">
        <v>149</v>
      </c>
      <c r="AE29" s="6"/>
      <c r="AF29" s="1"/>
      <c r="AG29" s="12"/>
      <c r="AH29" s="4"/>
    </row>
    <row r="30" spans="1:34">
      <c r="A30">
        <v>28</v>
      </c>
      <c r="B30" t="s">
        <v>94</v>
      </c>
      <c r="C30" s="3" t="s">
        <v>93</v>
      </c>
      <c r="D30" s="1">
        <v>0</v>
      </c>
      <c r="E30" s="12">
        <v>18.918485237483999</v>
      </c>
      <c r="F30" s="6">
        <f>RiskTab[[#This Row],[Volume]]*RiskTab[[#This Row],[Close Price]]</f>
        <v>0</v>
      </c>
      <c r="G30" s="31">
        <f t="array" ref="G30">RiskTab[[#This Row],[Position Value]]/ (MMULT(TRANSPOSE(RiskTab[Volume]),RiskTab[Close Price]))</f>
        <v>0</v>
      </c>
      <c r="H30" s="31">
        <v>6.1480947597032402E-3</v>
      </c>
      <c r="I30" s="6">
        <f>RiskTab[[#This Row],[1D. log Return]]*RiskTab[[#This Row],[Position Value]]</f>
        <v>0</v>
      </c>
      <c r="J30" s="31">
        <v>4.8926138726848901E-2</v>
      </c>
      <c r="K30" s="31">
        <v>-2.4888057727073601E-2</v>
      </c>
      <c r="L30" s="31">
        <v>0.132645198186782</v>
      </c>
      <c r="M30" s="31">
        <v>0.24310435810334499</v>
      </c>
      <c r="N30" s="31">
        <v>9.50760565691499E-3</v>
      </c>
      <c r="O30" s="31">
        <f>NORMSINV(0.01) * RiskTab[[#This Row],[std. log returns]]</f>
        <v>-2.2117998207182858E-2</v>
      </c>
      <c r="P30" s="31">
        <v>-2.1032638408102201E-2</v>
      </c>
      <c r="Q30" s="31">
        <v>-2.4571535614031199E-2</v>
      </c>
      <c r="R30" s="12">
        <v>0</v>
      </c>
      <c r="S30" s="14">
        <v>0</v>
      </c>
      <c r="T30" s="14">
        <v>0</v>
      </c>
      <c r="U30" s="31" t="str">
        <f>IFERROR(RiskTab[[#This Row],[cVaR]]/RiskTab[[#This Row],[indivinduall VaR]],"")</f>
        <v/>
      </c>
      <c r="V30" s="1">
        <v>0</v>
      </c>
      <c r="W30" s="18">
        <v>0</v>
      </c>
      <c r="X30" s="5">
        <v>337</v>
      </c>
      <c r="Y30" s="23" t="str">
        <f>IFERROR(RiskTab[[#This Row],[cVaR]]/RiskTab[[#This Row],[Position Value]],"")</f>
        <v/>
      </c>
      <c r="Z30" s="31"/>
      <c r="AA30" s="6"/>
      <c r="AB30" s="23"/>
      <c r="AC30" s="23"/>
      <c r="AD30" s="41" t="s">
        <v>150</v>
      </c>
      <c r="AE30" s="6"/>
      <c r="AF30" s="1"/>
      <c r="AG30" s="12"/>
      <c r="AH30" s="4"/>
    </row>
    <row r="31" spans="1:34">
      <c r="A31">
        <v>29</v>
      </c>
      <c r="B31" t="s">
        <v>96</v>
      </c>
      <c r="C31" s="3" t="s">
        <v>95</v>
      </c>
      <c r="D31" s="1">
        <v>13</v>
      </c>
      <c r="E31" s="12">
        <v>51.74</v>
      </c>
      <c r="F31" s="6">
        <f>RiskTab[[#This Row],[Volume]]*RiskTab[[#This Row],[Close Price]]</f>
        <v>672.62</v>
      </c>
      <c r="G31" s="31">
        <f t="array" ref="G31">RiskTab[[#This Row],[Position Value]]/ (MMULT(TRANSPOSE(RiskTab[Volume]),RiskTab[Close Price]))</f>
        <v>1.3605385216446607E-2</v>
      </c>
      <c r="H31" s="31">
        <v>-1.0382711998138099E-2</v>
      </c>
      <c r="I31" s="6">
        <f>RiskTab[[#This Row],[1D. log Return]]*RiskTab[[#This Row],[Position Value]]</f>
        <v>-6.9836197441876484</v>
      </c>
      <c r="J31" s="31">
        <v>7.5446919346334504E-2</v>
      </c>
      <c r="K31" s="31">
        <v>-4.4048326636030297E-2</v>
      </c>
      <c r="L31" s="31">
        <v>0.325630563397241</v>
      </c>
      <c r="M31" s="31">
        <v>0.65150603960624398</v>
      </c>
      <c r="N31" s="31">
        <v>2.3551347940889499E-2</v>
      </c>
      <c r="O31" s="31">
        <f>NORMSINV(0.01) * RiskTab[[#This Row],[std. log returns]]</f>
        <v>-5.4788628213084417E-2</v>
      </c>
      <c r="P31" s="31">
        <v>-5.3947483071482602E-2</v>
      </c>
      <c r="Q31" s="31">
        <v>-5.3709724724349699E-2</v>
      </c>
      <c r="R31" s="12"/>
      <c r="S31" s="14">
        <v>-32.115614226411203</v>
      </c>
      <c r="T31" s="14">
        <v>-13.378722872553</v>
      </c>
      <c r="U31" s="31">
        <f>IFERROR(RiskTab[[#This Row],[cVaR]]/RiskTab[[#This Row],[indivinduall VaR]],"")</f>
        <v>0.41658000928254457</v>
      </c>
      <c r="V31" s="1">
        <v>1</v>
      </c>
      <c r="W31" s="18">
        <v>-9.7646599538165901E-3</v>
      </c>
      <c r="X31" s="5">
        <v>753</v>
      </c>
      <c r="Y31" s="23">
        <f>IFERROR(RiskTab[[#This Row],[cVaR]]/RiskTab[[#This Row],[Position Value]],"")</f>
        <v>-1.9890462478892985E-2</v>
      </c>
      <c r="Z31" s="31"/>
      <c r="AA31" s="6"/>
      <c r="AB31" s="23"/>
      <c r="AC31" s="23"/>
      <c r="AD31" s="41" t="s">
        <v>151</v>
      </c>
      <c r="AE31" s="6"/>
      <c r="AF31" s="1"/>
      <c r="AG31" s="12"/>
      <c r="AH31" s="4"/>
    </row>
    <row r="32" spans="1:34">
      <c r="A32">
        <v>30</v>
      </c>
      <c r="B32" t="s">
        <v>100</v>
      </c>
      <c r="C32" s="3" t="s">
        <v>118</v>
      </c>
      <c r="D32" s="1">
        <v>48</v>
      </c>
      <c r="E32" s="12">
        <v>40.588235294117602</v>
      </c>
      <c r="F32" s="6">
        <f>RiskTab[[#This Row],[Volume]]*RiskTab[[#This Row],[Close Price]]</f>
        <v>1948.235294117645</v>
      </c>
      <c r="G32" s="31">
        <f t="array" ref="G32">RiskTab[[#This Row],[Position Value]]/ (MMULT(TRANSPOSE(RiskTab[Volume]),RiskTab[Close Price]))</f>
        <v>3.9407825620332008E-2</v>
      </c>
      <c r="H32" s="31">
        <v>-2.32663246539557E-2</v>
      </c>
      <c r="I32" s="6">
        <f>RiskTab[[#This Row],[1D. log Return]]*RiskTab[[#This Row],[Position Value]]</f>
        <v>-45.328274855235996</v>
      </c>
      <c r="J32" s="31">
        <v>2.9634205694372799E-2</v>
      </c>
      <c r="K32" s="31">
        <v>-6.2104796628861703E-2</v>
      </c>
      <c r="L32" s="31">
        <v>7.1542168638513398E-2</v>
      </c>
      <c r="M32" s="31">
        <v>9.1199271613542396E-2</v>
      </c>
      <c r="N32" s="31">
        <v>1.38647361588206E-2</v>
      </c>
      <c r="O32" s="31">
        <f>NORMSINV(0.01) * RiskTab[[#This Row],[std. log returns]]</f>
        <v>-3.2254199487209478E-2</v>
      </c>
      <c r="P32" s="31">
        <v>-3.19014510476845E-2</v>
      </c>
      <c r="Q32" s="31">
        <v>-3.6085069098942303E-2</v>
      </c>
      <c r="R32" s="12"/>
      <c r="S32" s="14">
        <v>0</v>
      </c>
      <c r="T32" s="14">
        <v>0</v>
      </c>
      <c r="U32" s="31" t="str">
        <f>IFERROR(RiskTab[[#This Row],[cVaR]]/RiskTab[[#This Row],[indivinduall VaR]],"")</f>
        <v/>
      </c>
      <c r="V32" s="1">
        <v>1</v>
      </c>
      <c r="W32" s="18">
        <v>-0.13844173027575801</v>
      </c>
      <c r="X32" s="5">
        <v>734</v>
      </c>
      <c r="Y32" s="23">
        <f>IFERROR(RiskTab[[#This Row],[cVaR]]/RiskTab[[#This Row],[Position Value]],"")</f>
        <v>0</v>
      </c>
      <c r="Z32" s="31"/>
      <c r="AA32" s="6"/>
      <c r="AB32" s="23"/>
      <c r="AC32" s="23"/>
      <c r="AD32" s="41" t="s">
        <v>152</v>
      </c>
      <c r="AE32" s="6"/>
      <c r="AF32" s="1"/>
      <c r="AG32" s="12"/>
      <c r="AH32" s="4"/>
    </row>
    <row r="33" spans="1:34">
      <c r="A33">
        <v>31</v>
      </c>
      <c r="B33" t="s">
        <v>61</v>
      </c>
      <c r="C33" s="3" t="s">
        <v>64</v>
      </c>
      <c r="D33" s="1">
        <v>0</v>
      </c>
      <c r="E33" s="12">
        <v>40.54</v>
      </c>
      <c r="F33" s="6">
        <f>RiskTab[[#This Row],[Volume]]*RiskTab[[#This Row],[Close Price]]</f>
        <v>0</v>
      </c>
      <c r="G33" s="31">
        <f t="array" ref="G33">RiskTab[[#This Row],[Position Value]]/ (MMULT(TRANSPOSE(RiskTab[Volume]),RiskTab[Close Price]))</f>
        <v>0</v>
      </c>
      <c r="H33" s="31">
        <v>-1.12829256804541E-2</v>
      </c>
      <c r="I33" s="6">
        <f>RiskTab[[#This Row],[1D. log Return]]*RiskTab[[#This Row],[Position Value]]</f>
        <v>0</v>
      </c>
      <c r="J33" s="31">
        <v>6.6283176516985801E-2</v>
      </c>
      <c r="K33" s="31">
        <v>-0.11761857549648699</v>
      </c>
      <c r="L33" s="31">
        <v>0.30209225969528197</v>
      </c>
      <c r="M33" s="31">
        <v>0.81080688884366203</v>
      </c>
      <c r="N33" s="31">
        <v>2.6480040608913302E-2</v>
      </c>
      <c r="O33" s="31">
        <f>NORMSINV(0.01) * RiskTab[[#This Row],[std. log returns]]</f>
        <v>-6.160178617506059E-2</v>
      </c>
      <c r="P33" s="31">
        <v>-5.9334318999766898E-2</v>
      </c>
      <c r="Q33" s="31">
        <v>-6.6691391149446805E-2</v>
      </c>
      <c r="R33" s="12">
        <v>3.5242919693701001E-15</v>
      </c>
      <c r="S33" s="14">
        <v>0</v>
      </c>
      <c r="T33" s="14">
        <v>0</v>
      </c>
      <c r="U33" s="31" t="str">
        <f>IFERROR(RiskTab[[#This Row],[cVaR]]/RiskTab[[#This Row],[indivinduall VaR]],"")</f>
        <v/>
      </c>
      <c r="V33" s="1">
        <v>1</v>
      </c>
      <c r="W33" s="18">
        <v>-2.4404695528914999E-2</v>
      </c>
      <c r="X33" s="5">
        <v>757</v>
      </c>
      <c r="Y33" s="23" t="str">
        <f>IFERROR(RiskTab[[#This Row],[cVaR]]/RiskTab[[#This Row],[Position Value]],"")</f>
        <v/>
      </c>
      <c r="Z33" s="31"/>
      <c r="AA33" s="6"/>
      <c r="AB33" s="23"/>
      <c r="AC33" s="23"/>
      <c r="AD33" s="41" t="s">
        <v>153</v>
      </c>
      <c r="AE33" s="6"/>
      <c r="AF33" s="1"/>
      <c r="AG33" s="12"/>
      <c r="AH33" s="4"/>
    </row>
    <row r="34" spans="1:34">
      <c r="A34">
        <v>32</v>
      </c>
      <c r="B34" t="s">
        <v>104</v>
      </c>
      <c r="C34" s="3" t="s">
        <v>105</v>
      </c>
      <c r="D34" s="1">
        <v>0</v>
      </c>
      <c r="E34" s="12">
        <v>79.3966623876765</v>
      </c>
      <c r="F34" s="6">
        <f>RiskTab[[#This Row],[Volume]]*RiskTab[[#This Row],[Close Price]]</f>
        <v>0</v>
      </c>
      <c r="G34" s="31">
        <f t="array" ref="G34">RiskTab[[#This Row],[Position Value]]/ (MMULT(TRANSPOSE(RiskTab[Volume]),RiskTab[Close Price]))</f>
        <v>0</v>
      </c>
      <c r="H34" s="31">
        <v>-5.0143241806832595E-4</v>
      </c>
      <c r="I34" s="6">
        <f>RiskTab[[#This Row],[1D. log Return]]*RiskTab[[#This Row],[Position Value]]</f>
        <v>0</v>
      </c>
      <c r="J34" s="31">
        <v>1.77412376129489E-2</v>
      </c>
      <c r="K34" s="31">
        <v>-1.6020941683951399E-2</v>
      </c>
      <c r="L34" s="31">
        <v>0.16378315533989099</v>
      </c>
      <c r="M34" s="31">
        <v>0.106303131870929</v>
      </c>
      <c r="N34" s="31">
        <v>1.26000432215476E-2</v>
      </c>
      <c r="O34" s="31">
        <f>NORMSINV(0.01) * RiskTab[[#This Row],[std. log returns]]</f>
        <v>-2.9312083761269966E-2</v>
      </c>
      <c r="P34" s="31">
        <v>-2.9178887916914802E-2</v>
      </c>
      <c r="Q34" s="31">
        <v>-3.2427952673778397E-2</v>
      </c>
      <c r="R34" s="12"/>
      <c r="S34" s="14">
        <v>0</v>
      </c>
      <c r="T34" s="14">
        <v>0</v>
      </c>
      <c r="U34" s="31" t="str">
        <f>IFERROR(RiskTab[[#This Row],[cVaR]]/RiskTab[[#This Row],[indivinduall VaR]],"")</f>
        <v/>
      </c>
      <c r="V34" s="1">
        <v>1</v>
      </c>
      <c r="W34" s="18">
        <v>0.219492101398259</v>
      </c>
      <c r="X34" s="5">
        <v>753</v>
      </c>
      <c r="Y34" s="23" t="str">
        <f>IFERROR(RiskTab[[#This Row],[cVaR]]/RiskTab[[#This Row],[Position Value]],"")</f>
        <v/>
      </c>
      <c r="Z34" s="31"/>
      <c r="AA34" s="6"/>
      <c r="AB34" s="23"/>
      <c r="AC34" s="23"/>
      <c r="AD34" s="41" t="s">
        <v>154</v>
      </c>
      <c r="AE34" s="6"/>
      <c r="AF34" s="1"/>
      <c r="AG34" s="12"/>
      <c r="AH34" s="4"/>
    </row>
    <row r="35" spans="1:34">
      <c r="A35">
        <v>33</v>
      </c>
      <c r="B35" t="s">
        <v>103</v>
      </c>
      <c r="C35" s="3" t="s">
        <v>102</v>
      </c>
      <c r="D35" s="1">
        <v>0</v>
      </c>
      <c r="E35" s="12">
        <v>65.5086649550706</v>
      </c>
      <c r="F35" s="6">
        <f>RiskTab[[#This Row],[Volume]]*RiskTab[[#This Row],[Close Price]]</f>
        <v>0</v>
      </c>
      <c r="G35" s="31">
        <f t="array" ref="G35">RiskTab[[#This Row],[Position Value]]/ (MMULT(TRANSPOSE(RiskTab[Volume]),RiskTab[Close Price]))</f>
        <v>0</v>
      </c>
      <c r="H35" s="31">
        <v>-6.8196191776515001E-3</v>
      </c>
      <c r="I35" s="6">
        <f>RiskTab[[#This Row],[1D. log Return]]*RiskTab[[#This Row],[Position Value]]</f>
        <v>0</v>
      </c>
      <c r="J35" s="31">
        <v>-9.8937040160939696E-2</v>
      </c>
      <c r="K35" s="31">
        <v>1.6330599084938099E-2</v>
      </c>
      <c r="L35" s="31">
        <v>-0.61696774870027005</v>
      </c>
      <c r="M35" s="31">
        <v>-0.45913405441238297</v>
      </c>
      <c r="N35" s="31">
        <v>4.1988028076125401E-2</v>
      </c>
      <c r="O35" s="31">
        <f>NORMSINV(0.01) * RiskTab[[#This Row],[std. log returns]]</f>
        <v>-9.7678759850061456E-2</v>
      </c>
      <c r="P35" s="31">
        <v>-9.7996828088171506E-2</v>
      </c>
      <c r="Q35" s="31">
        <v>-0.11980214808282499</v>
      </c>
      <c r="R35" s="12"/>
      <c r="S35" s="14">
        <v>0</v>
      </c>
      <c r="T35" s="14">
        <v>0</v>
      </c>
      <c r="U35" s="31"/>
      <c r="V35" s="1">
        <v>1</v>
      </c>
      <c r="W35" s="18">
        <v>0.219492101398259</v>
      </c>
      <c r="X35" s="5">
        <v>753</v>
      </c>
      <c r="Y35" s="23" t="str">
        <f>IFERROR(RiskTab[[#This Row],[cVaR]]/RiskTab[[#This Row],[Position Value]],"")</f>
        <v/>
      </c>
      <c r="Z35" s="31"/>
      <c r="AA35" s="6"/>
      <c r="AB35" s="23"/>
      <c r="AC35" s="23"/>
      <c r="AD35" s="41" t="s">
        <v>155</v>
      </c>
      <c r="AE35" s="6"/>
      <c r="AF35" s="1"/>
      <c r="AG35" s="12"/>
      <c r="AH35" s="4"/>
    </row>
    <row r="36" spans="1:34">
      <c r="A36">
        <v>34</v>
      </c>
      <c r="B36" s="21" t="s">
        <v>27</v>
      </c>
      <c r="C36" s="3" t="s">
        <v>45</v>
      </c>
      <c r="D36" s="32">
        <v>0</v>
      </c>
      <c r="E36" s="7">
        <v>71.959242618741996</v>
      </c>
      <c r="F36" s="9">
        <f>RiskTab[[#This Row],[Volume]]*RiskTab[[#This Row],[Close Price]]</f>
        <v>0</v>
      </c>
      <c r="G36" s="10">
        <f t="array" ref="G36">RiskTab[[#This Row],[Position Value]]/ (MMULT(TRANSPOSE(RiskTab[Volume]),RiskTab[Close Price]))</f>
        <v>0</v>
      </c>
      <c r="H36" s="10">
        <v>4.5563912564450196E-3</v>
      </c>
      <c r="I36" s="9">
        <f>RiskTab[[#This Row],[1D. log Return]]*RiskTab[[#This Row],[Position Value]]</f>
        <v>0</v>
      </c>
      <c r="J36" s="10">
        <v>2.4826555642952101E-2</v>
      </c>
      <c r="K36" s="10">
        <v>-4.8203545159970503E-2</v>
      </c>
      <c r="L36" s="10">
        <v>3.9015509546445101E-2</v>
      </c>
      <c r="M36" s="10">
        <v>-3.3011458871357001E-3</v>
      </c>
      <c r="N36" s="10">
        <v>1.042432926553E-2</v>
      </c>
      <c r="O36" s="10">
        <f>NORMSINV(0.01) * RiskTab[[#This Row],[std. log returns]]</f>
        <v>-2.4250616225167436E-2</v>
      </c>
      <c r="P36" s="10">
        <v>-2.4121225311215699E-2</v>
      </c>
      <c r="Q36" s="10">
        <v>-3.3235056849886001E-2</v>
      </c>
      <c r="R36" s="7"/>
      <c r="S36" s="11" t="str">
        <f>IFERROR(RiskTab[[#This Row],[cVaR]]/(RiskTab[[#This Row],[Volume]]*RiskTab[[#This Row],[Share Portfolio]]),"")</f>
        <v/>
      </c>
      <c r="T36" s="11"/>
      <c r="U36" s="10" t="str">
        <f>IFERROR(RiskTab[[#This Row],[cVaR]]/RiskTab[[#This Row],[indivinduall VaR]],"")</f>
        <v/>
      </c>
      <c r="V36" s="32">
        <v>1</v>
      </c>
      <c r="W36" s="13"/>
      <c r="X36" s="28">
        <v>753</v>
      </c>
      <c r="Y36" s="23" t="str">
        <f>IFERROR(RiskTab[[#This Row],[cVaR]]/RiskTab[[#This Row],[Position Value]],"")</f>
        <v/>
      </c>
      <c r="Z36" s="10"/>
      <c r="AA36" s="9"/>
      <c r="AB36" s="8"/>
      <c r="AC36" s="8"/>
      <c r="AD36" s="41" t="s">
        <v>156</v>
      </c>
      <c r="AE36" s="9"/>
      <c r="AF36" s="32"/>
      <c r="AG36" s="7"/>
      <c r="AH36" s="17"/>
    </row>
    <row r="37" spans="1:34">
      <c r="A37">
        <v>35</v>
      </c>
      <c r="B37" s="21" t="s">
        <v>29</v>
      </c>
      <c r="C37" s="3" t="s">
        <v>44</v>
      </c>
      <c r="D37" s="32">
        <v>0</v>
      </c>
      <c r="E37" s="7">
        <v>219.11906290115499</v>
      </c>
      <c r="F37" s="9">
        <f>RiskTab[[#This Row],[Volume]]*RiskTab[[#This Row],[Close Price]]</f>
        <v>0</v>
      </c>
      <c r="G37" s="10">
        <f t="array" ref="G37">RiskTab[[#This Row],[Position Value]]/ (MMULT(TRANSPOSE(RiskTab[Volume]),RiskTab[Close Price]))</f>
        <v>0</v>
      </c>
      <c r="H37" s="10">
        <v>2.6169634971609E-3</v>
      </c>
      <c r="I37" s="9">
        <f>RiskTab[[#This Row],[1D. log Return]]*RiskTab[[#This Row],[Position Value]]</f>
        <v>0</v>
      </c>
      <c r="J37" s="10">
        <v>2.7997599415235701E-2</v>
      </c>
      <c r="K37" s="10">
        <v>-4.4044509063727602E-2</v>
      </c>
      <c r="L37" s="10">
        <v>5.29308088326692E-2</v>
      </c>
      <c r="M37" s="10">
        <v>-7.3783720896543102E-3</v>
      </c>
      <c r="N37" s="10">
        <v>1.0105598218678799E-2</v>
      </c>
      <c r="O37" s="10">
        <f>NORMSINV(0.01) * RiskTab[[#This Row],[std. log returns]]</f>
        <v>-2.3509136931934332E-2</v>
      </c>
      <c r="P37" s="10">
        <v>-2.3282572404427E-2</v>
      </c>
      <c r="Q37" s="10">
        <v>-2.99747658022664E-2</v>
      </c>
      <c r="R37" s="7"/>
      <c r="S37" s="11" t="str">
        <f>IFERROR(RiskTab[[#This Row],[cVaR]]/(RiskTab[[#This Row],[Volume]]*RiskTab[[#This Row],[Share Portfolio]]),"")</f>
        <v/>
      </c>
      <c r="T37" s="11"/>
      <c r="U37" s="10" t="str">
        <f>IFERROR(RiskTab[[#This Row],[cVaR]]/RiskTab[[#This Row],[indivinduall VaR]],"")</f>
        <v/>
      </c>
      <c r="V37" s="32">
        <v>1</v>
      </c>
      <c r="W37" s="13"/>
      <c r="X37" s="28">
        <v>753</v>
      </c>
      <c r="Y37" s="23" t="str">
        <f>IFERROR(RiskTab[[#This Row],[cVaR]]/RiskTab[[#This Row],[Position Value]],"")</f>
        <v/>
      </c>
      <c r="Z37" s="10"/>
      <c r="AA37" s="9"/>
      <c r="AB37" s="8"/>
      <c r="AC37" s="8"/>
      <c r="AD37" s="41" t="s">
        <v>157</v>
      </c>
      <c r="AE37" s="9"/>
      <c r="AF37" s="32"/>
      <c r="AG37" s="7"/>
      <c r="AH37" s="17"/>
    </row>
    <row r="38" spans="1:34">
      <c r="A38">
        <v>36</v>
      </c>
      <c r="B38" s="21" t="s">
        <v>122</v>
      </c>
      <c r="C38" s="3" t="s">
        <v>121</v>
      </c>
      <c r="D38" s="32">
        <v>0</v>
      </c>
      <c r="E38" s="7">
        <v>39.746469833119399</v>
      </c>
      <c r="F38" s="9">
        <f>RiskTab[[#This Row],[Volume]]*RiskTab[[#This Row],[Close Price]]</f>
        <v>0</v>
      </c>
      <c r="G38" s="10">
        <f t="array" ref="G38">RiskTab[[#This Row],[Position Value]]/ (MMULT(TRANSPOSE(RiskTab[Volume]),RiskTab[Close Price]))</f>
        <v>0</v>
      </c>
      <c r="H38" s="10">
        <v>-9.0051072006991405E-4</v>
      </c>
      <c r="I38" s="9">
        <f>RiskTab[[#This Row],[1D. log Return]]*RiskTab[[#This Row],[Position Value]]</f>
        <v>0</v>
      </c>
      <c r="J38" s="10">
        <v>4.9607261701901002E-2</v>
      </c>
      <c r="K38" s="10">
        <v>-2.59800963162862E-2</v>
      </c>
      <c r="L38" s="10">
        <v>7.1115698592946905E-2</v>
      </c>
      <c r="M38" s="10">
        <v>9.7698818075548505E-2</v>
      </c>
      <c r="N38" s="10">
        <v>1.3354100232037499E-2</v>
      </c>
      <c r="O38" s="10">
        <f>NORMSINV(0.01) * RiskTab[[#This Row],[std. log returns]]</f>
        <v>-3.1066282684528736E-2</v>
      </c>
      <c r="P38" s="10">
        <v>-3.0915897329063802E-2</v>
      </c>
      <c r="Q38" s="10">
        <v>-3.4855735718072198E-2</v>
      </c>
      <c r="R38" s="7"/>
      <c r="S38" s="11" t="str">
        <f>IFERROR(RiskTab[[#This Row],[cVaR]]/(RiskTab[[#This Row],[Volume]]*RiskTab[[#This Row],[Share Portfolio]]),"")</f>
        <v/>
      </c>
      <c r="T38" s="11"/>
      <c r="U38" s="10" t="str">
        <f>IFERROR(RiskTab[[#This Row],[cVaR]]/RiskTab[[#This Row],[indivinduall VaR]],"")</f>
        <v/>
      </c>
      <c r="V38" s="32">
        <v>1</v>
      </c>
      <c r="W38" s="13"/>
      <c r="X38" s="28">
        <v>753</v>
      </c>
      <c r="Y38" s="31" t="str">
        <f>IFERROR(RiskTab[[#This Row],[cVaR]]/RiskTab[[#This Row],[Position Value]],"")</f>
        <v/>
      </c>
      <c r="Z38" s="10"/>
      <c r="AA38" s="9"/>
      <c r="AB38" s="8"/>
      <c r="AC38" s="8"/>
      <c r="AD38" s="41" t="s">
        <v>158</v>
      </c>
      <c r="AE38" s="9"/>
      <c r="AF38" s="32"/>
      <c r="AG38" s="7"/>
      <c r="AH38" s="17"/>
    </row>
    <row r="39" spans="1:34">
      <c r="A39">
        <v>37</v>
      </c>
      <c r="B39" s="21" t="s">
        <v>120</v>
      </c>
      <c r="C39" s="3" t="s">
        <v>119</v>
      </c>
      <c r="D39" s="32">
        <v>0</v>
      </c>
      <c r="E39" s="7">
        <v>103.64</v>
      </c>
      <c r="F39" s="9"/>
      <c r="G39" s="10">
        <f t="array" ref="G39">RiskTab[[#This Row],[Position Value]]/ (MMULT(TRANSPOSE(RiskTab[Volume]),RiskTab[Close Price]))</f>
        <v>0</v>
      </c>
      <c r="H39" s="10">
        <v>0</v>
      </c>
      <c r="I39" s="9"/>
      <c r="J39" s="10">
        <v>3.05666430185179E-2</v>
      </c>
      <c r="K39" s="10">
        <v>-5.0791431694368498E-2</v>
      </c>
      <c r="L39" s="10">
        <v>9.6492497783096098E-5</v>
      </c>
      <c r="M39" s="10">
        <v>6.0353286574049897E-2</v>
      </c>
      <c r="N39" s="10">
        <v>1.1957710037567701E-2</v>
      </c>
      <c r="O39" s="10">
        <f>NORMSINV(0.01) * RiskTab[[#This Row],[std. log returns]]</f>
        <v>-2.7817793324292444E-2</v>
      </c>
      <c r="P39" s="10">
        <v>-2.7716299159656201E-2</v>
      </c>
      <c r="Q39" s="10">
        <v>-3.7782556988243399E-2</v>
      </c>
      <c r="R39" s="7"/>
      <c r="S39" s="11"/>
      <c r="T39" s="11"/>
      <c r="U39" s="10"/>
      <c r="V39" s="32">
        <v>1</v>
      </c>
      <c r="W39" s="13"/>
      <c r="X39" s="28">
        <v>757</v>
      </c>
      <c r="Y39" s="23" t="str">
        <f>IFERROR(RiskTab[[#This Row],[cVaR]]/RiskTab[[#This Row],[Position Value]],"")</f>
        <v/>
      </c>
      <c r="Z39" s="10"/>
      <c r="AA39" s="9"/>
      <c r="AB39" s="8"/>
      <c r="AC39" s="8"/>
      <c r="AD39" s="42" t="s">
        <v>159</v>
      </c>
      <c r="AE39" s="9"/>
      <c r="AF39" s="32"/>
      <c r="AG39" s="7"/>
      <c r="AH39" s="17"/>
    </row>
    <row r="41" spans="1:34">
      <c r="B41" s="29" t="s">
        <v>116</v>
      </c>
      <c r="C41" s="1"/>
      <c r="D41" s="3"/>
      <c r="E41" s="29"/>
      <c r="F41" s="14">
        <f>SUBTOTAL(9, RiskTab[Position Value])</f>
        <v>49437.776975760768</v>
      </c>
      <c r="G41" s="29"/>
      <c r="H41" s="29"/>
      <c r="I41" s="40">
        <f>SUBTOTAL(9,RiskTab[1D return in €])</f>
        <v>-115.48951944223785</v>
      </c>
      <c r="J41" s="15"/>
      <c r="K41" s="12"/>
      <c r="L41" s="15"/>
      <c r="M41" s="15"/>
      <c r="N41" s="15"/>
      <c r="O41" s="31"/>
      <c r="P41" s="31"/>
      <c r="Q41" s="31"/>
      <c r="R41" s="31"/>
      <c r="S41" s="6">
        <f>SUBTOTAL(9,RiskTab[indivinduall VaR])</f>
        <v>-2279.6249044288957</v>
      </c>
      <c r="T41" s="6">
        <f>SUBTOTAL(9,RiskTab[cVaR])</f>
        <v>-871.82612083677736</v>
      </c>
      <c r="U41" s="31"/>
      <c r="V41" s="31"/>
      <c r="W41" s="6"/>
      <c r="X41" s="23"/>
      <c r="Y41" s="23"/>
      <c r="Z41" s="23"/>
      <c r="AA41" s="6"/>
      <c r="AB41" s="1"/>
    </row>
  </sheetData>
  <conditionalFormatting sqref="H3:H3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3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3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32 O41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32 P41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B3:B32">
    <cfRule type="expression" dxfId="68" priority="36">
      <formula>V3=0</formula>
    </cfRule>
  </conditionalFormatting>
  <conditionalFormatting sqref="O3:O32">
    <cfRule type="colorScale" priority="33">
      <colorScale>
        <cfvo type="min"/>
        <cfvo type="max"/>
        <color rgb="FFF8696B"/>
        <color rgb="FFFCFCFF"/>
      </colorScale>
    </cfRule>
  </conditionalFormatting>
  <conditionalFormatting sqref="P3:P32">
    <cfRule type="colorScale" priority="32">
      <colorScale>
        <cfvo type="min"/>
        <cfvo type="max"/>
        <color rgb="FFF8696B"/>
        <color rgb="FFFCFCFF"/>
      </colorScale>
    </cfRule>
  </conditionalFormatting>
  <conditionalFormatting sqref="Q3:Q32">
    <cfRule type="colorScale" priority="31">
      <colorScale>
        <cfvo type="min"/>
        <cfvo type="max"/>
        <color rgb="FFF8696B"/>
        <color rgb="FFFCFCFF"/>
      </colorScale>
    </cfRule>
  </conditionalFormatting>
  <conditionalFormatting sqref="I3:I3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3:H3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3:J3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3:K3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3:L3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3:M3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N38">
    <cfRule type="colorScale" priority="18">
      <colorScale>
        <cfvo type="min"/>
        <cfvo type="max"/>
        <color rgb="FFFCFCFF"/>
        <color rgb="FFF8696B"/>
      </colorScale>
    </cfRule>
  </conditionalFormatting>
  <conditionalFormatting sqref="B33:B35">
    <cfRule type="expression" dxfId="67" priority="17">
      <formula>V33=0</formula>
    </cfRule>
  </conditionalFormatting>
  <conditionalFormatting sqref="O33:O39">
    <cfRule type="colorScale" priority="16">
      <colorScale>
        <cfvo type="min"/>
        <cfvo type="max"/>
        <color rgb="FFF8696B"/>
        <color rgb="FFFCFCFF"/>
      </colorScale>
    </cfRule>
  </conditionalFormatting>
  <conditionalFormatting sqref="P33:P38">
    <cfRule type="colorScale" priority="15">
      <colorScale>
        <cfvo type="min"/>
        <cfvo type="max"/>
        <color rgb="FFF8696B"/>
        <color rgb="FFFCFCFF"/>
      </colorScale>
    </cfRule>
  </conditionalFormatting>
  <conditionalFormatting sqref="Q33:Q38">
    <cfRule type="colorScale" priority="14">
      <colorScale>
        <cfvo type="min"/>
        <cfvo type="max"/>
        <color rgb="FFF8696B"/>
        <color rgb="FFFCFCFF"/>
      </colorScale>
    </cfRule>
  </conditionalFormatting>
  <conditionalFormatting sqref="I33:I3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9">
    <cfRule type="colorScale" priority="7">
      <colorScale>
        <cfvo type="min"/>
        <cfvo type="max"/>
        <color rgb="FFFCFCFF"/>
        <color rgb="FFF8696B"/>
      </colorScale>
    </cfRule>
  </conditionalFormatting>
  <conditionalFormatting sqref="P39">
    <cfRule type="colorScale" priority="5">
      <colorScale>
        <cfvo type="min"/>
        <cfvo type="max"/>
        <color rgb="FFF8696B"/>
        <color rgb="FFFCFCFF"/>
      </colorScale>
    </cfRule>
  </conditionalFormatting>
  <conditionalFormatting sqref="Q39">
    <cfRule type="colorScale" priority="4">
      <colorScale>
        <cfvo type="min"/>
        <cfvo type="max"/>
        <color rgb="FFF8696B"/>
        <color rgb="FFFCFCFF"/>
      </colorScale>
    </cfRule>
  </conditionalFormatting>
  <conditionalFormatting sqref="I3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39">
    <cfRule type="colorScale" priority="2">
      <colorScale>
        <cfvo type="min"/>
        <cfvo type="max"/>
        <color theme="3"/>
        <color theme="3" tint="0.79998168889431442"/>
      </colorScale>
    </cfRule>
  </conditionalFormatting>
  <conditionalFormatting sqref="T3:T39">
    <cfRule type="colorScale" priority="1">
      <colorScale>
        <cfvo type="min"/>
        <cfvo type="max"/>
        <color theme="3"/>
        <color theme="3" tint="0.79998168889431442"/>
      </colorScale>
    </cfRule>
  </conditionalFormatting>
  <pageMargins left="0.75" right="0.75" top="1" bottom="1" header="0.5" footer="0.5"/>
  <pageSetup paperSize="9" orientation="portrait"/>
  <drawing r:id="rId1"/>
  <legacy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9"/>
  <sheetViews>
    <sheetView tabSelected="1" zoomScale="150" zoomScaleNormal="150" zoomScalePageLayoutView="150" workbookViewId="0">
      <selection activeCell="G14" sqref="G14"/>
    </sheetView>
  </sheetViews>
  <sheetFormatPr baseColWidth="10" defaultRowHeight="14" x14ac:dyDescent="0"/>
  <cols>
    <col min="2" max="2" width="33.6640625" customWidth="1"/>
  </cols>
  <sheetData>
    <row r="2" spans="2:24" ht="15">
      <c r="B2" s="43"/>
    </row>
    <row r="3" spans="2:24" ht="15">
      <c r="B3" s="44" t="s">
        <v>165</v>
      </c>
      <c r="D3" t="s">
        <v>186</v>
      </c>
      <c r="E3" t="s">
        <v>187</v>
      </c>
      <c r="X3" t="s">
        <v>162</v>
      </c>
    </row>
    <row r="4" spans="2:24" ht="15">
      <c r="B4" s="43" t="s">
        <v>160</v>
      </c>
    </row>
    <row r="5" spans="2:24" ht="15">
      <c r="B5" s="45" t="s">
        <v>184</v>
      </c>
      <c r="D5" t="s">
        <v>188</v>
      </c>
      <c r="E5" t="s">
        <v>189</v>
      </c>
    </row>
    <row r="6" spans="2:24" ht="15">
      <c r="B6" s="43" t="s">
        <v>166</v>
      </c>
      <c r="D6" t="s">
        <v>190</v>
      </c>
      <c r="E6" t="s">
        <v>191</v>
      </c>
    </row>
    <row r="7" spans="2:24" ht="15">
      <c r="B7" s="45" t="s">
        <v>185</v>
      </c>
    </row>
    <row r="8" spans="2:24" ht="15">
      <c r="B8" s="45" t="s">
        <v>167</v>
      </c>
    </row>
    <row r="9" spans="2:24" ht="15">
      <c r="B9" s="43" t="s">
        <v>168</v>
      </c>
    </row>
    <row r="10" spans="2:24" ht="15">
      <c r="B10" s="43" t="s">
        <v>161</v>
      </c>
    </row>
    <row r="11" spans="2:24" ht="15">
      <c r="B11" s="43" t="s">
        <v>169</v>
      </c>
    </row>
    <row r="12" spans="2:24" ht="15">
      <c r="B12" s="43" t="s">
        <v>170</v>
      </c>
    </row>
    <row r="13" spans="2:24" ht="15">
      <c r="B13" s="43" t="s">
        <v>171</v>
      </c>
    </row>
    <row r="14" spans="2:24" ht="15">
      <c r="B14" s="43" t="s">
        <v>172</v>
      </c>
    </row>
    <row r="15" spans="2:24" ht="15">
      <c r="B15" s="43" t="s">
        <v>173</v>
      </c>
    </row>
    <row r="16" spans="2:24" ht="15">
      <c r="B16" s="43" t="s">
        <v>174</v>
      </c>
    </row>
    <row r="17" spans="2:2" ht="15">
      <c r="B17" s="43" t="s">
        <v>175</v>
      </c>
    </row>
    <row r="18" spans="2:2" ht="15">
      <c r="B18" s="43" t="s">
        <v>176</v>
      </c>
    </row>
    <row r="19" spans="2:2" ht="15">
      <c r="B19" s="43" t="s">
        <v>177</v>
      </c>
    </row>
    <row r="20" spans="2:2" ht="15">
      <c r="B20" s="43" t="s">
        <v>178</v>
      </c>
    </row>
    <row r="21" spans="2:2" ht="15">
      <c r="B21" s="43" t="s">
        <v>179</v>
      </c>
    </row>
    <row r="22" spans="2:2" ht="15">
      <c r="B22" s="43" t="s">
        <v>163</v>
      </c>
    </row>
    <row r="23" spans="2:2" ht="15">
      <c r="B23" s="43" t="s">
        <v>180</v>
      </c>
    </row>
    <row r="24" spans="2:2" ht="15">
      <c r="B24" s="43" t="s">
        <v>181</v>
      </c>
    </row>
    <row r="25" spans="2:2" ht="15">
      <c r="B25" s="43" t="s">
        <v>182</v>
      </c>
    </row>
    <row r="26" spans="2:2" ht="15">
      <c r="B26" s="43" t="s">
        <v>183</v>
      </c>
    </row>
    <row r="27" spans="2:2" ht="15">
      <c r="B27" s="43" t="s">
        <v>164</v>
      </c>
    </row>
    <row r="28" spans="2:2" ht="15">
      <c r="B28" s="43"/>
    </row>
    <row r="29" spans="2:2" ht="15">
      <c r="B29" s="4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/>
  </sheetViews>
  <sheetFormatPr baseColWidth="10" defaultColWidth="8.83203125" defaultRowHeight="14" x14ac:dyDescent="0"/>
  <sheetData/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"/>
  <sheetViews>
    <sheetView workbookViewId="0">
      <selection activeCell="D32" sqref="D32"/>
    </sheetView>
  </sheetViews>
  <sheetFormatPr baseColWidth="10" defaultColWidth="8.83203125" defaultRowHeight="14" x14ac:dyDescent="0"/>
  <sheetData>
    <row r="2" spans="2:16" ht="28" customHeight="1">
      <c r="D2" s="20" t="s">
        <v>79</v>
      </c>
      <c r="E2" s="20" t="s">
        <v>80</v>
      </c>
      <c r="F2" s="20" t="s">
        <v>81</v>
      </c>
      <c r="G2" s="20" t="s">
        <v>90</v>
      </c>
      <c r="H2" s="20" t="s">
        <v>41</v>
      </c>
      <c r="I2" s="30" t="s">
        <v>68</v>
      </c>
      <c r="J2" s="30" t="s">
        <v>69</v>
      </c>
      <c r="K2" s="30" t="s">
        <v>70</v>
      </c>
      <c r="L2" s="30" t="s">
        <v>71</v>
      </c>
      <c r="M2" s="30" t="s">
        <v>72</v>
      </c>
      <c r="N2" s="20" t="s">
        <v>86</v>
      </c>
      <c r="O2" s="20"/>
      <c r="P2" s="20"/>
    </row>
    <row r="3" spans="2:16">
      <c r="B3" s="20" t="s">
        <v>87</v>
      </c>
      <c r="C3" s="38" t="s">
        <v>75</v>
      </c>
      <c r="D3" s="20"/>
      <c r="E3" s="36" t="e">
        <f>SUM(E5:E6)</f>
        <v>#VALUE!</v>
      </c>
      <c r="F3" s="20"/>
      <c r="H3" s="14">
        <f>SUM(RiskTab[Position Value])</f>
        <v>49437.776975760768</v>
      </c>
      <c r="I3" s="35">
        <f t="array" ref="I3">MMULT(TRANSPOSE(RiskTab[Share Portfolio]),RiskTab[1D. log Return])</f>
        <v>-2.3360581018612974E-3</v>
      </c>
      <c r="J3" s="35">
        <f t="array" ref="J3">MMULT(TRANSPOSE(RiskTab[Share Portfolio]),RiskTab[5D. log Return])</f>
        <v>2.1678524873629278E-2</v>
      </c>
      <c r="K3" s="35">
        <f t="array" ref="K3">MMULT(TRANSPOSE(RiskTab[Share Portfolio]),RiskTab[23D. log Return])</f>
        <v>-7.8270197713846232E-2</v>
      </c>
      <c r="L3" s="35">
        <f t="array" ref="L3">MMULT(TRANSPOSE(RiskTab[Share Portfolio]),RiskTab[125D. log Return])</f>
        <v>0.17210596463906755</v>
      </c>
      <c r="M3" s="35">
        <f t="array" ref="M3">MMULT(TRANSPOSE(RiskTab[Share Portfolio]),RiskTab[250D. log Return])</f>
        <v>0.16934734132333784</v>
      </c>
      <c r="N3" s="20"/>
      <c r="O3" s="20"/>
      <c r="P3" s="20"/>
    </row>
    <row r="4" spans="2:16">
      <c r="B4" s="20"/>
      <c r="D4" s="20"/>
      <c r="E4" s="36"/>
      <c r="F4" s="20"/>
      <c r="I4" s="36">
        <f>$H$3*I3</f>
        <v>-115.48951944223785</v>
      </c>
      <c r="J4" s="36">
        <f>$H$3*J3</f>
        <v>1071.7380778659667</v>
      </c>
      <c r="K4" s="36">
        <f>$H$3*K3</f>
        <v>-3869.5045784258305</v>
      </c>
      <c r="L4" s="36">
        <f>$H$3*L3</f>
        <v>8508.536296024391</v>
      </c>
      <c r="M4" s="36">
        <f>$H$3*M3</f>
        <v>8372.1560917812112</v>
      </c>
      <c r="N4" s="20"/>
      <c r="O4" s="20"/>
      <c r="P4" s="20"/>
    </row>
    <row r="5" spans="2:16">
      <c r="B5" s="20"/>
      <c r="C5" s="38" t="s">
        <v>76</v>
      </c>
      <c r="D5" s="20"/>
      <c r="E5" s="36">
        <v>-871.63547658846903</v>
      </c>
      <c r="F5" s="20"/>
      <c r="I5" s="20"/>
      <c r="J5" s="20"/>
      <c r="K5" s="20"/>
      <c r="L5" s="20"/>
      <c r="M5" s="20"/>
      <c r="N5" s="20"/>
      <c r="O5" s="20"/>
      <c r="P5" s="20"/>
    </row>
    <row r="6" spans="2:16">
      <c r="B6" s="20"/>
      <c r="C6" s="38" t="s">
        <v>77</v>
      </c>
      <c r="D6" s="20"/>
      <c r="E6" s="14" t="e">
        <f t="array" ref="E6">MMULT(TRANSPOSE((1-RiskTab[In Cum. Sim.])),RiskTab[indivinduall VaR])</f>
        <v>#VALUE!</v>
      </c>
      <c r="F6" s="20"/>
      <c r="I6" s="20"/>
      <c r="J6" s="20"/>
      <c r="K6" s="20"/>
      <c r="L6" s="20"/>
      <c r="M6" s="20"/>
      <c r="N6" s="20"/>
      <c r="O6" s="20"/>
      <c r="P6" s="37">
        <v>24304.35</v>
      </c>
    </row>
    <row r="7" spans="2:16">
      <c r="B7" s="20"/>
      <c r="C7" s="38" t="s">
        <v>78</v>
      </c>
      <c r="D7" s="20"/>
      <c r="E7" s="36">
        <f>SUM(RiskTab[VaR 99% 1D. Bootstrap])</f>
        <v>-464.27278536944789</v>
      </c>
      <c r="F7" s="20"/>
      <c r="G7" s="38"/>
      <c r="H7" s="20"/>
      <c r="I7" s="20"/>
      <c r="J7" s="20"/>
      <c r="K7" s="20"/>
      <c r="L7" s="20"/>
      <c r="M7" s="20"/>
      <c r="N7" s="20"/>
      <c r="O7" s="20"/>
      <c r="P7" s="37">
        <v>17210.169999999998</v>
      </c>
    </row>
    <row r="8" spans="2:16">
      <c r="B8" s="20"/>
      <c r="C8" s="38" t="s">
        <v>82</v>
      </c>
      <c r="D8" s="20"/>
      <c r="E8" s="36"/>
      <c r="F8" s="20"/>
      <c r="G8" s="38"/>
      <c r="H8" s="20"/>
      <c r="I8" s="20"/>
      <c r="J8" s="20"/>
      <c r="K8" s="20"/>
      <c r="L8" s="20"/>
      <c r="M8" s="20"/>
      <c r="N8" s="20"/>
      <c r="O8" s="20"/>
      <c r="P8" s="37">
        <v>17210.169999999998</v>
      </c>
    </row>
    <row r="9" spans="2:16" ht="16" customHeight="1">
      <c r="B9" s="20"/>
      <c r="C9" s="38" t="s">
        <v>83</v>
      </c>
      <c r="D9" s="20"/>
      <c r="E9" s="36">
        <v>0</v>
      </c>
      <c r="F9" s="20"/>
      <c r="G9" s="38"/>
      <c r="H9" s="20"/>
      <c r="I9" s="20"/>
      <c r="J9" s="20"/>
      <c r="K9" s="20"/>
      <c r="L9" s="20"/>
      <c r="M9" s="20"/>
      <c r="N9" s="20"/>
      <c r="O9" s="34"/>
      <c r="P9" s="37">
        <f>SUM(P6:P8)</f>
        <v>58724.689999999995</v>
      </c>
    </row>
    <row r="10" spans="2:16">
      <c r="B10" s="20"/>
      <c r="C10" s="38" t="s">
        <v>84</v>
      </c>
      <c r="D10" s="20"/>
      <c r="E10" s="20"/>
      <c r="F10" s="20"/>
      <c r="G10" s="38"/>
      <c r="H10" s="20"/>
      <c r="I10" s="20"/>
      <c r="J10" s="20"/>
      <c r="K10" s="20"/>
      <c r="L10" s="20"/>
      <c r="M10" s="20"/>
      <c r="N10" s="20"/>
      <c r="O10" s="20"/>
      <c r="P10" s="20"/>
    </row>
    <row r="11" spans="2:16">
      <c r="B11" s="20"/>
      <c r="C11" s="38" t="s">
        <v>85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>
      <selection activeCell="P27" sqref="P27"/>
    </sheetView>
  </sheetViews>
  <sheetFormatPr baseColWidth="10" defaultColWidth="8.83203125" defaultRowHeight="14" x14ac:dyDescent="0"/>
  <cols>
    <col min="3" max="3" width="12.5" customWidth="1"/>
  </cols>
  <sheetData>
    <row r="6" spans="3:3" ht="31" customHeight="1">
      <c r="C6" s="39">
        <f xml:space="preserve"> 133.4 * 0.102975529</f>
        <v>13.7369355686</v>
      </c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2" sqref="F72"/>
    </sheetView>
  </sheetViews>
  <sheetFormatPr baseColWidth="10" defaultColWidth="8.83203125" defaultRowHeight="14" x14ac:dyDescent="0"/>
  <sheetData/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72" sqref="G72"/>
    </sheetView>
  </sheetViews>
  <sheetFormatPr baseColWidth="10" defaultColWidth="8.83203125" defaultRowHeight="14" x14ac:dyDescent="0"/>
  <sheetData/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Risk</vt:lpstr>
      <vt:lpstr>EM</vt:lpstr>
      <vt:lpstr>Summary</vt:lpstr>
      <vt:lpstr>RiskPort</vt:lpstr>
      <vt:lpstr>Sheet1</vt:lpstr>
      <vt:lpstr>Risk-MSGARCH</vt:lpstr>
      <vt:lpstr>Risk-Backtest</vt:lpstr>
      <vt:lpstr>Performance</vt:lpstr>
      <vt:lpstr>PerformanceBench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 ml</cp:lastModifiedBy>
  <dcterms:created xsi:type="dcterms:W3CDTF">2014-03-07T16:08:25Z</dcterms:created>
  <dcterms:modified xsi:type="dcterms:W3CDTF">2018-02-21T00:07:57Z</dcterms:modified>
</cp:coreProperties>
</file>