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D75" i="1" l="1"/>
  <c r="F75" i="1"/>
  <c r="F76" i="1"/>
  <c r="F77" i="1"/>
  <c r="F74" i="1"/>
  <c r="C75" i="1"/>
  <c r="C16" i="1"/>
  <c r="C15" i="1"/>
  <c r="C14" i="1"/>
  <c r="C13" i="1"/>
  <c r="C57" i="1"/>
  <c r="H57" i="1" s="1"/>
  <c r="I57" i="1" l="1"/>
  <c r="A75" i="1"/>
  <c r="A76" i="1"/>
  <c r="A77" i="1"/>
  <c r="A74" i="1"/>
  <c r="I75" i="1"/>
  <c r="I76" i="1"/>
  <c r="I77" i="1"/>
  <c r="I74" i="1"/>
  <c r="H75" i="1"/>
  <c r="H76" i="1"/>
  <c r="H77" i="1"/>
  <c r="H74" i="1"/>
  <c r="G74" i="1"/>
  <c r="G75" i="1"/>
  <c r="G76" i="1"/>
  <c r="G77" i="1"/>
  <c r="E75" i="1"/>
  <c r="D76" i="1"/>
  <c r="E76" i="1"/>
  <c r="D77" i="1"/>
  <c r="E77" i="1"/>
  <c r="E74" i="1"/>
  <c r="D74" i="1"/>
  <c r="C77" i="1"/>
  <c r="C76" i="1"/>
  <c r="C74" i="1"/>
  <c r="C68" i="1" l="1"/>
  <c r="C69" i="1"/>
  <c r="C70" i="1"/>
  <c r="C67" i="1"/>
  <c r="I70" i="1" l="1"/>
  <c r="H70" i="1"/>
  <c r="G70" i="1"/>
  <c r="H69" i="1"/>
  <c r="I69" i="1"/>
  <c r="H68" i="1"/>
  <c r="G68" i="1"/>
  <c r="I68" i="1"/>
  <c r="G67" i="1"/>
  <c r="I67" i="1"/>
  <c r="H67" i="1"/>
  <c r="G69" i="1"/>
  <c r="F5" i="1"/>
  <c r="F6" i="1"/>
  <c r="F7" i="1"/>
  <c r="F8" i="1"/>
  <c r="F9" i="1"/>
  <c r="F10" i="1"/>
  <c r="F11" i="1"/>
  <c r="F4" i="1"/>
  <c r="G57" i="1"/>
  <c r="C22" i="1"/>
  <c r="G22" i="1" s="1"/>
  <c r="I22" i="1" l="1"/>
  <c r="C52" i="1"/>
  <c r="C53" i="1"/>
  <c r="C54" i="1"/>
  <c r="C55" i="1"/>
  <c r="C56" i="1"/>
  <c r="C38" i="1"/>
  <c r="C39" i="1"/>
  <c r="C40" i="1"/>
  <c r="C41" i="1"/>
  <c r="C42" i="1"/>
  <c r="C37" i="1"/>
  <c r="C23" i="1"/>
  <c r="C24" i="1"/>
  <c r="C25" i="1"/>
  <c r="C26" i="1"/>
  <c r="C27" i="1"/>
  <c r="I26" i="1" l="1"/>
  <c r="G26" i="1"/>
  <c r="I39" i="1"/>
  <c r="H39" i="1"/>
  <c r="I54" i="1"/>
  <c r="G54" i="1"/>
  <c r="H54" i="1"/>
  <c r="I42" i="1"/>
  <c r="H42" i="1"/>
  <c r="I38" i="1"/>
  <c r="H38" i="1"/>
  <c r="G24" i="1"/>
  <c r="I24" i="1"/>
  <c r="H41" i="1"/>
  <c r="I41" i="1"/>
  <c r="H56" i="1"/>
  <c r="I56" i="1"/>
  <c r="G56" i="1"/>
  <c r="H52" i="1"/>
  <c r="G52" i="1"/>
  <c r="I37" i="1"/>
  <c r="H37" i="1"/>
  <c r="I25" i="1"/>
  <c r="G25" i="1"/>
  <c r="I53" i="1"/>
  <c r="H53" i="1"/>
  <c r="G53" i="1"/>
  <c r="G27" i="1"/>
  <c r="I27" i="1"/>
  <c r="G23" i="1"/>
  <c r="I23" i="1"/>
  <c r="H40" i="1"/>
  <c r="I40" i="1"/>
  <c r="G55" i="1"/>
  <c r="H55" i="1"/>
  <c r="I55" i="1"/>
</calcChain>
</file>

<file path=xl/sharedStrings.xml><?xml version="1.0" encoding="utf-8"?>
<sst xmlns="http://schemas.openxmlformats.org/spreadsheetml/2006/main" count="77" uniqueCount="28">
  <si>
    <t>R</t>
  </si>
  <si>
    <t>Iб1</t>
  </si>
  <si>
    <t>tф</t>
  </si>
  <si>
    <t>tсп</t>
  </si>
  <si>
    <t>tрасс</t>
  </si>
  <si>
    <t>Евх</t>
  </si>
  <si>
    <t>Есм</t>
  </si>
  <si>
    <t>Rc</t>
  </si>
  <si>
    <t>Rб</t>
  </si>
  <si>
    <t>Rк</t>
  </si>
  <si>
    <t>f(Iб1)</t>
  </si>
  <si>
    <t>f(tимп)</t>
  </si>
  <si>
    <t>tи</t>
  </si>
  <si>
    <t>Iб2</t>
  </si>
  <si>
    <t>f(Iб2)</t>
  </si>
  <si>
    <t>f(Iкн)</t>
  </si>
  <si>
    <t>Iкн</t>
  </si>
  <si>
    <t>E0</t>
  </si>
  <si>
    <t>Теория</t>
  </si>
  <si>
    <t>tau_b</t>
  </si>
  <si>
    <t>B</t>
  </si>
  <si>
    <t>Const</t>
  </si>
  <si>
    <t>f(С)</t>
  </si>
  <si>
    <t>С</t>
  </si>
  <si>
    <t>не хочется</t>
  </si>
  <si>
    <t>Альтернативная теория</t>
  </si>
  <si>
    <t>С, Ф</t>
  </si>
  <si>
    <t>нФ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</si>
</sst>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2" xfId="0" applyNumberFormat="1" applyBorder="1"/>
    <xf numFmtId="0" fontId="0" fillId="0" borderId="0" xfId="0" applyBorder="1"/>
    <xf numFmtId="0" fontId="0" fillId="0" borderId="3" xfId="0" applyFill="1" applyBorder="1"/>
    <xf numFmtId="11" fontId="0" fillId="0" borderId="0" xfId="0" applyNumberFormat="1"/>
    <xf numFmtId="0" fontId="0" fillId="0" borderId="4" xfId="0" applyFill="1" applyBorder="1"/>
    <xf numFmtId="0" fontId="0" fillId="0" borderId="0" xfId="0" applyNumberFormat="1"/>
    <xf numFmtId="0" fontId="0" fillId="0" borderId="2" xfId="0" applyFill="1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3" xfId="0" applyBorder="1"/>
    <xf numFmtId="11" fontId="0" fillId="0" borderId="3" xfId="0" applyNumberFormat="1" applyBorder="1"/>
    <xf numFmtId="0" fontId="0" fillId="0" borderId="7" xfId="0" applyFill="1" applyBorder="1"/>
    <xf numFmtId="164" fontId="0" fillId="0" borderId="2" xfId="0" applyNumberFormat="1" applyBorder="1"/>
    <xf numFmtId="0" fontId="0" fillId="3" borderId="2" xfId="0" applyFill="1" applyBorder="1"/>
    <xf numFmtId="164" fontId="0" fillId="0" borderId="0" xfId="0" applyNumberFormat="1" applyAlignment="1">
      <alignment horizontal="left"/>
    </xf>
    <xf numFmtId="0" fontId="0" fillId="4" borderId="0" xfId="0" applyFill="1"/>
    <xf numFmtId="164" fontId="0" fillId="0" borderId="2" xfId="0" applyNumberFormat="1" applyBorder="1" applyAlignment="1">
      <alignment horizontal="left"/>
    </xf>
    <xf numFmtId="0" fontId="0" fillId="0" borderId="8" xfId="0" applyNumberFormat="1" applyBorder="1"/>
    <xf numFmtId="0" fontId="0" fillId="5" borderId="0" xfId="0" applyFill="1" applyBorder="1"/>
    <xf numFmtId="11" fontId="0" fillId="0" borderId="2" xfId="0" applyNumberFormat="1" applyBorder="1"/>
    <xf numFmtId="11" fontId="4" fillId="0" borderId="0" xfId="0" applyNumberFormat="1" applyFont="1"/>
    <xf numFmtId="11" fontId="0" fillId="0" borderId="0" xfId="0" applyNumberFormat="1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169548531709"/>
          <c:y val="4.920175397237022E-2"/>
          <c:w val="0.82171880467437008"/>
          <c:h val="0.7575177204645827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Лист1!$E$4:$E$11</c:f>
              <c:numCache>
                <c:formatCode>General</c:formatCode>
                <c:ptCount val="8"/>
                <c:pt idx="0">
                  <c:v>0.2</c:v>
                </c:pt>
                <c:pt idx="1">
                  <c:v>1.3</c:v>
                </c:pt>
                <c:pt idx="2">
                  <c:v>2.1</c:v>
                </c:pt>
                <c:pt idx="3">
                  <c:v>3</c:v>
                </c:pt>
                <c:pt idx="4">
                  <c:v>2.6</c:v>
                </c:pt>
                <c:pt idx="5">
                  <c:v>2.9</c:v>
                </c:pt>
                <c:pt idx="6">
                  <c:v>2.9</c:v>
                </c:pt>
                <c:pt idx="7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9D0-4F02-B742-CFD8275B43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xVal>
          <c:yVal>
            <c:numRef>
              <c:f>Лист1!$F$4:$F$11</c:f>
              <c:numCache>
                <c:formatCode>0.0</c:formatCode>
                <c:ptCount val="8"/>
                <c:pt idx="0">
                  <c:v>-4.9541850903711069</c:v>
                </c:pt>
                <c:pt idx="1">
                  <c:v>-2.0059663671044996</c:v>
                </c:pt>
                <c:pt idx="2">
                  <c:v>1.9121445811902988</c:v>
                </c:pt>
                <c:pt idx="3">
                  <c:v>4.4609146181423602</c:v>
                </c:pt>
                <c:pt idx="4">
                  <c:v>6.2672133301629565</c:v>
                </c:pt>
                <c:pt idx="5">
                  <c:v>9.0747631357705441</c:v>
                </c:pt>
                <c:pt idx="6">
                  <c:v>10.628154358731468</c:v>
                </c:pt>
                <c:pt idx="7">
                  <c:v>11.556016405798539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3-45BA-8FF1-7F098E3F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9376"/>
        <c:axId val="210069768"/>
        <c:extLst/>
      </c:scatterChart>
      <c:valAx>
        <c:axId val="21006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6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имп, </a:t>
                </a:r>
                <a:r>
                  <a:rPr lang="ru-RU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5904647786009889"/>
              <c:y val="0.894443066236666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768"/>
        <c:crosses val="autoZero"/>
        <c:crossBetween val="midCat"/>
      </c:valAx>
      <c:valAx>
        <c:axId val="21006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6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расс, </a:t>
                </a:r>
                <a:r>
                  <a:rPr lang="ru-RU" sz="16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6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78084202126264"/>
          <c:y val="4.920175397237022E-2"/>
          <c:w val="0.658613074190010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Лист1!$D$37:$D$42</c:f>
              <c:numCache>
                <c:formatCode>General</c:formatCode>
                <c:ptCount val="6"/>
                <c:pt idx="0">
                  <c:v>3.5</c:v>
                </c:pt>
                <c:pt idx="1">
                  <c:v>3.4</c:v>
                </c:pt>
                <c:pt idx="2">
                  <c:v>3.2</c:v>
                </c:pt>
                <c:pt idx="3">
                  <c:v>3.2</c:v>
                </c:pt>
                <c:pt idx="4">
                  <c:v>3.5</c:v>
                </c:pt>
                <c:pt idx="5">
                  <c:v>3.3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F-4C43-A013-E96D0B74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920"/>
        <c:axId val="262963904"/>
        <c:extLst/>
      </c:scatterChart>
      <c:valAx>
        <c:axId val="261116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63904"/>
        <c:crosses val="autoZero"/>
        <c:crossBetween val="midCat"/>
      </c:valAx>
      <c:valAx>
        <c:axId val="2629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9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5.9379695858628345E-2"/>
          <c:w val="0.5885238589748315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Лист1!$D$67:$D$70</c:f>
              <c:numCache>
                <c:formatCode>0.00E+00</c:formatCode>
                <c:ptCount val="4"/>
                <c:pt idx="0">
                  <c:v>2.9999999999999999E-7</c:v>
                </c:pt>
                <c:pt idx="1">
                  <c:v>2.4999999999999999E-7</c:v>
                </c:pt>
                <c:pt idx="2">
                  <c:v>9.9999999999999995E-8</c:v>
                </c:pt>
                <c:pt idx="3">
                  <c:v>4.9999999999999998E-8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D2-4BAE-A151-CC7690EA4E14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Лист1!$G$67:$G$70</c:f>
              <c:numCache>
                <c:formatCode>0.00E+00</c:formatCode>
                <c:ptCount val="4"/>
                <c:pt idx="0">
                  <c:v>1.3218809089877854E-7</c:v>
                </c:pt>
                <c:pt idx="1">
                  <c:v>2.9159137698259972E-7</c:v>
                </c:pt>
                <c:pt idx="2">
                  <c:v>5.8318275396519944E-7</c:v>
                </c:pt>
                <c:pt idx="3">
                  <c:v>9.9141068174083899E-7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D2-4BAE-A151-CC7690EA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Лист1!$E$67:$E$70</c:f>
              <c:numCache>
                <c:formatCode>0.00E+00</c:formatCode>
                <c:ptCount val="4"/>
                <c:pt idx="0">
                  <c:v>3.3000000000000002E-6</c:v>
                </c:pt>
                <c:pt idx="1">
                  <c:v>2.7999999999999999E-6</c:v>
                </c:pt>
                <c:pt idx="2">
                  <c:v>2.2000000000000001E-6</c:v>
                </c:pt>
                <c:pt idx="3">
                  <c:v>1.9999999999999999E-7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D-496D-BB1F-4026E804945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Лист1!$H$67:$H$70</c:f>
              <c:numCache>
                <c:formatCode>0.00E+00</c:formatCode>
                <c:ptCount val="4"/>
                <c:pt idx="0">
                  <c:v>8.0961226626873885E-7</c:v>
                </c:pt>
                <c:pt idx="1">
                  <c:v>1.7859094108869239E-6</c:v>
                </c:pt>
                <c:pt idx="2">
                  <c:v>3.5718188217738478E-6</c:v>
                </c:pt>
                <c:pt idx="3">
                  <c:v>6.0720919970155417E-6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BD-496D-BB1F-4026E8049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Лист1!$F$67:$F$70</c:f>
              <c:numCache>
                <c:formatCode>0.00E+00</c:formatCode>
                <c:ptCount val="4"/>
                <c:pt idx="0">
                  <c:v>9.9999999999999995E-8</c:v>
                </c:pt>
                <c:pt idx="1">
                  <c:v>8.0000000000000002E-8</c:v>
                </c:pt>
                <c:pt idx="2">
                  <c:v>2E-8</c:v>
                </c:pt>
                <c:pt idx="3">
                  <c:v>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D4-41DB-ABBA-F94456E46CD3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Лист1!$B$67:$B$70</c:f>
              <c:numCache>
                <c:formatCode>0.00E+00</c:formatCode>
                <c:ptCount val="4"/>
                <c:pt idx="0">
                  <c:v>6.8000000000000003E-10</c:v>
                </c:pt>
                <c:pt idx="1">
                  <c:v>1.5E-9</c:v>
                </c:pt>
                <c:pt idx="2">
                  <c:v>3E-9</c:v>
                </c:pt>
                <c:pt idx="3">
                  <c:v>5.1000000000000002E-9</c:v>
                </c:pt>
              </c:numCache>
            </c:numRef>
          </c:xVal>
          <c:yVal>
            <c:numRef>
              <c:f>Лист1!$I$67:$I$70</c:f>
              <c:numCache>
                <c:formatCode>0.00E+00</c:formatCode>
                <c:ptCount val="4"/>
                <c:pt idx="0">
                  <c:v>4.0421774709994098E-7</c:v>
                </c:pt>
                <c:pt idx="1">
                  <c:v>8.9165278883562132E-7</c:v>
                </c:pt>
                <c:pt idx="2">
                  <c:v>1.779697265075617E-6</c:v>
                </c:pt>
                <c:pt idx="3">
                  <c:v>2.9545296454141819E-6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D4-41DB-ABBA-F94456E4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864814415918135"/>
          <c:y val="4.4112520286109277E-2"/>
          <c:w val="0.71252905167029568"/>
          <c:h val="0.772784756867223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Лист1!$D$74:$D$77</c:f>
              <c:numCache>
                <c:formatCode>General</c:formatCode>
                <c:ptCount val="4"/>
                <c:pt idx="0">
                  <c:v>0.03</c:v>
                </c:pt>
                <c:pt idx="1">
                  <c:v>2.4999999999999998E-2</c:v>
                </c:pt>
                <c:pt idx="2">
                  <c:v>0.01</c:v>
                </c:pt>
                <c:pt idx="3">
                  <c:v>5.0000000000000001E-3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71-4F6F-AB20-7038AE06721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Лист1!$G$74:$G$77</c:f>
              <c:numCache>
                <c:formatCode>0.0</c:formatCode>
                <c:ptCount val="4"/>
                <c:pt idx="0">
                  <c:v>0.13218809089877853</c:v>
                </c:pt>
                <c:pt idx="1">
                  <c:v>0.29159137698259974</c:v>
                </c:pt>
                <c:pt idx="2">
                  <c:v>0.58318275396519947</c:v>
                </c:pt>
                <c:pt idx="3">
                  <c:v>0.99141068174083902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71-4F6F-AB20-7038AE067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7312418272363572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Лист1!$E$74:$E$77</c:f>
              <c:numCache>
                <c:formatCode>General</c:formatCode>
                <c:ptCount val="4"/>
                <c:pt idx="0">
                  <c:v>0.33</c:v>
                </c:pt>
                <c:pt idx="1">
                  <c:v>0.27999999999999997</c:v>
                </c:pt>
                <c:pt idx="2">
                  <c:v>0.22</c:v>
                </c:pt>
                <c:pt idx="3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60-4AA5-A61C-8DD342FAB52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Лист1!$H$74:$H$77</c:f>
              <c:numCache>
                <c:formatCode>0.0</c:formatCode>
                <c:ptCount val="4"/>
                <c:pt idx="0">
                  <c:v>0.80961226626873883</c:v>
                </c:pt>
                <c:pt idx="1">
                  <c:v>1.785909410886924</c:v>
                </c:pt>
                <c:pt idx="2">
                  <c:v>3.571818821773848</c:v>
                </c:pt>
                <c:pt idx="3">
                  <c:v>6.0720919970155416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60-4AA5-A61C-8DD342FA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C, </a:t>
                </a:r>
                <a:r>
                  <a:rPr lang="ru-RU" sz="1400" baseline="0">
                    <a:effectLst/>
                  </a:rPr>
                  <a:t>нФ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</c:valAx>
      <c:valAx>
        <c:axId val="2611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599871697673061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Лист1!$F$74:$F$77</c:f>
              <c:numCache>
                <c:formatCode>General</c:formatCode>
                <c:ptCount val="4"/>
                <c:pt idx="0">
                  <c:v>9.9999999999999992E-2</c:v>
                </c:pt>
                <c:pt idx="1">
                  <c:v>0.08</c:v>
                </c:pt>
                <c:pt idx="2">
                  <c:v>0.02</c:v>
                </c:pt>
                <c:pt idx="3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95-44BF-AD1D-7739B54787E7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Лист1!$A$74:$A$77</c:f>
              <c:numCache>
                <c:formatCode>General</c:formatCode>
                <c:ptCount val="4"/>
                <c:pt idx="0">
                  <c:v>0.68</c:v>
                </c:pt>
                <c:pt idx="1">
                  <c:v>1.5</c:v>
                </c:pt>
                <c:pt idx="2">
                  <c:v>3</c:v>
                </c:pt>
                <c:pt idx="3">
                  <c:v>5.1000000000000005</c:v>
                </c:pt>
              </c:numCache>
            </c:numRef>
          </c:xVal>
          <c:yVal>
            <c:numRef>
              <c:f>Лист1!$I$74:$I$77</c:f>
              <c:numCache>
                <c:formatCode>0.0</c:formatCode>
                <c:ptCount val="4"/>
                <c:pt idx="0">
                  <c:v>0.40421774709994096</c:v>
                </c:pt>
                <c:pt idx="1">
                  <c:v>0.89165278883562127</c:v>
                </c:pt>
                <c:pt idx="2">
                  <c:v>1.7796972650756169</c:v>
                </c:pt>
                <c:pt idx="3">
                  <c:v>2.9545296454141821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95-44BF-AD1D-7739B54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C</a:t>
                </a:r>
                <a:r>
                  <a:rPr lang="ru-RU" sz="1400" baseline="0">
                    <a:effectLst/>
                  </a:rPr>
                  <a:t>, нФ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Лист1!$D$22:$D$27</c:f>
              <c:numCache>
                <c:formatCode>General</c:formatCode>
                <c:ptCount val="6"/>
                <c:pt idx="0">
                  <c:v>1.9</c:v>
                </c:pt>
                <c:pt idx="1">
                  <c:v>3</c:v>
                </c:pt>
                <c:pt idx="2">
                  <c:v>3.2</c:v>
                </c:pt>
                <c:pt idx="3">
                  <c:v>4.4000000000000004</c:v>
                </c:pt>
                <c:pt idx="4">
                  <c:v>5.5</c:v>
                </c:pt>
                <c:pt idx="5">
                  <c:v>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C-4E2C-BCA2-0F793D81D92A}"/>
            </c:ext>
          </c:extLst>
        </c:ser>
        <c:ser>
          <c:idx val="1"/>
          <c:order val="1"/>
          <c:tx>
            <c:v>the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Лист1!$G$22:$G$27</c:f>
              <c:numCache>
                <c:formatCode>0.0</c:formatCode>
                <c:ptCount val="6"/>
                <c:pt idx="0">
                  <c:v>3.1342332361735341</c:v>
                </c:pt>
                <c:pt idx="1">
                  <c:v>3.8387622582220349</c:v>
                </c:pt>
                <c:pt idx="2">
                  <c:v>4.5396987784838547</c:v>
                </c:pt>
                <c:pt idx="3">
                  <c:v>5.3618998858038784</c:v>
                </c:pt>
                <c:pt idx="4">
                  <c:v>6.3570846316299221</c:v>
                </c:pt>
                <c:pt idx="5">
                  <c:v>7.3210115534289129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74-4A78-8BD4-25FC1EE12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160"/>
        <c:axId val="210070944"/>
        <c:extLst/>
      </c:scatterChart>
      <c:valAx>
        <c:axId val="21007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944"/>
        <c:crosses val="autoZero"/>
        <c:crossBetween val="midCat"/>
      </c:valAx>
      <c:valAx>
        <c:axId val="2100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16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492643668996283"/>
          <c:y val="4.920175397237022E-2"/>
          <c:w val="0.709933048682048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Лист1!$E$22:$E$27</c:f>
              <c:numCache>
                <c:formatCode>General</c:formatCode>
                <c:ptCount val="6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E-434A-B5C0-415B6D5B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70552"/>
        <c:axId val="210071728"/>
        <c:extLst/>
      </c:scatterChart>
      <c:valAx>
        <c:axId val="21007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1728"/>
        <c:crosses val="autoZero"/>
        <c:crossBetween val="midCat"/>
      </c:valAx>
      <c:valAx>
        <c:axId val="210071728"/>
        <c:scaling>
          <c:orientation val="minMax"/>
          <c:max val="28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70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30729492310679"/>
          <c:y val="4.920175397237022E-2"/>
          <c:w val="0.7399697689337478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Лист1!$F$22:$F$27</c:f>
              <c:numCache>
                <c:formatCode>General</c:formatCode>
                <c:ptCount val="6"/>
                <c:pt idx="0">
                  <c:v>3.8</c:v>
                </c:pt>
                <c:pt idx="1">
                  <c:v>2.8</c:v>
                </c:pt>
                <c:pt idx="2">
                  <c:v>2.6</c:v>
                </c:pt>
                <c:pt idx="3">
                  <c:v>1.5</c:v>
                </c:pt>
                <c:pt idx="4">
                  <c:v>1.1000000000000001</c:v>
                </c:pt>
                <c:pt idx="5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BFD-48F9-9C32-A055575446E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Лист1!$C$22:$C$27</c:f>
              <c:numCache>
                <c:formatCode>General</c:formatCode>
                <c:ptCount val="6"/>
                <c:pt idx="0">
                  <c:v>4.1515151515151517E-3</c:v>
                </c:pt>
                <c:pt idx="1">
                  <c:v>3.4848484848484847E-3</c:v>
                </c:pt>
                <c:pt idx="2">
                  <c:v>3.0283267457180498E-3</c:v>
                </c:pt>
                <c:pt idx="3">
                  <c:v>2.6464454430233895E-3</c:v>
                </c:pt>
                <c:pt idx="4">
                  <c:v>2.3181818181818182E-3</c:v>
                </c:pt>
                <c:pt idx="5">
                  <c:v>2.0869505869505868E-3</c:v>
                </c:pt>
              </c:numCache>
            </c:numRef>
          </c:xVal>
          <c:yVal>
            <c:numRef>
              <c:f>Лист1!$I$22:$I$27</c:f>
              <c:numCache>
                <c:formatCode>0.0</c:formatCode>
                <c:ptCount val="6"/>
                <c:pt idx="0">
                  <c:v>9.5449477515173662</c:v>
                </c:pt>
                <c:pt idx="1">
                  <c:v>7.4417224761610079</c:v>
                </c:pt>
                <c:pt idx="2">
                  <c:v>5.7566473915017715</c:v>
                </c:pt>
                <c:pt idx="3">
                  <c:v>4.1409886144360035</c:v>
                </c:pt>
                <c:pt idx="4">
                  <c:v>2.5557309971960596</c:v>
                </c:pt>
                <c:pt idx="5">
                  <c:v>1.2996124533725202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4F-46EE-82B1-287D4502F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3192"/>
        <c:axId val="261117704"/>
        <c:extLst/>
      </c:scatterChart>
      <c:valAx>
        <c:axId val="261123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б1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7704"/>
        <c:crosses val="autoZero"/>
        <c:crossBetween val="midCat"/>
      </c:valAx>
      <c:valAx>
        <c:axId val="26111770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</a:t>
                </a:r>
                <a:r>
                  <a:rPr lang="ru-RU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мкс</a:t>
                </a:r>
                <a:endParaRPr lang="en-US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23495588654701"/>
          <c:y val="4.920175397237022E-2"/>
          <c:w val="0.6753142186962807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Лист1!$E$37:$E$42</c:f>
              <c:numCache>
                <c:formatCode>General</c:formatCode>
                <c:ptCount val="6"/>
                <c:pt idx="0">
                  <c:v>22</c:v>
                </c:pt>
                <c:pt idx="1">
                  <c:v>23</c:v>
                </c:pt>
                <c:pt idx="2">
                  <c:v>25</c:v>
                </c:pt>
                <c:pt idx="3">
                  <c:v>26</c:v>
                </c:pt>
                <c:pt idx="4">
                  <c:v>25</c:v>
                </c:pt>
                <c:pt idx="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D8-4C0F-A931-F49BD65369A8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Лист1!$H$37:$H$42</c:f>
              <c:numCache>
                <c:formatCode>0.0</c:formatCode>
                <c:ptCount val="6"/>
                <c:pt idx="0">
                  <c:v>24.295753063962685</c:v>
                </c:pt>
                <c:pt idx="1">
                  <c:v>25.437445122970246</c:v>
                </c:pt>
                <c:pt idx="2">
                  <c:v>25.913354121423854</c:v>
                </c:pt>
                <c:pt idx="3">
                  <c:v>26.311014316483025</c:v>
                </c:pt>
                <c:pt idx="4">
                  <c:v>26.520251807363881</c:v>
                </c:pt>
                <c:pt idx="5">
                  <c:v>26.72137870128552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A-417E-9219-07A47E53B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0840"/>
        <c:axId val="261123584"/>
        <c:extLst/>
      </c:scatterChart>
      <c:valAx>
        <c:axId val="26112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584"/>
        <c:crosses val="autoZero"/>
        <c:crossBetween val="midCat"/>
      </c:valAx>
      <c:valAx>
        <c:axId val="261123584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6915629821081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8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Лист1!$F$37:$F$42</c:f>
              <c:numCache>
                <c:formatCode>General</c:formatCode>
                <c:ptCount val="6"/>
                <c:pt idx="0">
                  <c:v>1.7</c:v>
                </c:pt>
                <c:pt idx="1">
                  <c:v>2.4</c:v>
                </c:pt>
                <c:pt idx="2">
                  <c:v>2.6</c:v>
                </c:pt>
                <c:pt idx="3">
                  <c:v>2.6</c:v>
                </c:pt>
                <c:pt idx="4">
                  <c:v>2.4</c:v>
                </c:pt>
                <c:pt idx="5">
                  <c:v>2.2999999999999998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4A-4CA6-BAAB-00F52DD453E6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Лист1!$C$37:$C$42</c:f>
              <c:numCache>
                <c:formatCode>General</c:formatCode>
                <c:ptCount val="6"/>
                <c:pt idx="0">
                  <c:v>4.1666666666666665E-5</c:v>
                </c:pt>
                <c:pt idx="1">
                  <c:v>2.6595744680851064E-5</c:v>
                </c:pt>
                <c:pt idx="2">
                  <c:v>2.0833333333333333E-5</c:v>
                </c:pt>
                <c:pt idx="3">
                  <c:v>1.6233766233766234E-5</c:v>
                </c:pt>
                <c:pt idx="4">
                  <c:v>1.388888888888889E-5</c:v>
                </c:pt>
                <c:pt idx="5">
                  <c:v>1.1682242990654205E-5</c:v>
                </c:pt>
              </c:numCache>
            </c:numRef>
          </c:xVal>
          <c:yVal>
            <c:numRef>
              <c:f>Лист1!$I$37:$I$42</c:f>
              <c:numCache>
                <c:formatCode>0.0</c:formatCode>
                <c:ptCount val="6"/>
                <c:pt idx="0">
                  <c:v>6.1478728451718911</c:v>
                </c:pt>
                <c:pt idx="1">
                  <c:v>6.2149968703414338</c:v>
                </c:pt>
                <c:pt idx="2">
                  <c:v>6.2410595110128293</c:v>
                </c:pt>
                <c:pt idx="3">
                  <c:v>6.2620236552125412</c:v>
                </c:pt>
                <c:pt idx="4">
                  <c:v>6.2727667643860157</c:v>
                </c:pt>
                <c:pt idx="5">
                  <c:v>6.2829110380208641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CA-4E9A-86D4-1D4EA2AAD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8880"/>
        <c:axId val="261122016"/>
        <c:extLst/>
      </c:scatterChart>
      <c:valAx>
        <c:axId val="26111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б2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016"/>
        <c:crosses val="autoZero"/>
        <c:crossBetween val="midCat"/>
      </c:valAx>
      <c:valAx>
        <c:axId val="261122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040356913745855E-2"/>
              <c:y val="0.353889122638296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37056586929671"/>
          <c:y val="4.920175397237022E-2"/>
          <c:w val="0.72700591889117561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Лист1!$D$52:$D$58</c:f>
              <c:numCache>
                <c:formatCode>General</c:formatCode>
                <c:ptCount val="7"/>
                <c:pt idx="0">
                  <c:v>9</c:v>
                </c:pt>
                <c:pt idx="1">
                  <c:v>3.9</c:v>
                </c:pt>
                <c:pt idx="2">
                  <c:v>3.2</c:v>
                </c:pt>
                <c:pt idx="3">
                  <c:v>2.9</c:v>
                </c:pt>
                <c:pt idx="4">
                  <c:v>2.4</c:v>
                </c:pt>
                <c:pt idx="5">
                  <c:v>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1D-406C-933C-3E12833F12F5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Лист1!$G$52:$G$58</c:f>
              <c:numCache>
                <c:formatCode>0.0</c:formatCode>
                <c:ptCount val="7"/>
                <c:pt idx="0">
                  <c:v>9.6916429928769308</c:v>
                </c:pt>
                <c:pt idx="1">
                  <c:v>5.6822081048434718</c:v>
                </c:pt>
                <c:pt idx="2">
                  <c:v>4.7210976292215392</c:v>
                </c:pt>
                <c:pt idx="3">
                  <c:v>4.0046318418882452</c:v>
                </c:pt>
                <c:pt idx="4">
                  <c:v>3.0540318653035912</c:v>
                </c:pt>
                <c:pt idx="5">
                  <c:v>2.5105761585439361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46-44E1-8417-063125F14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408"/>
        <c:axId val="261121232"/>
        <c:extLst/>
      </c:scatterChart>
      <c:valAx>
        <c:axId val="26112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1232"/>
        <c:crosses val="autoZero"/>
        <c:crossBetween val="midCat"/>
        <c:majorUnit val="1.0000000000000002E-2"/>
      </c:valAx>
      <c:valAx>
        <c:axId val="26112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ф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08025639835963"/>
          <c:y val="4.920175397237022E-2"/>
          <c:w val="0.68829622836211268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Лист1!$E$52:$E$58</c:f>
              <c:numCache>
                <c:formatCode>General</c:formatCode>
                <c:ptCount val="7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0-46D9-A067-8521698A41DA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Лист1!$H$52:$H$58</c:f>
              <c:numCache>
                <c:formatCode>0.0</c:formatCode>
                <c:ptCount val="7"/>
                <c:pt idx="0">
                  <c:v>27.046124158151166</c:v>
                </c:pt>
                <c:pt idx="1">
                  <c:v>26.684814957935863</c:v>
                </c:pt>
                <c:pt idx="2">
                  <c:v>26.50908078609806</c:v>
                </c:pt>
                <c:pt idx="3">
                  <c:v>26.325799174194675</c:v>
                </c:pt>
                <c:pt idx="4">
                  <c:v>25.959103723739688</c:v>
                </c:pt>
                <c:pt idx="5">
                  <c:v>25.635711085568687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1E-446B-B703-8A7F4C23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22800"/>
        <c:axId val="261123976"/>
        <c:extLst/>
      </c:scatterChart>
      <c:valAx>
        <c:axId val="2611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3976"/>
        <c:crosses val="autoZero"/>
        <c:crossBetween val="midCat"/>
        <c:majorUnit val="1.0000000000000002E-2"/>
      </c:valAx>
      <c:valAx>
        <c:axId val="261123976"/>
        <c:scaling>
          <c:orientation val="minMax"/>
          <c:max val="30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сп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373784890993269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28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08557342443117"/>
          <c:y val="4.920175397237022E-2"/>
          <c:w val="0.7142910750458662"/>
          <c:h val="0.7575175812947047"/>
        </c:manualLayout>
      </c:layout>
      <c:scatterChart>
        <c:scatterStyle val="smoothMarker"/>
        <c:varyColors val="0"/>
        <c:ser>
          <c:idx val="0"/>
          <c:order val="0"/>
          <c:tx>
            <c:v>exp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Лист1!$F$52:$F$58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2.6</c:v>
                </c:pt>
                <c:pt idx="3">
                  <c:v>3.6</c:v>
                </c:pt>
                <c:pt idx="4">
                  <c:v>4.2</c:v>
                </c:pt>
                <c:pt idx="5">
                  <c:v>4.5999999999999996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4-42C2-A68D-6C147826088D}"/>
            </c:ext>
          </c:extLst>
        </c:ser>
        <c:ser>
          <c:idx val="1"/>
          <c:order val="1"/>
          <c:tx>
            <c:v>teo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Лист1!$C$52:$C$58</c:f>
              <c:numCache>
                <c:formatCode>General</c:formatCode>
                <c:ptCount val="7"/>
                <c:pt idx="0">
                  <c:v>3.6764705882352942E-2</c:v>
                </c:pt>
                <c:pt idx="1">
                  <c:v>2.5000000000000001E-2</c:v>
                </c:pt>
                <c:pt idx="2">
                  <c:v>2.1551724137931036E-2</c:v>
                </c:pt>
                <c:pt idx="3">
                  <c:v>1.8796992481203006E-2</c:v>
                </c:pt>
                <c:pt idx="4">
                  <c:v>1.488095238095238E-2</c:v>
                </c:pt>
                <c:pt idx="5">
                  <c:v>1.2500000000000001E-2</c:v>
                </c:pt>
              </c:numCache>
            </c:numRef>
          </c:xVal>
          <c:yVal>
            <c:numRef>
              <c:f>Лист1!$I$52:$I$58</c:f>
              <c:numCache>
                <c:formatCode>0.0</c:formatCode>
                <c:ptCount val="7"/>
                <c:pt idx="0">
                  <c:v>0</c:v>
                </c:pt>
                <c:pt idx="1">
                  <c:v>3.6014488080201907</c:v>
                </c:pt>
                <c:pt idx="2">
                  <c:v>5.3753853227289419</c:v>
                </c:pt>
                <c:pt idx="3">
                  <c:v>7.0068948471104155</c:v>
                </c:pt>
                <c:pt idx="4">
                  <c:v>9.785858776738964</c:v>
                </c:pt>
                <c:pt idx="5">
                  <c:v>11.852018523215767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7-4FDF-B255-6AB4720E6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16528"/>
        <c:axId val="261120056"/>
        <c:extLst/>
      </c:scatterChart>
      <c:valAx>
        <c:axId val="2611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aseline="0">
                    <a:effectLst/>
                  </a:rPr>
                  <a:t>I</a:t>
                </a:r>
                <a:r>
                  <a:rPr lang="ru-RU" sz="1400" baseline="-25000">
                    <a:effectLst/>
                  </a:rPr>
                  <a:t>кн</a:t>
                </a:r>
                <a:r>
                  <a:rPr lang="ru-RU" sz="1400" b="0" i="0" baseline="-25000">
                    <a:effectLst/>
                  </a:rPr>
                  <a:t>,</a:t>
                </a:r>
                <a:r>
                  <a:rPr lang="ru-RU" sz="1400" b="0" i="0" baseline="0">
                    <a:effectLst/>
                  </a:rPr>
                  <a:t> А</a:t>
                </a:r>
                <a:endParaRPr lang="en-US" sz="14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20056"/>
        <c:crosses val="autoZero"/>
        <c:crossBetween val="midCat"/>
        <c:majorUnit val="1.0000000000000002E-2"/>
      </c:valAx>
      <c:valAx>
        <c:axId val="26112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ru-RU" sz="140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расс</a:t>
                </a:r>
                <a:r>
                  <a:rPr lang="ru-RU" sz="1400" b="0" i="0" baseline="-25000">
                    <a:effectLst/>
                  </a:rPr>
                  <a:t>, </a:t>
                </a:r>
                <a:r>
                  <a:rPr lang="ru-RU" sz="1400" b="0" i="0" baseline="0">
                    <a:effectLst/>
                  </a:rPr>
                  <a:t>мкс</a:t>
                </a:r>
                <a:endParaRPr lang="en-US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1.1220070997907451E-3"/>
              <c:y val="0.3844234737833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1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331898</xdr:colOff>
      <xdr:row>0</xdr:row>
      <xdr:rowOff>180974</xdr:rowOff>
    </xdr:from>
    <xdr:to>
      <xdr:col>19</xdr:col>
      <xdr:colOff>537883</xdr:colOff>
      <xdr:row>18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465249</xdr:colOff>
      <xdr:row>19</xdr:row>
      <xdr:rowOff>38100</xdr:rowOff>
    </xdr:from>
    <xdr:to>
      <xdr:col>14</xdr:col>
      <xdr:colOff>374480</xdr:colOff>
      <xdr:row>32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541448</xdr:colOff>
      <xdr:row>19</xdr:row>
      <xdr:rowOff>76200</xdr:rowOff>
    </xdr:from>
    <xdr:to>
      <xdr:col>19</xdr:col>
      <xdr:colOff>450679</xdr:colOff>
      <xdr:row>32</xdr:row>
      <xdr:rowOff>95250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68662</xdr:colOff>
      <xdr:row>19</xdr:row>
      <xdr:rowOff>76200</xdr:rowOff>
    </xdr:from>
    <xdr:to>
      <xdr:col>24</xdr:col>
      <xdr:colOff>579546</xdr:colOff>
      <xdr:row>32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522397</xdr:colOff>
      <xdr:row>34</xdr:row>
      <xdr:rowOff>38100</xdr:rowOff>
    </xdr:from>
    <xdr:to>
      <xdr:col>19</xdr:col>
      <xdr:colOff>431628</xdr:colOff>
      <xdr:row>47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49611</xdr:colOff>
      <xdr:row>34</xdr:row>
      <xdr:rowOff>38100</xdr:rowOff>
    </xdr:from>
    <xdr:to>
      <xdr:col>24</xdr:col>
      <xdr:colOff>560495</xdr:colOff>
      <xdr:row>47</xdr:row>
      <xdr:rowOff>57150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446198</xdr:colOff>
      <xdr:row>49</xdr:row>
      <xdr:rowOff>0</xdr:rowOff>
    </xdr:from>
    <xdr:to>
      <xdr:col>14</xdr:col>
      <xdr:colOff>355429</xdr:colOff>
      <xdr:row>62</xdr:row>
      <xdr:rowOff>19050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522397</xdr:colOff>
      <xdr:row>49</xdr:row>
      <xdr:rowOff>38100</xdr:rowOff>
    </xdr:from>
    <xdr:to>
      <xdr:col>19</xdr:col>
      <xdr:colOff>431628</xdr:colOff>
      <xdr:row>62</xdr:row>
      <xdr:rowOff>57150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49611</xdr:colOff>
      <xdr:row>49</xdr:row>
      <xdr:rowOff>38100</xdr:rowOff>
    </xdr:from>
    <xdr:to>
      <xdr:col>24</xdr:col>
      <xdr:colOff>560495</xdr:colOff>
      <xdr:row>62</xdr:row>
      <xdr:rowOff>57150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446198</xdr:colOff>
      <xdr:row>34</xdr:row>
      <xdr:rowOff>0</xdr:rowOff>
    </xdr:from>
    <xdr:to>
      <xdr:col>14</xdr:col>
      <xdr:colOff>355429</xdr:colOff>
      <xdr:row>47</xdr:row>
      <xdr:rowOff>19050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514350</xdr:colOff>
      <xdr:row>65</xdr:row>
      <xdr:rowOff>0</xdr:rowOff>
    </xdr:from>
    <xdr:to>
      <xdr:col>14</xdr:col>
      <xdr:colOff>423581</xdr:colOff>
      <xdr:row>78</xdr:row>
      <xdr:rowOff>19050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590549</xdr:colOff>
      <xdr:row>65</xdr:row>
      <xdr:rowOff>38100</xdr:rowOff>
    </xdr:from>
    <xdr:to>
      <xdr:col>19</xdr:col>
      <xdr:colOff>499780</xdr:colOff>
      <xdr:row>78</xdr:row>
      <xdr:rowOff>57150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117763</xdr:colOff>
      <xdr:row>65</xdr:row>
      <xdr:rowOff>38100</xdr:rowOff>
    </xdr:from>
    <xdr:to>
      <xdr:col>25</xdr:col>
      <xdr:colOff>19047</xdr:colOff>
      <xdr:row>78</xdr:row>
      <xdr:rowOff>57150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318806</xdr:colOff>
      <xdr:row>93</xdr:row>
      <xdr:rowOff>19050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485774</xdr:colOff>
      <xdr:row>80</xdr:row>
      <xdr:rowOff>38100</xdr:rowOff>
    </xdr:from>
    <xdr:to>
      <xdr:col>9</xdr:col>
      <xdr:colOff>80680</xdr:colOff>
      <xdr:row>93</xdr:row>
      <xdr:rowOff>57150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308263</xdr:colOff>
      <xdr:row>80</xdr:row>
      <xdr:rowOff>38100</xdr:rowOff>
    </xdr:from>
    <xdr:to>
      <xdr:col>14</xdr:col>
      <xdr:colOff>209547</xdr:colOff>
      <xdr:row>93</xdr:row>
      <xdr:rowOff>57150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topLeftCell="A79" zoomScaleNormal="100" workbookViewId="0">
      <selection activeCell="M103" sqref="M103"/>
    </sheetView>
  </sheetViews>
  <sheetFormatPr defaultRowHeight="15" x14ac:dyDescent="0.25"/>
  <cols>
    <col min="2" max="2" width="12.28515625" customWidth="1"/>
    <col min="3" max="3" width="17.85546875" customWidth="1"/>
    <col min="4" max="4" width="9.42578125" customWidth="1"/>
    <col min="5" max="5" width="10.7109375" customWidth="1"/>
    <col min="6" max="6" width="9.28515625" customWidth="1"/>
    <col min="7" max="7" width="10.28515625" customWidth="1"/>
    <col min="8" max="8" width="10.42578125" customWidth="1"/>
    <col min="9" max="9" width="9.7109375" customWidth="1"/>
  </cols>
  <sheetData>
    <row r="1" spans="1:12" x14ac:dyDescent="0.25">
      <c r="H1" s="3"/>
      <c r="I1" s="3"/>
      <c r="J1" s="3"/>
      <c r="K1" s="3"/>
    </row>
    <row r="2" spans="1:12" x14ac:dyDescent="0.25">
      <c r="B2" s="30" t="s">
        <v>11</v>
      </c>
      <c r="C2" s="30"/>
      <c r="D2" s="30"/>
      <c r="E2" s="30"/>
      <c r="F2" s="18" t="s">
        <v>18</v>
      </c>
      <c r="H2" s="21" t="s">
        <v>21</v>
      </c>
      <c r="I2" s="9" t="s">
        <v>5</v>
      </c>
      <c r="J2" s="10">
        <v>7</v>
      </c>
      <c r="K2" s="3"/>
    </row>
    <row r="3" spans="1:12" x14ac:dyDescent="0.25">
      <c r="B3" s="1" t="s">
        <v>12</v>
      </c>
      <c r="C3" s="1" t="s">
        <v>2</v>
      </c>
      <c r="D3" s="1" t="s">
        <v>3</v>
      </c>
      <c r="E3" s="1" t="s">
        <v>4</v>
      </c>
      <c r="F3" s="8" t="s">
        <v>4</v>
      </c>
      <c r="G3" s="3"/>
      <c r="H3" s="3"/>
      <c r="I3" s="11" t="s">
        <v>6</v>
      </c>
      <c r="J3" s="12">
        <v>5</v>
      </c>
      <c r="K3" s="3"/>
    </row>
    <row r="4" spans="1:12" x14ac:dyDescent="0.25">
      <c r="A4" s="5"/>
      <c r="B4" s="1">
        <v>3</v>
      </c>
      <c r="C4" s="1">
        <v>2.9</v>
      </c>
      <c r="D4" s="1">
        <v>25</v>
      </c>
      <c r="E4" s="1">
        <v>0.2</v>
      </c>
      <c r="F4" s="19">
        <f>$J$9*LN(($J$14*(1-EXP(-B4*0.000001/$J$9))+$J$12)/($J$10/$J$11+$J$12))*1000000</f>
        <v>-4.9541850903711069</v>
      </c>
      <c r="H4" s="3"/>
      <c r="I4" s="11" t="s">
        <v>7</v>
      </c>
      <c r="J4" s="12">
        <v>1000</v>
      </c>
      <c r="K4" s="3"/>
    </row>
    <row r="5" spans="1:12" x14ac:dyDescent="0.25">
      <c r="A5" s="5"/>
      <c r="B5" s="1">
        <v>4</v>
      </c>
      <c r="C5" s="1">
        <v>3</v>
      </c>
      <c r="D5" s="1">
        <v>21</v>
      </c>
      <c r="E5" s="1">
        <v>1.3</v>
      </c>
      <c r="F5" s="19">
        <f t="shared" ref="F5:F11" si="0">$J$9*LN(($J$14*(1-EXP(-B5*0.000001/$J$9))+$J$12)/($J$10/$J$11+$J$12))*1000000</f>
        <v>-2.0059663671044996</v>
      </c>
      <c r="H5" s="3"/>
      <c r="I5" s="11" t="s">
        <v>0</v>
      </c>
      <c r="J5" s="12">
        <v>1200</v>
      </c>
      <c r="K5" s="3"/>
    </row>
    <row r="6" spans="1:12" x14ac:dyDescent="0.25">
      <c r="A6" s="5"/>
      <c r="B6" s="1">
        <v>6</v>
      </c>
      <c r="C6" s="1">
        <v>3.1</v>
      </c>
      <c r="D6" s="1">
        <v>23</v>
      </c>
      <c r="E6" s="1">
        <v>2.1</v>
      </c>
      <c r="F6" s="19">
        <f t="shared" si="0"/>
        <v>1.9121445811902988</v>
      </c>
      <c r="H6" s="3"/>
      <c r="I6" s="11" t="s">
        <v>8</v>
      </c>
      <c r="J6" s="12">
        <v>330000</v>
      </c>
      <c r="K6" s="3"/>
    </row>
    <row r="7" spans="1:12" x14ac:dyDescent="0.25">
      <c r="A7" s="5"/>
      <c r="B7" s="1">
        <v>8</v>
      </c>
      <c r="C7" s="1">
        <v>3.2</v>
      </c>
      <c r="D7" s="1">
        <v>25</v>
      </c>
      <c r="E7" s="1">
        <v>3</v>
      </c>
      <c r="F7" s="19">
        <f t="shared" si="0"/>
        <v>4.4609146181423602</v>
      </c>
      <c r="H7" s="3"/>
      <c r="I7" s="11" t="s">
        <v>9</v>
      </c>
      <c r="J7" s="12">
        <v>1250</v>
      </c>
      <c r="K7" s="3"/>
    </row>
    <row r="8" spans="1:12" x14ac:dyDescent="0.25">
      <c r="A8" s="5"/>
      <c r="B8" s="1">
        <v>10</v>
      </c>
      <c r="C8" s="1">
        <v>3.2</v>
      </c>
      <c r="D8" s="1">
        <v>25</v>
      </c>
      <c r="E8" s="1">
        <v>2.6</v>
      </c>
      <c r="F8" s="19">
        <f t="shared" si="0"/>
        <v>6.2672133301629565</v>
      </c>
      <c r="H8" s="3"/>
      <c r="I8" s="6" t="s">
        <v>17</v>
      </c>
      <c r="J8" s="4">
        <v>25</v>
      </c>
      <c r="K8" s="3"/>
    </row>
    <row r="9" spans="1:12" x14ac:dyDescent="0.25">
      <c r="A9" s="5"/>
      <c r="B9" s="1">
        <v>15</v>
      </c>
      <c r="C9" s="1">
        <v>3.3</v>
      </c>
      <c r="D9" s="1">
        <v>26</v>
      </c>
      <c r="E9" s="1">
        <v>2.9</v>
      </c>
      <c r="F9" s="19">
        <f t="shared" si="0"/>
        <v>9.0747631357705441</v>
      </c>
      <c r="H9" s="3"/>
      <c r="I9" s="6" t="s">
        <v>19</v>
      </c>
      <c r="J9" s="13">
        <v>1.2099999999999999E-5</v>
      </c>
      <c r="K9" s="3"/>
    </row>
    <row r="10" spans="1:12" x14ac:dyDescent="0.25">
      <c r="A10" s="5"/>
      <c r="B10" s="1">
        <v>20</v>
      </c>
      <c r="C10" s="1">
        <v>3.3</v>
      </c>
      <c r="D10" s="1">
        <v>26</v>
      </c>
      <c r="E10" s="1">
        <v>2.9</v>
      </c>
      <c r="F10" s="19">
        <f t="shared" si="0"/>
        <v>10.628154358731468</v>
      </c>
      <c r="I10" s="6" t="s">
        <v>16</v>
      </c>
      <c r="J10" s="13">
        <v>0.02</v>
      </c>
    </row>
    <row r="11" spans="1:12" x14ac:dyDescent="0.25">
      <c r="A11" s="5"/>
      <c r="B11" s="1">
        <v>25</v>
      </c>
      <c r="C11" s="1">
        <v>3.3</v>
      </c>
      <c r="D11" s="1">
        <v>27</v>
      </c>
      <c r="E11" s="1">
        <v>3</v>
      </c>
      <c r="F11" s="19">
        <f t="shared" si="0"/>
        <v>11.556016405798539</v>
      </c>
      <c r="I11" s="6" t="s">
        <v>20</v>
      </c>
      <c r="J11" s="4">
        <v>19</v>
      </c>
    </row>
    <row r="12" spans="1:12" x14ac:dyDescent="0.25">
      <c r="F12" s="17"/>
      <c r="I12" s="6" t="s">
        <v>13</v>
      </c>
      <c r="J12" s="13">
        <v>1.5099999999999999E-5</v>
      </c>
    </row>
    <row r="13" spans="1:12" x14ac:dyDescent="0.25">
      <c r="B13" t="s">
        <v>19</v>
      </c>
      <c r="C13">
        <f>0.00000001*J5*J4/(J5+J4)</f>
        <v>5.4545454545454545E-6</v>
      </c>
      <c r="I13" s="6" t="s">
        <v>12</v>
      </c>
      <c r="J13" s="13">
        <v>1.0000000000000001E-5</v>
      </c>
    </row>
    <row r="14" spans="1:12" x14ac:dyDescent="0.25">
      <c r="B14" t="s">
        <v>2</v>
      </c>
      <c r="C14" s="5">
        <f>C13*LN(J14/(J14-0.9*$J$10/$J$11))</f>
        <v>1.9439425132173314E-6</v>
      </c>
      <c r="I14" s="14" t="s">
        <v>1</v>
      </c>
      <c r="J14" s="20">
        <v>3.16E-3</v>
      </c>
      <c r="L14" s="7"/>
    </row>
    <row r="15" spans="1:12" x14ac:dyDescent="0.25">
      <c r="B15" t="s">
        <v>3</v>
      </c>
      <c r="C15" s="5">
        <f>C13*LN((J12+$J$10/$J$11)/(J12+0.1*$J$10/$J$11))</f>
        <v>1.190606273924616E-5</v>
      </c>
    </row>
    <row r="16" spans="1:12" x14ac:dyDescent="0.25">
      <c r="B16" t="s">
        <v>4</v>
      </c>
      <c r="C16" s="5">
        <f>C13*LN((J14*(1-EXP(-$J$13/$J$9))+$J$12)/($J$10/$J$11+$J$12))</f>
        <v>2.8251900812154572E-6</v>
      </c>
    </row>
    <row r="20" spans="2:9" x14ac:dyDescent="0.25">
      <c r="B20" s="27" t="s">
        <v>10</v>
      </c>
      <c r="C20" s="27"/>
      <c r="D20" s="27"/>
      <c r="E20" s="27"/>
      <c r="F20" s="27"/>
      <c r="G20" s="18" t="s">
        <v>18</v>
      </c>
      <c r="H20" s="18"/>
      <c r="I20" s="18"/>
    </row>
    <row r="21" spans="2:9" x14ac:dyDescent="0.25"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2</v>
      </c>
      <c r="H21" s="1" t="s">
        <v>3</v>
      </c>
      <c r="I21" s="1" t="s">
        <v>4</v>
      </c>
    </row>
    <row r="22" spans="2:9" x14ac:dyDescent="0.25">
      <c r="B22" s="1">
        <v>680</v>
      </c>
      <c r="C22" s="2">
        <f>$J$2/($J$4+B22)-$J$3/$J$6</f>
        <v>4.1515151515151517E-3</v>
      </c>
      <c r="D22" s="1">
        <v>1.9</v>
      </c>
      <c r="E22" s="1">
        <v>20</v>
      </c>
      <c r="F22" s="1">
        <v>3.8</v>
      </c>
      <c r="G22" s="15">
        <f>$J$9*LN(C22/(C22-0.9*$J$10/$J$11))*1000000</f>
        <v>3.1342332361735341</v>
      </c>
      <c r="H22" s="16"/>
      <c r="I22" s="15">
        <f>$J$9*LN((C22*(1-EXP(-$J$13/$J$9))+$J$12)/($J$10/$J$11+$J$12))*1000000</f>
        <v>9.5449477515173662</v>
      </c>
    </row>
    <row r="23" spans="2:9" x14ac:dyDescent="0.25">
      <c r="B23" s="1">
        <v>1000</v>
      </c>
      <c r="C23" s="2">
        <f t="shared" ref="C23:C27" si="1">$J$2/($J$4+B23)-$J$3/$J$6</f>
        <v>3.4848484848484847E-3</v>
      </c>
      <c r="D23" s="1">
        <v>3</v>
      </c>
      <c r="E23" s="1">
        <v>23</v>
      </c>
      <c r="F23" s="1">
        <v>2.8</v>
      </c>
      <c r="G23" s="15">
        <f t="shared" ref="G23:G27" si="2">$J$9*LN(C23/(C23-0.9*$J$10/$J$11))*1000000</f>
        <v>3.8387622582220349</v>
      </c>
      <c r="H23" s="16"/>
      <c r="I23" s="15">
        <f t="shared" ref="I23:I27" si="3">$J$9*LN((C23*(1-EXP(-$J$13/$J$9))+$J$12)/($J$10/$J$11+$J$12))*1000000</f>
        <v>7.4417224761610079</v>
      </c>
    </row>
    <row r="24" spans="2:9" x14ac:dyDescent="0.25">
      <c r="B24" s="1">
        <v>1300</v>
      </c>
      <c r="C24" s="2">
        <f t="shared" si="1"/>
        <v>3.0283267457180498E-3</v>
      </c>
      <c r="D24" s="1">
        <v>3.2</v>
      </c>
      <c r="E24" s="1">
        <v>25</v>
      </c>
      <c r="F24" s="1">
        <v>2.6</v>
      </c>
      <c r="G24" s="15">
        <f t="shared" si="2"/>
        <v>4.5396987784838547</v>
      </c>
      <c r="H24" s="16"/>
      <c r="I24" s="15">
        <f t="shared" si="3"/>
        <v>5.7566473915017715</v>
      </c>
    </row>
    <row r="25" spans="2:9" x14ac:dyDescent="0.25">
      <c r="B25" s="1">
        <v>1630</v>
      </c>
      <c r="C25" s="2">
        <f t="shared" si="1"/>
        <v>2.6464454430233895E-3</v>
      </c>
      <c r="D25" s="1">
        <v>4.4000000000000004</v>
      </c>
      <c r="E25" s="1">
        <v>26</v>
      </c>
      <c r="F25" s="1">
        <v>1.5</v>
      </c>
      <c r="G25" s="15">
        <f t="shared" si="2"/>
        <v>5.3618998858038784</v>
      </c>
      <c r="H25" s="16"/>
      <c r="I25" s="15">
        <f t="shared" si="3"/>
        <v>4.1409886144360035</v>
      </c>
    </row>
    <row r="26" spans="2:9" x14ac:dyDescent="0.25">
      <c r="B26" s="1">
        <v>2000</v>
      </c>
      <c r="C26" s="2">
        <f t="shared" si="1"/>
        <v>2.3181818181818182E-3</v>
      </c>
      <c r="D26" s="1">
        <v>5.5</v>
      </c>
      <c r="E26" s="1">
        <v>26</v>
      </c>
      <c r="F26" s="1">
        <v>1.1000000000000001</v>
      </c>
      <c r="G26" s="15">
        <f t="shared" si="2"/>
        <v>6.3570846316299221</v>
      </c>
      <c r="H26" s="16"/>
      <c r="I26" s="15">
        <f t="shared" si="3"/>
        <v>2.5557309971960596</v>
      </c>
    </row>
    <row r="27" spans="2:9" x14ac:dyDescent="0.25">
      <c r="B27" s="1">
        <v>2330</v>
      </c>
      <c r="C27" s="2">
        <f t="shared" si="1"/>
        <v>2.0869505869505868E-3</v>
      </c>
      <c r="D27" s="1">
        <v>6.2</v>
      </c>
      <c r="E27" s="1">
        <v>26</v>
      </c>
      <c r="F27" s="1">
        <v>0.3</v>
      </c>
      <c r="G27" s="15">
        <f t="shared" si="2"/>
        <v>7.3210115534289129</v>
      </c>
      <c r="H27" s="16"/>
      <c r="I27" s="15">
        <f t="shared" si="3"/>
        <v>1.2996124533725202</v>
      </c>
    </row>
    <row r="28" spans="2:9" x14ac:dyDescent="0.25">
      <c r="G28" s="7"/>
    </row>
    <row r="35" spans="2:9" x14ac:dyDescent="0.25">
      <c r="B35" s="28" t="s">
        <v>14</v>
      </c>
      <c r="C35" s="29"/>
      <c r="D35" s="29"/>
      <c r="E35" s="29"/>
      <c r="F35" s="29"/>
      <c r="G35" s="18" t="s">
        <v>18</v>
      </c>
      <c r="H35" s="18"/>
      <c r="I35" s="18"/>
    </row>
    <row r="36" spans="2:9" x14ac:dyDescent="0.25">
      <c r="B36" s="1" t="s">
        <v>8</v>
      </c>
      <c r="C36" s="1" t="s">
        <v>13</v>
      </c>
      <c r="D36" s="1" t="s">
        <v>2</v>
      </c>
      <c r="E36" s="1" t="s">
        <v>3</v>
      </c>
      <c r="F36" s="1" t="s">
        <v>4</v>
      </c>
      <c r="G36" s="1" t="s">
        <v>2</v>
      </c>
      <c r="H36" s="1" t="s">
        <v>3</v>
      </c>
      <c r="I36" s="1" t="s">
        <v>4</v>
      </c>
    </row>
    <row r="37" spans="2:9" x14ac:dyDescent="0.25">
      <c r="B37" s="1">
        <v>120000</v>
      </c>
      <c r="C37" s="1">
        <f>$J$3/B37</f>
        <v>4.1666666666666665E-5</v>
      </c>
      <c r="D37" s="1">
        <v>3.5</v>
      </c>
      <c r="E37" s="1">
        <v>22</v>
      </c>
      <c r="F37" s="1">
        <v>1.7</v>
      </c>
      <c r="G37" s="16"/>
      <c r="H37" s="15">
        <f>$J$9*LN((C37+$J$10/$J$11)/(C37+0.1*$J$10/$J$11))*1000000</f>
        <v>24.295753063962685</v>
      </c>
      <c r="I37" s="15">
        <f>$J$9*LN(($J$14*(1-EXP(-$J$13/$J$9))+C37)/($J$10/$J$11+C37))*1000000</f>
        <v>6.1478728451718911</v>
      </c>
    </row>
    <row r="38" spans="2:9" x14ac:dyDescent="0.25">
      <c r="B38" s="1">
        <v>188000</v>
      </c>
      <c r="C38" s="1">
        <f t="shared" ref="C38:C42" si="4">$J$3/B38</f>
        <v>2.6595744680851064E-5</v>
      </c>
      <c r="D38" s="1">
        <v>3.4</v>
      </c>
      <c r="E38" s="1">
        <v>23</v>
      </c>
      <c r="F38" s="1">
        <v>2.4</v>
      </c>
      <c r="G38" s="16"/>
      <c r="H38" s="15">
        <f t="shared" ref="H38:H42" si="5">$J$9*LN((C38+$J$10/$J$11)/(C38+0.1*$J$10/$J$11))*1000000</f>
        <v>25.437445122970246</v>
      </c>
      <c r="I38" s="15">
        <f t="shared" ref="I38:I42" si="6">$J$9*LN(($J$14*(1-EXP(-$J$13/$J$9))+C38)/($J$10/$J$11+C38))*1000000</f>
        <v>6.2149968703414338</v>
      </c>
    </row>
    <row r="39" spans="2:9" x14ac:dyDescent="0.25">
      <c r="B39" s="1">
        <v>240000</v>
      </c>
      <c r="C39" s="1">
        <f t="shared" si="4"/>
        <v>2.0833333333333333E-5</v>
      </c>
      <c r="D39" s="1">
        <v>3.2</v>
      </c>
      <c r="E39" s="1">
        <v>25</v>
      </c>
      <c r="F39" s="1">
        <v>2.6</v>
      </c>
      <c r="G39" s="16"/>
      <c r="H39" s="15">
        <f t="shared" si="5"/>
        <v>25.913354121423854</v>
      </c>
      <c r="I39" s="15">
        <f t="shared" si="6"/>
        <v>6.2410595110128293</v>
      </c>
    </row>
    <row r="40" spans="2:9" x14ac:dyDescent="0.25">
      <c r="B40" s="1">
        <v>308000</v>
      </c>
      <c r="C40" s="1">
        <f t="shared" si="4"/>
        <v>1.6233766233766234E-5</v>
      </c>
      <c r="D40" s="1">
        <v>3.2</v>
      </c>
      <c r="E40" s="1">
        <v>26</v>
      </c>
      <c r="F40" s="1">
        <v>2.6</v>
      </c>
      <c r="G40" s="16"/>
      <c r="H40" s="15">
        <f t="shared" si="5"/>
        <v>26.311014316483025</v>
      </c>
      <c r="I40" s="15">
        <f t="shared" si="6"/>
        <v>6.2620236552125412</v>
      </c>
    </row>
    <row r="41" spans="2:9" x14ac:dyDescent="0.25">
      <c r="B41" s="1">
        <v>360000</v>
      </c>
      <c r="C41" s="1">
        <f t="shared" si="4"/>
        <v>1.388888888888889E-5</v>
      </c>
      <c r="D41" s="1">
        <v>3.5</v>
      </c>
      <c r="E41" s="1">
        <v>25</v>
      </c>
      <c r="F41" s="1">
        <v>2.4</v>
      </c>
      <c r="G41" s="16"/>
      <c r="H41" s="15">
        <f t="shared" si="5"/>
        <v>26.520251807363881</v>
      </c>
      <c r="I41" s="15">
        <f t="shared" si="6"/>
        <v>6.2727667643860157</v>
      </c>
    </row>
    <row r="42" spans="2:9" x14ac:dyDescent="0.25">
      <c r="B42" s="1">
        <v>428000</v>
      </c>
      <c r="C42" s="1">
        <f t="shared" si="4"/>
        <v>1.1682242990654205E-5</v>
      </c>
      <c r="D42" s="1">
        <v>3.3</v>
      </c>
      <c r="E42" s="1">
        <v>26</v>
      </c>
      <c r="F42" s="1">
        <v>2.2999999999999998</v>
      </c>
      <c r="G42" s="16"/>
      <c r="H42" s="15">
        <f t="shared" si="5"/>
        <v>26.72137870128552</v>
      </c>
      <c r="I42" s="15">
        <f t="shared" si="6"/>
        <v>6.2829110380208641</v>
      </c>
    </row>
    <row r="43" spans="2:9" x14ac:dyDescent="0.25">
      <c r="B43" s="3"/>
      <c r="C43" s="3"/>
      <c r="D43" s="3"/>
      <c r="E43" s="3"/>
      <c r="F43" s="3"/>
    </row>
    <row r="44" spans="2:9" x14ac:dyDescent="0.25">
      <c r="B44" s="3"/>
      <c r="C44" s="3"/>
      <c r="D44" s="3"/>
      <c r="E44" s="3"/>
      <c r="F44" s="3"/>
    </row>
    <row r="45" spans="2:9" x14ac:dyDescent="0.25">
      <c r="B45" s="3"/>
      <c r="C45" s="3"/>
      <c r="D45" s="3"/>
      <c r="E45" s="3"/>
      <c r="F45" s="3"/>
    </row>
    <row r="46" spans="2:9" x14ac:dyDescent="0.25">
      <c r="B46" s="3"/>
      <c r="C46" s="3"/>
      <c r="D46" s="3"/>
      <c r="E46" s="3"/>
      <c r="F46" s="3"/>
    </row>
    <row r="47" spans="2:9" x14ac:dyDescent="0.25">
      <c r="B47" s="3"/>
      <c r="C47" s="3"/>
      <c r="D47" s="3"/>
      <c r="E47" s="3"/>
      <c r="F47" s="3"/>
    </row>
    <row r="48" spans="2:9" x14ac:dyDescent="0.25">
      <c r="B48" s="3"/>
      <c r="C48" s="3"/>
      <c r="D48" s="3"/>
      <c r="E48" s="3"/>
      <c r="F48" s="3"/>
    </row>
    <row r="50" spans="2:9" x14ac:dyDescent="0.25">
      <c r="B50" s="27" t="s">
        <v>15</v>
      </c>
      <c r="C50" s="27"/>
      <c r="D50" s="27"/>
      <c r="E50" s="27"/>
      <c r="F50" s="27"/>
      <c r="G50" s="18" t="s">
        <v>18</v>
      </c>
      <c r="H50" s="18"/>
      <c r="I50" s="18"/>
    </row>
    <row r="51" spans="2:9" x14ac:dyDescent="0.25">
      <c r="B51" s="1" t="s">
        <v>9</v>
      </c>
      <c r="C51" s="1" t="s">
        <v>16</v>
      </c>
      <c r="D51" s="1" t="s">
        <v>2</v>
      </c>
      <c r="E51" s="1" t="s">
        <v>3</v>
      </c>
      <c r="F51" s="1" t="s">
        <v>4</v>
      </c>
      <c r="G51" s="1" t="s">
        <v>2</v>
      </c>
      <c r="H51" s="1" t="s">
        <v>3</v>
      </c>
      <c r="I51" s="1" t="s">
        <v>4</v>
      </c>
    </row>
    <row r="52" spans="2:9" x14ac:dyDescent="0.25">
      <c r="B52" s="1">
        <v>680</v>
      </c>
      <c r="C52" s="1">
        <f>$J$8/B52</f>
        <v>3.6764705882352942E-2</v>
      </c>
      <c r="D52" s="1">
        <v>9</v>
      </c>
      <c r="E52" s="1">
        <v>26</v>
      </c>
      <c r="F52" s="1">
        <v>0</v>
      </c>
      <c r="G52" s="15">
        <f>$J$9*LN($J$14/($J$14-0.9*C52/$J$11))*1000000</f>
        <v>9.6916429928769308</v>
      </c>
      <c r="H52" s="15">
        <f>$J$9*LN(($J$12+C52/$J$11)/($J$12+0.1*C52/$J$11))*1000000</f>
        <v>27.046124158151166</v>
      </c>
      <c r="I52" s="15">
        <v>0</v>
      </c>
    </row>
    <row r="53" spans="2:9" x14ac:dyDescent="0.25">
      <c r="B53" s="1">
        <v>1000</v>
      </c>
      <c r="C53" s="1">
        <f t="shared" ref="C53:C57" si="7">$J$8/B53</f>
        <v>2.5000000000000001E-2</v>
      </c>
      <c r="D53" s="1">
        <v>3.9</v>
      </c>
      <c r="E53" s="1">
        <v>25</v>
      </c>
      <c r="F53" s="1">
        <v>2</v>
      </c>
      <c r="G53" s="15">
        <f t="shared" ref="G53:G56" si="8">$J$9*LN($J$14/($J$14-0.9*C53/$J$11))*1000000</f>
        <v>5.6822081048434718</v>
      </c>
      <c r="H53" s="15">
        <f t="shared" ref="H53:H57" si="9">$J$9*LN(($J$12+C53/$J$11)/($J$12+0.1*C53/$J$11))*1000000</f>
        <v>26.684814957935863</v>
      </c>
      <c r="I53" s="15">
        <f t="shared" ref="I53:I57" si="10">$J$9*LN(($J$14*(1-EXP(-$J$13/$J$9))+$J$12)/(C53/$J$11+$J$12))*1000000</f>
        <v>3.6014488080201907</v>
      </c>
    </row>
    <row r="54" spans="2:9" x14ac:dyDescent="0.25">
      <c r="B54" s="1">
        <v>1160</v>
      </c>
      <c r="C54" s="1">
        <f t="shared" si="7"/>
        <v>2.1551724137931036E-2</v>
      </c>
      <c r="D54" s="1">
        <v>3.2</v>
      </c>
      <c r="E54" s="1">
        <v>25</v>
      </c>
      <c r="F54" s="1">
        <v>2.6</v>
      </c>
      <c r="G54" s="15">
        <f t="shared" si="8"/>
        <v>4.7210976292215392</v>
      </c>
      <c r="H54" s="15">
        <f t="shared" si="9"/>
        <v>26.50908078609806</v>
      </c>
      <c r="I54" s="15">
        <f t="shared" si="10"/>
        <v>5.3753853227289419</v>
      </c>
    </row>
    <row r="55" spans="2:9" x14ac:dyDescent="0.25">
      <c r="B55" s="1">
        <v>1330</v>
      </c>
      <c r="C55" s="1">
        <f t="shared" si="7"/>
        <v>1.8796992481203006E-2</v>
      </c>
      <c r="D55" s="1">
        <v>2.9</v>
      </c>
      <c r="E55" s="1">
        <v>24</v>
      </c>
      <c r="F55" s="1">
        <v>3.6</v>
      </c>
      <c r="G55" s="15">
        <f t="shared" si="8"/>
        <v>4.0046318418882452</v>
      </c>
      <c r="H55" s="15">
        <f t="shared" si="9"/>
        <v>26.325799174194675</v>
      </c>
      <c r="I55" s="15">
        <f t="shared" si="10"/>
        <v>7.0068948471104155</v>
      </c>
    </row>
    <row r="56" spans="2:9" x14ac:dyDescent="0.25">
      <c r="B56" s="1">
        <v>1680</v>
      </c>
      <c r="C56" s="1">
        <f t="shared" si="7"/>
        <v>1.488095238095238E-2</v>
      </c>
      <c r="D56" s="1">
        <v>2.4</v>
      </c>
      <c r="E56" s="1">
        <v>25</v>
      </c>
      <c r="F56" s="1">
        <v>4.2</v>
      </c>
      <c r="G56" s="15">
        <f t="shared" si="8"/>
        <v>3.0540318653035912</v>
      </c>
      <c r="H56" s="15">
        <f t="shared" si="9"/>
        <v>25.959103723739688</v>
      </c>
      <c r="I56" s="15">
        <f t="shared" si="10"/>
        <v>9.785858776738964</v>
      </c>
    </row>
    <row r="57" spans="2:9" x14ac:dyDescent="0.25">
      <c r="B57" s="1">
        <v>2000</v>
      </c>
      <c r="C57" s="1">
        <f t="shared" si="7"/>
        <v>1.2500000000000001E-2</v>
      </c>
      <c r="D57" s="2">
        <v>1.6</v>
      </c>
      <c r="E57" s="1">
        <v>23</v>
      </c>
      <c r="F57" s="1">
        <v>4.5999999999999996</v>
      </c>
      <c r="G57" s="15">
        <f>$J$9*LN($J$14/($J$14-0.9*C57/$J$11))*1000000</f>
        <v>2.5105761585439361</v>
      </c>
      <c r="H57" s="15">
        <f t="shared" si="9"/>
        <v>25.635711085568687</v>
      </c>
      <c r="I57" s="15">
        <f t="shared" si="10"/>
        <v>11.852018523215767</v>
      </c>
    </row>
    <row r="58" spans="2:9" x14ac:dyDescent="0.25">
      <c r="B58" s="1" t="s">
        <v>24</v>
      </c>
      <c r="C58" s="1"/>
      <c r="D58" s="1"/>
      <c r="E58" s="1"/>
      <c r="F58" s="1"/>
      <c r="G58" s="15"/>
      <c r="H58" s="15"/>
      <c r="I58" s="15"/>
    </row>
    <row r="64" spans="2:9" x14ac:dyDescent="0.25">
      <c r="B64" s="23"/>
    </row>
    <row r="65" spans="1:9" x14ac:dyDescent="0.25">
      <c r="B65" s="31" t="s">
        <v>22</v>
      </c>
      <c r="C65" s="29"/>
      <c r="D65" s="29"/>
      <c r="E65" s="29"/>
      <c r="F65" s="29"/>
      <c r="G65" s="18" t="s">
        <v>18</v>
      </c>
      <c r="H65" s="18"/>
      <c r="I65" s="18"/>
    </row>
    <row r="66" spans="1:9" x14ac:dyDescent="0.25">
      <c r="B66" s="1" t="s">
        <v>23</v>
      </c>
      <c r="C66" s="1" t="s">
        <v>19</v>
      </c>
      <c r="D66" s="1" t="s">
        <v>2</v>
      </c>
      <c r="E66" s="1" t="s">
        <v>3</v>
      </c>
      <c r="F66" s="1" t="s">
        <v>4</v>
      </c>
      <c r="G66" s="1" t="s">
        <v>2</v>
      </c>
      <c r="H66" s="1" t="s">
        <v>3</v>
      </c>
      <c r="I66" s="1" t="s">
        <v>4</v>
      </c>
    </row>
    <row r="67" spans="1:9" x14ac:dyDescent="0.25">
      <c r="B67" s="22">
        <v>6.8000000000000003E-10</v>
      </c>
      <c r="C67" s="1">
        <f>B67*$J$5*$J$4/($J$5+$J$4)</f>
        <v>3.7090909090909088E-7</v>
      </c>
      <c r="D67" s="22">
        <v>2.9999999999999999E-7</v>
      </c>
      <c r="E67" s="22">
        <v>3.3000000000000002E-6</v>
      </c>
      <c r="F67" s="22">
        <v>9.9999999999999995E-8</v>
      </c>
      <c r="G67" s="22">
        <f>C67*LN($J$14/($J$14-0.9*$J$10/$J$11))</f>
        <v>1.3218809089877854E-7</v>
      </c>
      <c r="H67" s="22">
        <f>C67*LN(($J$12+$J$10/$J$11)/($J$12+0.1*$J$10/$J$11))</f>
        <v>8.0961226626873885E-7</v>
      </c>
      <c r="I67" s="22">
        <f>C67*LN(($J$14*(1-EXP(-$J$13/C67))+$J$12)/($J$10/$J$11+$J$12))</f>
        <v>4.0421774709994098E-7</v>
      </c>
    </row>
    <row r="68" spans="1:9" x14ac:dyDescent="0.25">
      <c r="B68" s="22">
        <v>1.5E-9</v>
      </c>
      <c r="C68" s="1">
        <f t="shared" ref="C68:C70" si="11">B68*$J$5*$J$4/($J$5+$J$4)</f>
        <v>8.1818181818181813E-7</v>
      </c>
      <c r="D68" s="22">
        <v>2.4999999999999999E-7</v>
      </c>
      <c r="E68" s="22">
        <v>2.7999999999999999E-6</v>
      </c>
      <c r="F68" s="22">
        <v>8.0000000000000002E-8</v>
      </c>
      <c r="G68" s="22">
        <f t="shared" ref="G68:G70" si="12">C68*LN($J$14/($J$14-0.9*$J$10/$J$11))</f>
        <v>2.9159137698259972E-7</v>
      </c>
      <c r="H68" s="22">
        <f t="shared" ref="H68:H70" si="13">C68*LN(($J$12+$J$10/$J$11)/($J$12+0.1*$J$10/$J$11))</f>
        <v>1.7859094108869239E-6</v>
      </c>
      <c r="I68" s="22">
        <f t="shared" ref="I68:I70" si="14">C68*LN(($J$14*(1-EXP(-$J$13/C68))+$J$12)/($J$10/$J$11+$J$12))</f>
        <v>8.9165278883562132E-7</v>
      </c>
    </row>
    <row r="69" spans="1:9" x14ac:dyDescent="0.25">
      <c r="B69" s="22">
        <v>3E-9</v>
      </c>
      <c r="C69" s="1">
        <f t="shared" si="11"/>
        <v>1.6363636363636363E-6</v>
      </c>
      <c r="D69" s="22">
        <v>9.9999999999999995E-8</v>
      </c>
      <c r="E69" s="22">
        <v>2.2000000000000001E-6</v>
      </c>
      <c r="F69" s="22">
        <v>2E-8</v>
      </c>
      <c r="G69" s="22">
        <f t="shared" si="12"/>
        <v>5.8318275396519944E-7</v>
      </c>
      <c r="H69" s="22">
        <f t="shared" si="13"/>
        <v>3.5718188217738478E-6</v>
      </c>
      <c r="I69" s="22">
        <f t="shared" si="14"/>
        <v>1.779697265075617E-6</v>
      </c>
    </row>
    <row r="70" spans="1:9" x14ac:dyDescent="0.25">
      <c r="B70" s="22">
        <v>5.1000000000000002E-9</v>
      </c>
      <c r="C70" s="1">
        <f t="shared" si="11"/>
        <v>2.7818181818181817E-6</v>
      </c>
      <c r="D70" s="22">
        <v>4.9999999999999998E-8</v>
      </c>
      <c r="E70" s="22">
        <v>1.9999999999999999E-7</v>
      </c>
      <c r="F70" s="22">
        <v>1E-8</v>
      </c>
      <c r="G70" s="22">
        <f t="shared" si="12"/>
        <v>9.9141068174083899E-7</v>
      </c>
      <c r="H70" s="22">
        <f t="shared" si="13"/>
        <v>6.0720919970155417E-6</v>
      </c>
      <c r="I70" s="22">
        <f t="shared" si="14"/>
        <v>2.9545296454141819E-6</v>
      </c>
    </row>
    <row r="72" spans="1:9" x14ac:dyDescent="0.25">
      <c r="B72" s="26" t="s">
        <v>22</v>
      </c>
      <c r="C72" s="26"/>
      <c r="D72" s="26"/>
      <c r="E72" s="26"/>
      <c r="F72" s="26"/>
      <c r="G72" s="18" t="s">
        <v>25</v>
      </c>
      <c r="H72" s="18"/>
      <c r="I72" s="18"/>
    </row>
    <row r="73" spans="1:9" x14ac:dyDescent="0.25">
      <c r="A73" s="25" t="s">
        <v>27</v>
      </c>
      <c r="B73" s="1" t="s">
        <v>26</v>
      </c>
      <c r="C73" s="1" t="s">
        <v>19</v>
      </c>
      <c r="D73" s="1" t="s">
        <v>2</v>
      </c>
      <c r="E73" s="1" t="s">
        <v>3</v>
      </c>
      <c r="F73" s="1" t="s">
        <v>4</v>
      </c>
      <c r="G73" s="1" t="s">
        <v>2</v>
      </c>
      <c r="H73" s="1" t="s">
        <v>3</v>
      </c>
      <c r="I73" s="1" t="s">
        <v>4</v>
      </c>
    </row>
    <row r="74" spans="1:9" x14ac:dyDescent="0.25">
      <c r="A74" s="7">
        <f>B74*1000000000</f>
        <v>0.68</v>
      </c>
      <c r="B74" s="22">
        <v>6.8000000000000003E-10</v>
      </c>
      <c r="C74" s="1">
        <f>B74*$J$5*$J$4/($J$5+$J$4)</f>
        <v>3.7090909090909088E-7</v>
      </c>
      <c r="D74" s="2">
        <f>D67*100000</f>
        <v>0.03</v>
      </c>
      <c r="E74" s="2">
        <f t="shared" ref="E74" si="15">E67*100000</f>
        <v>0.33</v>
      </c>
      <c r="F74" s="2">
        <f>F67*1000000</f>
        <v>9.9999999999999992E-2</v>
      </c>
      <c r="G74" s="15">
        <f>C74*LN($J$14/($J$14-0.9*$J$10/$J$11))*1000000</f>
        <v>0.13218809089877853</v>
      </c>
      <c r="H74" s="15">
        <f>C74*LN(($J$12+$J$10/$J$11)/($J$12+0.1*$J$10/$J$11))*1000000</f>
        <v>0.80961226626873883</v>
      </c>
      <c r="I74" s="15">
        <f>C74*LN(($J$14*(1-EXP(-$J$13/C74))+$J$12)/($J$10/$J$11+$J$12))*1000000</f>
        <v>0.40421774709994096</v>
      </c>
    </row>
    <row r="75" spans="1:9" x14ac:dyDescent="0.25">
      <c r="A75" s="7">
        <f t="shared" ref="A75:A77" si="16">B75*1000000000</f>
        <v>1.5</v>
      </c>
      <c r="B75" s="22">
        <v>1.5E-9</v>
      </c>
      <c r="C75" s="1">
        <f t="shared" ref="C75:C77" si="17">B75*$J$5*$J$4/($J$5+$J$4)</f>
        <v>8.1818181818181813E-7</v>
      </c>
      <c r="D75" s="2">
        <f t="shared" ref="D75:E75" si="18">D68*100000</f>
        <v>2.4999999999999998E-2</v>
      </c>
      <c r="E75" s="2">
        <f t="shared" si="18"/>
        <v>0.27999999999999997</v>
      </c>
      <c r="F75" s="2">
        <f t="shared" ref="F75:F77" si="19">F68*1000000</f>
        <v>0.08</v>
      </c>
      <c r="G75" s="15">
        <f t="shared" ref="G75:G77" si="20">C75*LN($J$14/($J$14-0.9*$J$10/$J$11))*1000000</f>
        <v>0.29159137698259974</v>
      </c>
      <c r="H75" s="15">
        <f t="shared" ref="H75:H77" si="21">C75*LN(($J$12+$J$10/$J$11)/($J$12+0.1*$J$10/$J$11))*1000000</f>
        <v>1.785909410886924</v>
      </c>
      <c r="I75" s="15">
        <f t="shared" ref="I75:I77" si="22">C75*LN(($J$14*(1-EXP(-$J$13/C75))+$J$12)/($J$10/$J$11+$J$12))*1000000</f>
        <v>0.89165278883562127</v>
      </c>
    </row>
    <row r="76" spans="1:9" x14ac:dyDescent="0.25">
      <c r="A76" s="7">
        <f t="shared" si="16"/>
        <v>3</v>
      </c>
      <c r="B76" s="22">
        <v>3E-9</v>
      </c>
      <c r="C76" s="1">
        <f t="shared" si="17"/>
        <v>1.6363636363636363E-6</v>
      </c>
      <c r="D76" s="2">
        <f t="shared" ref="D76:E76" si="23">D69*100000</f>
        <v>0.01</v>
      </c>
      <c r="E76" s="2">
        <f t="shared" si="23"/>
        <v>0.22</v>
      </c>
      <c r="F76" s="2">
        <f t="shared" si="19"/>
        <v>0.02</v>
      </c>
      <c r="G76" s="15">
        <f t="shared" si="20"/>
        <v>0.58318275396519947</v>
      </c>
      <c r="H76" s="15">
        <f t="shared" si="21"/>
        <v>3.571818821773848</v>
      </c>
      <c r="I76" s="15">
        <f t="shared" si="22"/>
        <v>1.7796972650756169</v>
      </c>
    </row>
    <row r="77" spans="1:9" x14ac:dyDescent="0.25">
      <c r="A77" s="7">
        <f t="shared" si="16"/>
        <v>5.1000000000000005</v>
      </c>
      <c r="B77" s="22">
        <v>5.1000000000000002E-9</v>
      </c>
      <c r="C77" s="1">
        <f t="shared" si="17"/>
        <v>2.7818181818181817E-6</v>
      </c>
      <c r="D77" s="2">
        <f t="shared" ref="D77:E77" si="24">D70*100000</f>
        <v>5.0000000000000001E-3</v>
      </c>
      <c r="E77" s="2">
        <f t="shared" si="24"/>
        <v>0.02</v>
      </c>
      <c r="F77" s="2">
        <f t="shared" si="19"/>
        <v>0.01</v>
      </c>
      <c r="G77" s="15">
        <f t="shared" si="20"/>
        <v>0.99141068174083902</v>
      </c>
      <c r="H77" s="15">
        <f t="shared" si="21"/>
        <v>6.0720919970155416</v>
      </c>
      <c r="I77" s="15">
        <f t="shared" si="22"/>
        <v>2.9545296454141821</v>
      </c>
    </row>
    <row r="78" spans="1:9" x14ac:dyDescent="0.25">
      <c r="C78" s="3"/>
      <c r="D78" s="3"/>
      <c r="E78" s="3"/>
      <c r="F78" s="3"/>
      <c r="G78" s="3"/>
      <c r="H78" s="3"/>
    </row>
    <row r="79" spans="1:9" x14ac:dyDescent="0.25">
      <c r="C79" s="3"/>
      <c r="D79" s="3"/>
      <c r="E79" s="3"/>
      <c r="F79" s="3"/>
      <c r="G79" s="3"/>
      <c r="H79" s="3"/>
    </row>
    <row r="80" spans="1:9" x14ac:dyDescent="0.25">
      <c r="C80" s="3"/>
      <c r="D80" s="3"/>
      <c r="E80" s="3"/>
      <c r="F80" s="3"/>
      <c r="G80" s="3"/>
      <c r="H80" s="3"/>
    </row>
    <row r="81" spans="16:19" x14ac:dyDescent="0.25">
      <c r="P81" s="24"/>
      <c r="Q81" s="3"/>
      <c r="R81" s="3"/>
      <c r="S81" s="3"/>
    </row>
    <row r="82" spans="16:19" x14ac:dyDescent="0.25">
      <c r="P82" s="24"/>
      <c r="Q82" s="3"/>
      <c r="R82" s="3"/>
      <c r="S82" s="3"/>
    </row>
    <row r="83" spans="16:19" x14ac:dyDescent="0.25">
      <c r="P83" s="24"/>
      <c r="Q83" s="3"/>
      <c r="R83" s="3"/>
      <c r="S83" s="3"/>
    </row>
    <row r="84" spans="16:19" x14ac:dyDescent="0.25">
      <c r="P84" s="24"/>
      <c r="Q84" s="3"/>
      <c r="R84" s="3"/>
      <c r="S84" s="3"/>
    </row>
  </sheetData>
  <mergeCells count="6">
    <mergeCell ref="B72:F72"/>
    <mergeCell ref="B20:F20"/>
    <mergeCell ref="B35:F35"/>
    <mergeCell ref="B50:F50"/>
    <mergeCell ref="B2:E2"/>
    <mergeCell ref="B65:F6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2016-12-20T09:18:26Z</dcterms:modified>
</cp:coreProperties>
</file>