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pgindustriesinc-my.sharepoint.com/personal/jrong_ppg_com/Documents/Riva/Dawn Project/bodyshop/BIA Investment/"/>
    </mc:Choice>
  </mc:AlternateContent>
  <xr:revisionPtr revIDLastSave="141" documentId="8_{EB25F73E-1093-437A-B092-48AA77CED7B7}" xr6:coauthVersionLast="47" xr6:coauthVersionMax="47" xr10:uidLastSave="{44F94497-9703-4C5C-9672-64E64AE91D94}"/>
  <bookViews>
    <workbookView xWindow="-108" yWindow="-108" windowWidth="23256" windowHeight="12456" xr2:uid="{B86A4835-249D-4C0B-9069-B8BE8E5EE829}"/>
  </bookViews>
  <sheets>
    <sheet name="Template" sheetId="1" r:id="rId1"/>
    <sheet name="change" sheetId="3" r:id="rId2"/>
    <sheet name="MM&amp;MSO项目信息" sheetId="9" r:id="rId3"/>
    <sheet name="设备借用分摊明细" sheetId="4" r:id="rId4"/>
    <sheet name="免费物料申请表" sheetId="5" r:id="rId5"/>
    <sheet name="设备投入清单" sheetId="7" r:id="rId6"/>
    <sheet name="selection" sheetId="2" r:id="rId7"/>
  </sheets>
  <definedNames>
    <definedName name="_xlnm._FilterDatabase" localSheetId="2" hidden="1">'MM&amp;MSO项目信息'!$A$1:$A$40</definedName>
    <definedName name="_xlnm._FilterDatabase" localSheetId="5" hidden="1">设备投入清单!$A$1:$I$86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1" l="1"/>
  <c r="C167" i="1"/>
  <c r="D167" i="1"/>
  <c r="E167" i="1"/>
  <c r="F167" i="1"/>
  <c r="C160" i="1"/>
  <c r="D160" i="1"/>
  <c r="E160" i="1"/>
  <c r="F160" i="1"/>
  <c r="C166" i="1"/>
  <c r="D166" i="1"/>
  <c r="E166" i="1"/>
  <c r="F166" i="1"/>
  <c r="B166" i="1"/>
  <c r="B167" i="1"/>
  <c r="B170" i="1" s="1"/>
  <c r="B160" i="1"/>
  <c r="B155" i="1"/>
  <c r="B149" i="1"/>
  <c r="B157" i="1"/>
  <c r="C153" i="1"/>
  <c r="D153" i="1"/>
  <c r="E153" i="1"/>
  <c r="F153" i="1"/>
  <c r="B153" i="1"/>
  <c r="J18" i="4"/>
  <c r="K18" i="4"/>
  <c r="L18" i="4" s="1"/>
  <c r="N18" i="4" s="1"/>
  <c r="J19" i="4"/>
  <c r="K19" i="4"/>
  <c r="L19" i="4"/>
  <c r="M19" i="4"/>
  <c r="N19" i="4"/>
  <c r="J20" i="4"/>
  <c r="K20" i="4"/>
  <c r="L20" i="4" s="1"/>
  <c r="N20" i="4" s="1"/>
  <c r="J21" i="4"/>
  <c r="K21" i="4"/>
  <c r="L21" i="4"/>
  <c r="M21" i="4"/>
  <c r="N21" i="4"/>
  <c r="J22" i="4"/>
  <c r="K22" i="4"/>
  <c r="L22" i="4"/>
  <c r="N22" i="4" s="1"/>
  <c r="M22" i="4"/>
  <c r="J23" i="4"/>
  <c r="L23" i="4" s="1"/>
  <c r="N23" i="4" s="1"/>
  <c r="K23" i="4"/>
  <c r="M23" i="4"/>
  <c r="J24" i="4"/>
  <c r="K24" i="4"/>
  <c r="L24" i="4"/>
  <c r="M24" i="4"/>
  <c r="N24" i="4"/>
  <c r="J25" i="4"/>
  <c r="L25" i="4" s="1"/>
  <c r="N25" i="4" s="1"/>
  <c r="K25" i="4"/>
  <c r="M25" i="4" s="1"/>
  <c r="J26" i="4"/>
  <c r="K26" i="4"/>
  <c r="L26" i="4"/>
  <c r="M26" i="4"/>
  <c r="N26" i="4"/>
  <c r="J27" i="4"/>
  <c r="K27" i="4"/>
  <c r="M27" i="4" s="1"/>
  <c r="J28" i="4"/>
  <c r="K28" i="4"/>
  <c r="L28" i="4"/>
  <c r="M28" i="4"/>
  <c r="N28" i="4"/>
  <c r="J29" i="4"/>
  <c r="K29" i="4"/>
  <c r="L29" i="4"/>
  <c r="M29" i="4"/>
  <c r="N29" i="4"/>
  <c r="N17" i="4"/>
  <c r="M17" i="4"/>
  <c r="L17" i="4"/>
  <c r="K17" i="4"/>
  <c r="J17" i="4"/>
  <c r="M18" i="4" l="1"/>
  <c r="L27" i="4"/>
  <c r="N27" i="4" s="1"/>
  <c r="M20" i="4"/>
  <c r="B210" i="1" l="1"/>
  <c r="C210" i="1"/>
  <c r="B165" i="1"/>
  <c r="M5" i="4"/>
  <c r="M6" i="4"/>
  <c r="M7" i="4"/>
  <c r="M8" i="4"/>
  <c r="M9" i="4"/>
  <c r="M10" i="4"/>
  <c r="M11" i="4"/>
  <c r="M12" i="4"/>
  <c r="M13" i="4"/>
  <c r="M4" i="4"/>
  <c r="L5" i="4"/>
  <c r="L6" i="4"/>
  <c r="L7" i="4"/>
  <c r="L8" i="4"/>
  <c r="L9" i="4"/>
  <c r="L10" i="4"/>
  <c r="L11" i="4"/>
  <c r="L12" i="4"/>
  <c r="L13" i="4"/>
  <c r="L4" i="4"/>
  <c r="N4" i="4" s="1"/>
  <c r="B159" i="1"/>
  <c r="J5" i="4"/>
  <c r="B132" i="1"/>
  <c r="B54" i="1"/>
  <c r="B96" i="1"/>
  <c r="C78" i="1"/>
  <c r="C79" i="1"/>
  <c r="F11" i="5"/>
  <c r="C77" i="1"/>
  <c r="C75" i="1"/>
  <c r="H5" i="4"/>
  <c r="H4" i="4"/>
  <c r="G4" i="4"/>
  <c r="E67" i="1"/>
  <c r="E63" i="1"/>
  <c r="B31" i="1"/>
  <c r="C91" i="1"/>
  <c r="C76" i="1"/>
  <c r="J6" i="4"/>
  <c r="J7" i="4"/>
  <c r="J8" i="4"/>
  <c r="J9" i="4"/>
  <c r="J10" i="4"/>
  <c r="J11" i="4"/>
  <c r="J12" i="4"/>
  <c r="J13" i="4"/>
  <c r="F5" i="4"/>
  <c r="F4" i="4"/>
  <c r="J4" i="4" l="1"/>
  <c r="C92" i="1" l="1"/>
  <c r="C90" i="1"/>
  <c r="G169" i="1"/>
  <c r="C140" i="1" l="1"/>
  <c r="D140" i="1"/>
  <c r="E140" i="1"/>
  <c r="F140" i="1"/>
  <c r="B140" i="1"/>
  <c r="B139" i="1"/>
  <c r="B138" i="1" s="1"/>
  <c r="C139" i="1"/>
  <c r="C138" i="1" s="1"/>
  <c r="D139" i="1"/>
  <c r="D138" i="1" s="1"/>
  <c r="E139" i="1"/>
  <c r="E138" i="1" s="1"/>
  <c r="F139" i="1"/>
  <c r="F138" i="1" s="1"/>
  <c r="B136" i="1"/>
  <c r="B135" i="1"/>
  <c r="E5" i="4"/>
  <c r="B137" i="1" l="1"/>
  <c r="G138" i="1"/>
  <c r="B158" i="1"/>
  <c r="B162" i="1" s="1"/>
  <c r="B174" i="1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C135" i="1" l="1"/>
  <c r="D135" i="1"/>
  <c r="E135" i="1"/>
  <c r="F135" i="1"/>
  <c r="C136" i="1"/>
  <c r="D136" i="1"/>
  <c r="E136" i="1"/>
  <c r="F136" i="1"/>
  <c r="G2" i="7" l="1"/>
  <c r="G146" i="1"/>
  <c r="G161" i="1"/>
  <c r="B201" i="1" l="1"/>
  <c r="B200" i="1"/>
  <c r="C137" i="1"/>
  <c r="D137" i="1"/>
  <c r="E137" i="1"/>
  <c r="F137" i="1"/>
  <c r="G139" i="1"/>
  <c r="D64" i="1"/>
  <c r="D65" i="1"/>
  <c r="G135" i="1" l="1"/>
  <c r="G136" i="1"/>
  <c r="A112" i="1"/>
  <c r="B112" i="1" s="1"/>
  <c r="A111" i="1"/>
  <c r="B111" i="1" s="1"/>
  <c r="C103" i="1"/>
  <c r="C104" i="1" s="1"/>
  <c r="B103" i="1"/>
  <c r="B104" i="1" s="1"/>
  <c r="F111" i="1" l="1"/>
  <c r="G111" i="1"/>
  <c r="C111" i="1"/>
  <c r="D111" i="1"/>
  <c r="E111" i="1"/>
  <c r="D112" i="1"/>
  <c r="E112" i="1"/>
  <c r="F112" i="1"/>
  <c r="G112" i="1"/>
  <c r="C112" i="1"/>
  <c r="A108" i="1" l="1"/>
  <c r="B108" i="1" s="1"/>
  <c r="A107" i="1"/>
  <c r="B107" i="1" s="1"/>
  <c r="G93" i="1"/>
  <c r="G92" i="1" s="1"/>
  <c r="F93" i="1"/>
  <c r="F92" i="1" s="1"/>
  <c r="E93" i="1"/>
  <c r="E91" i="1" s="1"/>
  <c r="E72" i="1" s="1"/>
  <c r="D93" i="1"/>
  <c r="D91" i="1" s="1"/>
  <c r="D72" i="1" s="1"/>
  <c r="C93" i="1"/>
  <c r="F98" i="1" l="1"/>
  <c r="E151" i="1"/>
  <c r="G98" i="1"/>
  <c r="F151" i="1"/>
  <c r="G107" i="1"/>
  <c r="F107" i="1"/>
  <c r="E107" i="1"/>
  <c r="D107" i="1"/>
  <c r="C107" i="1"/>
  <c r="E108" i="1"/>
  <c r="D108" i="1"/>
  <c r="C108" i="1"/>
  <c r="G108" i="1"/>
  <c r="F108" i="1"/>
  <c r="B151" i="1"/>
  <c r="D92" i="1"/>
  <c r="E92" i="1"/>
  <c r="D97" i="1"/>
  <c r="G91" i="1"/>
  <c r="F91" i="1"/>
  <c r="E97" i="1"/>
  <c r="C82" i="1"/>
  <c r="C81" i="1"/>
  <c r="E98" i="1" l="1"/>
  <c r="D151" i="1"/>
  <c r="D98" i="1"/>
  <c r="C151" i="1"/>
  <c r="F97" i="1"/>
  <c r="F72" i="1"/>
  <c r="G97" i="1"/>
  <c r="G72" i="1"/>
  <c r="B150" i="1"/>
  <c r="C85" i="1"/>
  <c r="F6" i="4" l="1"/>
  <c r="F7" i="4"/>
  <c r="F8" i="4"/>
  <c r="F9" i="4"/>
  <c r="F10" i="4"/>
  <c r="F11" i="4"/>
  <c r="F12" i="4"/>
  <c r="F13" i="4"/>
  <c r="E4" i="4" l="1"/>
  <c r="D67" i="7"/>
  <c r="D68" i="7" s="1"/>
  <c r="D69" i="7" s="1"/>
  <c r="D70" i="7" s="1"/>
  <c r="D71" i="7" s="1"/>
  <c r="D65" i="7"/>
  <c r="D40" i="7"/>
  <c r="D41" i="7" s="1"/>
  <c r="D42" i="7" s="1"/>
  <c r="D43" i="7" s="1"/>
  <c r="D9" i="7"/>
  <c r="D7" i="7"/>
  <c r="D4" i="7"/>
  <c r="D5" i="7" s="1"/>
  <c r="D10" i="7" l="1"/>
  <c r="D11" i="7" s="1"/>
  <c r="D12" i="7" s="1"/>
  <c r="D13" i="7" s="1"/>
  <c r="D14" i="7" s="1"/>
  <c r="D15" i="7" s="1"/>
  <c r="D16" i="7" s="1"/>
  <c r="D17" i="7" s="1"/>
  <c r="C5" i="4"/>
  <c r="C4" i="4"/>
  <c r="G154" i="1"/>
  <c r="F128" i="1"/>
  <c r="E128" i="1"/>
  <c r="D128" i="1"/>
  <c r="C128" i="1"/>
  <c r="B128" i="1"/>
  <c r="G114" i="1"/>
  <c r="F114" i="1"/>
  <c r="E114" i="1"/>
  <c r="D114" i="1"/>
  <c r="C114" i="1"/>
  <c r="G113" i="1"/>
  <c r="F113" i="1"/>
  <c r="E113" i="1"/>
  <c r="D113" i="1"/>
  <c r="C113" i="1"/>
  <c r="G109" i="1"/>
  <c r="F109" i="1"/>
  <c r="E109" i="1"/>
  <c r="D109" i="1"/>
  <c r="C109" i="1"/>
  <c r="E110" i="1" l="1"/>
  <c r="D110" i="1"/>
  <c r="C110" i="1"/>
  <c r="G110" i="1"/>
  <c r="F110" i="1"/>
  <c r="F13" i="5"/>
  <c r="F12" i="5"/>
  <c r="F19" i="5"/>
  <c r="F18" i="5"/>
  <c r="F17" i="5"/>
  <c r="F16" i="5"/>
  <c r="F15" i="5"/>
  <c r="F14" i="5"/>
  <c r="G12" i="4"/>
  <c r="H12" i="4" s="1"/>
  <c r="K13" i="4"/>
  <c r="G13" i="4"/>
  <c r="H13" i="4" s="1"/>
  <c r="K12" i="4"/>
  <c r="K11" i="4"/>
  <c r="G11" i="4"/>
  <c r="H11" i="4" s="1"/>
  <c r="K10" i="4"/>
  <c r="G10" i="4"/>
  <c r="H10" i="4" s="1"/>
  <c r="K9" i="4"/>
  <c r="G9" i="4"/>
  <c r="H9" i="4" s="1"/>
  <c r="K8" i="4"/>
  <c r="G8" i="4"/>
  <c r="H8" i="4" s="1"/>
  <c r="K7" i="4"/>
  <c r="G7" i="4"/>
  <c r="H7" i="4" s="1"/>
  <c r="K6" i="4"/>
  <c r="G6" i="4"/>
  <c r="G5" i="4"/>
  <c r="B84" i="1"/>
  <c r="B83" i="1"/>
  <c r="G82" i="1"/>
  <c r="F82" i="1"/>
  <c r="E82" i="1"/>
  <c r="D82" i="1"/>
  <c r="K5" i="4" l="1"/>
  <c r="H6" i="4"/>
  <c r="D73" i="1"/>
  <c r="D90" i="1"/>
  <c r="C150" i="1" s="1"/>
  <c r="D85" i="1"/>
  <c r="E90" i="1"/>
  <c r="D150" i="1" s="1"/>
  <c r="E85" i="1"/>
  <c r="F90" i="1"/>
  <c r="E150" i="1" s="1"/>
  <c r="F85" i="1"/>
  <c r="G90" i="1"/>
  <c r="F150" i="1" s="1"/>
  <c r="G85" i="1"/>
  <c r="N10" i="4"/>
  <c r="N5" i="4"/>
  <c r="N11" i="4"/>
  <c r="N9" i="4"/>
  <c r="N12" i="4"/>
  <c r="N8" i="4"/>
  <c r="N13" i="4"/>
  <c r="N7" i="4"/>
  <c r="B82" i="1"/>
  <c r="G151" i="1"/>
  <c r="N6" i="4" l="1"/>
  <c r="K4" i="4"/>
  <c r="C72" i="1"/>
  <c r="C97" i="1"/>
  <c r="B182" i="1"/>
  <c r="B75" i="1"/>
  <c r="B85" i="1"/>
  <c r="B79" i="1"/>
  <c r="B80" i="1"/>
  <c r="G150" i="1"/>
  <c r="B78" i="1"/>
  <c r="B81" i="1" s="1"/>
  <c r="E73" i="1"/>
  <c r="G73" i="1"/>
  <c r="F73" i="1"/>
  <c r="C98" i="1" l="1"/>
  <c r="B76" i="1"/>
  <c r="C74" i="1"/>
  <c r="F63" i="1"/>
  <c r="C134" i="1" s="1"/>
  <c r="G63" i="1"/>
  <c r="D134" i="1" s="1"/>
  <c r="H63" i="1"/>
  <c r="E134" i="1" s="1"/>
  <c r="I63" i="1"/>
  <c r="F134" i="1" s="1"/>
  <c r="B134" i="1"/>
  <c r="B74" i="1" l="1"/>
  <c r="B73" i="1" s="1"/>
  <c r="C73" i="1"/>
  <c r="C96" i="1" s="1"/>
  <c r="C99" i="1" s="1"/>
  <c r="G134" i="1"/>
  <c r="B77" i="1" l="1"/>
  <c r="B143" i="1"/>
  <c r="B142" i="1"/>
  <c r="E182" i="1"/>
  <c r="F96" i="1"/>
  <c r="F182" i="1"/>
  <c r="G96" i="1"/>
  <c r="D182" i="1"/>
  <c r="E96" i="1"/>
  <c r="B141" i="1" l="1"/>
  <c r="G99" i="1"/>
  <c r="F99" i="1"/>
  <c r="E99" i="1"/>
  <c r="A65" i="1" l="1"/>
  <c r="B133" i="1" s="1"/>
  <c r="A64" i="1"/>
  <c r="I67" i="1"/>
  <c r="H67" i="1"/>
  <c r="G67" i="1"/>
  <c r="F67" i="1"/>
  <c r="D66" i="1"/>
  <c r="D63" i="1"/>
  <c r="D62" i="1"/>
  <c r="B212" i="1" s="1"/>
  <c r="C62" i="1"/>
  <c r="D54" i="1"/>
  <c r="C54" i="1"/>
  <c r="B20" i="1"/>
  <c r="E132" i="1" l="1"/>
  <c r="B131" i="1"/>
  <c r="B148" i="1" s="1"/>
  <c r="B152" i="1" s="1"/>
  <c r="D131" i="1"/>
  <c r="D132" i="1"/>
  <c r="C131" i="1"/>
  <c r="C132" i="1"/>
  <c r="F131" i="1"/>
  <c r="F132" i="1"/>
  <c r="E131" i="1"/>
  <c r="C133" i="1"/>
  <c r="F133" i="1"/>
  <c r="D133" i="1"/>
  <c r="E133" i="1"/>
  <c r="A135" i="1"/>
  <c r="A132" i="1"/>
  <c r="B202" i="1"/>
  <c r="B192" i="1"/>
  <c r="A136" i="1"/>
  <c r="A133" i="1"/>
  <c r="C142" i="1"/>
  <c r="C143" i="1"/>
  <c r="D143" i="1"/>
  <c r="D142" i="1"/>
  <c r="D141" i="1" s="1"/>
  <c r="E143" i="1"/>
  <c r="E142" i="1"/>
  <c r="E141" i="1" s="1"/>
  <c r="F143" i="1"/>
  <c r="F142" i="1"/>
  <c r="F141" i="1" s="1"/>
  <c r="G137" i="1"/>
  <c r="D67" i="1"/>
  <c r="C67" i="1" s="1"/>
  <c r="C63" i="1"/>
  <c r="C66" i="1"/>
  <c r="G166" i="1" l="1"/>
  <c r="C149" i="1"/>
  <c r="F149" i="1"/>
  <c r="D149" i="1"/>
  <c r="E149" i="1"/>
  <c r="B130" i="1"/>
  <c r="G133" i="1"/>
  <c r="G132" i="1"/>
  <c r="F130" i="1"/>
  <c r="F148" i="1"/>
  <c r="F152" i="1" s="1"/>
  <c r="F181" i="1" s="1"/>
  <c r="D148" i="1"/>
  <c r="D152" i="1" s="1"/>
  <c r="D181" i="1" s="1"/>
  <c r="D130" i="1"/>
  <c r="E148" i="1"/>
  <c r="E152" i="1" s="1"/>
  <c r="E181" i="1" s="1"/>
  <c r="E130" i="1"/>
  <c r="C141" i="1"/>
  <c r="G141" i="1" s="1"/>
  <c r="G142" i="1"/>
  <c r="C130" i="1"/>
  <c r="C148" i="1"/>
  <c r="C152" i="1" s="1"/>
  <c r="C181" i="1" s="1"/>
  <c r="G131" i="1"/>
  <c r="B91" i="1"/>
  <c r="D96" i="1"/>
  <c r="C182" i="1"/>
  <c r="B211" i="1" l="1"/>
  <c r="C211" i="1" s="1"/>
  <c r="G160" i="1"/>
  <c r="B97" i="1"/>
  <c r="G130" i="1"/>
  <c r="C158" i="1"/>
  <c r="B72" i="1"/>
  <c r="F158" i="1"/>
  <c r="E158" i="1"/>
  <c r="D158" i="1"/>
  <c r="G148" i="1"/>
  <c r="G140" i="1"/>
  <c r="D99" i="1"/>
  <c r="B92" i="1"/>
  <c r="B98" i="1" s="1"/>
  <c r="B90" i="1"/>
  <c r="B163" i="1" l="1"/>
  <c r="B172" i="1"/>
  <c r="B183" i="1"/>
  <c r="B99" i="1"/>
  <c r="B181" i="1"/>
  <c r="G181" i="1" s="1"/>
  <c r="G158" i="1"/>
  <c r="E157" i="1"/>
  <c r="D157" i="1"/>
  <c r="C157" i="1"/>
  <c r="F157" i="1"/>
  <c r="G152" i="1"/>
  <c r="G157" i="1" l="1"/>
  <c r="G165" i="1"/>
  <c r="G143" i="1" l="1"/>
  <c r="D159" i="1"/>
  <c r="D155" i="1"/>
  <c r="F159" i="1"/>
  <c r="F155" i="1"/>
  <c r="C159" i="1"/>
  <c r="C155" i="1"/>
  <c r="E159" i="1"/>
  <c r="E155" i="1"/>
  <c r="E162" i="1" l="1"/>
  <c r="E183" i="1"/>
  <c r="F162" i="1"/>
  <c r="F183" i="1"/>
  <c r="C162" i="1"/>
  <c r="C183" i="1"/>
  <c r="D162" i="1"/>
  <c r="D183" i="1"/>
  <c r="C168" i="1"/>
  <c r="C170" i="1" s="1"/>
  <c r="C175" i="1"/>
  <c r="C172" i="1"/>
  <c r="F172" i="1"/>
  <c r="F168" i="1"/>
  <c r="F170" i="1" s="1"/>
  <c r="F175" i="1"/>
  <c r="D168" i="1"/>
  <c r="D170" i="1" s="1"/>
  <c r="D175" i="1"/>
  <c r="D172" i="1"/>
  <c r="E168" i="1"/>
  <c r="E170" i="1" s="1"/>
  <c r="E175" i="1"/>
  <c r="E172" i="1"/>
  <c r="G167" i="1"/>
  <c r="G149" i="1"/>
  <c r="B204" i="1" s="1"/>
  <c r="D163" i="1"/>
  <c r="E163" i="1"/>
  <c r="C163" i="1"/>
  <c r="G153" i="1"/>
  <c r="F163" i="1"/>
  <c r="G159" i="1"/>
  <c r="D174" i="1" l="1"/>
  <c r="D179" i="1" s="1"/>
  <c r="D186" i="1" s="1"/>
  <c r="C174" i="1"/>
  <c r="C179" i="1" s="1"/>
  <c r="F174" i="1"/>
  <c r="F179" i="1" s="1"/>
  <c r="E174" i="1"/>
  <c r="E179" i="1" s="1"/>
  <c r="G170" i="1"/>
  <c r="G155" i="1"/>
  <c r="B205" i="1" s="1"/>
  <c r="G172" i="1"/>
  <c r="B184" i="1"/>
  <c r="G168" i="1"/>
  <c r="B193" i="1" l="1"/>
  <c r="B203" i="1" s="1"/>
  <c r="F186" i="1"/>
  <c r="F180" i="1"/>
  <c r="F184" i="1"/>
  <c r="D184" i="1"/>
  <c r="D180" i="1"/>
  <c r="E180" i="1"/>
  <c r="E186" i="1"/>
  <c r="E184" i="1"/>
  <c r="G162" i="1"/>
  <c r="G163" i="1" s="1"/>
  <c r="B194" i="1" s="1"/>
  <c r="C186" i="1"/>
  <c r="C184" i="1"/>
  <c r="C180" i="1"/>
  <c r="E185" i="1" l="1"/>
  <c r="E187" i="1" s="1"/>
  <c r="C185" i="1"/>
  <c r="C187" i="1" s="1"/>
  <c r="B179" i="1"/>
  <c r="B175" i="1"/>
  <c r="D185" i="1"/>
  <c r="D187" i="1" s="1"/>
  <c r="F185" i="1"/>
  <c r="F187" i="1" s="1"/>
  <c r="G174" i="1"/>
  <c r="G175" i="1" l="1"/>
  <c r="B195" i="1" s="1"/>
  <c r="B207" i="1" s="1"/>
  <c r="C207" i="1" s="1"/>
  <c r="B206" i="1"/>
  <c r="B180" i="1"/>
  <c r="B185" i="1" s="1"/>
  <c r="G179" i="1"/>
  <c r="B186" i="1" l="1"/>
  <c r="G180" i="1"/>
  <c r="G185" i="1" s="1"/>
  <c r="G186" i="1" s="1"/>
  <c r="B196" i="1" l="1"/>
  <c r="B2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Yue Chen</author>
    <author>Chen, Yue (CN)</author>
  </authors>
  <commentList>
    <comment ref="H1" authorId="0" shapeId="0" xr:uid="{BFDB362A-01BA-4BE1-8742-91DB562FC621}">
      <text>
        <r>
          <rPr>
            <b/>
            <sz val="9"/>
            <color indexed="81"/>
            <rFont val="宋体"/>
            <family val="3"/>
            <charset val="134"/>
          </rPr>
          <t>Yue Chen:</t>
        </r>
        <r>
          <rPr>
            <sz val="9"/>
            <color indexed="81"/>
            <rFont val="宋体"/>
            <family val="3"/>
            <charset val="134"/>
          </rPr>
          <t xml:space="preserve">
需要分水性，油性</t>
        </r>
      </text>
    </comment>
    <comment ref="H7" authorId="1" shapeId="0" xr:uid="{BE59F9B1-0C58-40D2-99E0-2AA342A3B0FB}">
      <text>
        <r>
          <rPr>
            <b/>
            <sz val="9"/>
            <color indexed="81"/>
            <rFont val="宋体"/>
            <family val="3"/>
            <charset val="134"/>
          </rPr>
          <t>Chen, Yue (CN):</t>
        </r>
        <r>
          <rPr>
            <sz val="9"/>
            <color indexed="81"/>
            <rFont val="宋体"/>
            <family val="3"/>
            <charset val="134"/>
          </rPr>
          <t xml:space="preserve">
按终端销量的8%进行计算</t>
        </r>
      </text>
    </comment>
    <comment ref="I7" authorId="1" shapeId="0" xr:uid="{36C1D242-FDD2-46DD-B60E-D664A40371FC}">
      <text>
        <r>
          <rPr>
            <b/>
            <sz val="9"/>
            <color indexed="81"/>
            <rFont val="宋体"/>
            <family val="3"/>
            <charset val="134"/>
          </rPr>
          <t>Chen, Yue (CN):</t>
        </r>
        <r>
          <rPr>
            <sz val="9"/>
            <color indexed="81"/>
            <rFont val="宋体"/>
            <family val="3"/>
            <charset val="134"/>
          </rPr>
          <t xml:space="preserve">
按终端销量的8%进行计算</t>
        </r>
      </text>
    </comment>
  </commentList>
</comments>
</file>

<file path=xl/sharedStrings.xml><?xml version="1.0" encoding="utf-8"?>
<sst xmlns="http://schemas.openxmlformats.org/spreadsheetml/2006/main" count="969" uniqueCount="596">
  <si>
    <t>系统自动生成</t>
    <phoneticPr fontId="5" type="noConversion"/>
  </si>
  <si>
    <t>*BIA项目编号</t>
    <phoneticPr fontId="5" type="noConversion"/>
  </si>
  <si>
    <t>*BIA项目名称</t>
    <phoneticPr fontId="5" type="noConversion"/>
  </si>
  <si>
    <t>MSO Name</t>
    <phoneticPr fontId="5" type="noConversion"/>
  </si>
  <si>
    <t>MSO background introduction</t>
  </si>
  <si>
    <t>公司背景</t>
    <phoneticPr fontId="5" type="noConversion"/>
  </si>
  <si>
    <t>成立时间</t>
    <phoneticPr fontId="5" type="noConversion"/>
  </si>
  <si>
    <t>排名</t>
    <phoneticPr fontId="5" type="noConversion"/>
  </si>
  <si>
    <t>主要品牌</t>
    <phoneticPr fontId="5" type="noConversion"/>
  </si>
  <si>
    <r>
      <t>PPG</t>
    </r>
    <r>
      <rPr>
        <sz val="11"/>
        <color theme="1"/>
        <rFont val="DengXian"/>
        <family val="2"/>
        <charset val="134"/>
      </rPr>
      <t>合作时间</t>
    </r>
    <phoneticPr fontId="5" type="noConversion"/>
  </si>
  <si>
    <t>份额</t>
    <phoneticPr fontId="5" type="noConversion"/>
  </si>
  <si>
    <t>未来项目发展</t>
    <phoneticPr fontId="5" type="noConversion"/>
  </si>
  <si>
    <t>其他</t>
    <phoneticPr fontId="5" type="noConversion"/>
  </si>
  <si>
    <t>Reason for Investment (New/Renew)</t>
  </si>
  <si>
    <t>new</t>
    <phoneticPr fontId="5" type="noConversion"/>
  </si>
  <si>
    <t>renew</t>
    <phoneticPr fontId="5" type="noConversion"/>
  </si>
  <si>
    <t>Contract Period</t>
  </si>
  <si>
    <t>Contract years</t>
  </si>
  <si>
    <t>MM</t>
    <phoneticPr fontId="11" type="noConversion"/>
  </si>
  <si>
    <t>MSO</t>
    <phoneticPr fontId="11" type="noConversion"/>
  </si>
  <si>
    <t>Distributor channel</t>
    <phoneticPr fontId="11" type="noConversion"/>
  </si>
  <si>
    <t>body shop1</t>
    <phoneticPr fontId="5" type="noConversion"/>
  </si>
  <si>
    <t>SGM</t>
  </si>
  <si>
    <t>经销商渠道</t>
  </si>
  <si>
    <t>body shop2</t>
    <phoneticPr fontId="5" type="noConversion"/>
  </si>
  <si>
    <t>body shop Name</t>
    <phoneticPr fontId="5" type="noConversion"/>
  </si>
  <si>
    <t>body shop address</t>
    <phoneticPr fontId="5" type="noConversion"/>
  </si>
  <si>
    <t>address1</t>
    <phoneticPr fontId="5" type="noConversion"/>
  </si>
  <si>
    <t>address2</t>
    <phoneticPr fontId="5" type="noConversion"/>
  </si>
  <si>
    <t>body shop3</t>
  </si>
  <si>
    <t>address3</t>
  </si>
  <si>
    <t>body shop4</t>
  </si>
  <si>
    <t>address4</t>
  </si>
  <si>
    <t>MM/MSO/Distributor body shop and brand</t>
    <phoneticPr fontId="5" type="noConversion"/>
  </si>
  <si>
    <t>distributor channel</t>
    <phoneticPr fontId="5" type="noConversion"/>
  </si>
  <si>
    <t>DF Nissan</t>
  </si>
  <si>
    <t>Infiniti</t>
  </si>
  <si>
    <t>SVW</t>
  </si>
  <si>
    <t>DF Honda</t>
  </si>
  <si>
    <t>RENAULT</t>
  </si>
  <si>
    <t>SAIC</t>
  </si>
  <si>
    <t>JLR</t>
  </si>
  <si>
    <t>Lincoln</t>
  </si>
  <si>
    <t>Ford</t>
  </si>
  <si>
    <t>FAW-VW</t>
  </si>
  <si>
    <t>FBAC</t>
  </si>
  <si>
    <t>MERCEDES-BENZ</t>
  </si>
  <si>
    <t>VOLVO</t>
  </si>
  <si>
    <t>JAC</t>
  </si>
  <si>
    <t>MASERATI</t>
  </si>
  <si>
    <t>BYD</t>
  </si>
  <si>
    <t>BMW</t>
  </si>
  <si>
    <t>LEXUS</t>
  </si>
  <si>
    <t>TOYOTA</t>
  </si>
  <si>
    <t>NIO</t>
  </si>
  <si>
    <t>TESLA</t>
  </si>
  <si>
    <t>GAC</t>
  </si>
  <si>
    <t>LYNK&amp;CO</t>
  </si>
  <si>
    <t>GREAT WALL</t>
  </si>
  <si>
    <t>SMART</t>
  </si>
  <si>
    <t>SERES</t>
  </si>
  <si>
    <t>LEAPMOTOR</t>
  </si>
  <si>
    <t>无经销商渠道</t>
  </si>
  <si>
    <t>mm(系统中所有主机厂项目）</t>
    <phoneticPr fontId="5" type="noConversion"/>
  </si>
  <si>
    <t>mso（系统中所有mso项目）</t>
    <phoneticPr fontId="5" type="noConversion"/>
  </si>
  <si>
    <t>重庆商社</t>
  </si>
  <si>
    <t>恒信</t>
  </si>
  <si>
    <t>华胜</t>
  </si>
  <si>
    <t>元通</t>
  </si>
  <si>
    <t>长久</t>
  </si>
  <si>
    <t>骏昇</t>
  </si>
  <si>
    <t>东莞融粤</t>
  </si>
  <si>
    <t>中升</t>
  </si>
  <si>
    <t>中升</t>
    <phoneticPr fontId="5" type="noConversion"/>
  </si>
  <si>
    <t>易养车</t>
    <phoneticPr fontId="5" type="noConversion"/>
  </si>
  <si>
    <t>大昌行</t>
    <phoneticPr fontId="5" type="noConversion"/>
  </si>
  <si>
    <t>广汇</t>
    <phoneticPr fontId="5" type="noConversion"/>
  </si>
  <si>
    <t>通元</t>
    <phoneticPr fontId="5" type="noConversion"/>
  </si>
  <si>
    <t>Products</t>
  </si>
  <si>
    <t xml:space="preserve">Product Brand#1 </t>
  </si>
  <si>
    <t>ENVIROBASE</t>
  </si>
  <si>
    <t>Product Brand#2</t>
  </si>
  <si>
    <t>Product Brand#3</t>
  </si>
  <si>
    <t>Product Brand#4</t>
  </si>
  <si>
    <t>Product Brand#1</t>
  </si>
  <si>
    <t>MM</t>
    <phoneticPr fontId="5" type="noConversion"/>
  </si>
  <si>
    <t>MSO</t>
    <phoneticPr fontId="5" type="noConversion"/>
  </si>
  <si>
    <t>Distributor channel</t>
    <phoneticPr fontId="5" type="noConversion"/>
  </si>
  <si>
    <t>SB</t>
    <phoneticPr fontId="5" type="noConversion"/>
  </si>
  <si>
    <t>AQUABASE PLUS</t>
  </si>
  <si>
    <t>QUICKLINE</t>
  </si>
  <si>
    <t>AQUAMAX</t>
  </si>
  <si>
    <t>WB</t>
    <phoneticPr fontId="5" type="noConversion"/>
  </si>
  <si>
    <t>2K</t>
  </si>
  <si>
    <t>DELTRON GRS</t>
  </si>
  <si>
    <t>ACS</t>
  </si>
  <si>
    <t>V-Pro</t>
  </si>
  <si>
    <t>BILUX</t>
  </si>
  <si>
    <t>EMAXX</t>
  </si>
  <si>
    <r>
      <rPr>
        <sz val="11"/>
        <color theme="1"/>
        <rFont val="DengXian"/>
        <family val="2"/>
        <charset val="134"/>
      </rPr>
      <t>高档水性油漆</t>
    </r>
    <r>
      <rPr>
        <sz val="11"/>
        <color theme="1"/>
        <rFont val="Calibri"/>
        <family val="2"/>
      </rPr>
      <t xml:space="preserve"> %</t>
    </r>
    <phoneticPr fontId="5" type="noConversion"/>
  </si>
  <si>
    <r>
      <rPr>
        <sz val="11"/>
        <color theme="1"/>
        <rFont val="DengXian"/>
        <family val="2"/>
        <charset val="134"/>
      </rPr>
      <t>中档水性油漆</t>
    </r>
    <r>
      <rPr>
        <sz val="11"/>
        <color theme="1"/>
        <rFont val="Calibri"/>
        <family val="2"/>
      </rPr>
      <t xml:space="preserve"> %</t>
    </r>
    <phoneticPr fontId="5" type="noConversion"/>
  </si>
  <si>
    <t>高档油性油漆%</t>
    <phoneticPr fontId="5" type="noConversion"/>
  </si>
  <si>
    <r>
      <rPr>
        <sz val="11"/>
        <color theme="1"/>
        <rFont val="等线"/>
        <family val="2"/>
        <charset val="134"/>
      </rPr>
      <t>中档油性油漆</t>
    </r>
    <r>
      <rPr>
        <sz val="11"/>
        <color theme="1"/>
        <rFont val="Calibri"/>
        <family val="2"/>
      </rPr>
      <t>%</t>
    </r>
    <phoneticPr fontId="5" type="noConversion"/>
  </si>
  <si>
    <t>Distributor Share</t>
    <phoneticPr fontId="5" type="noConversion"/>
  </si>
  <si>
    <t>Distributor name</t>
    <phoneticPr fontId="5" type="noConversion"/>
  </si>
  <si>
    <t>Investment Type</t>
    <phoneticPr fontId="5" type="noConversion"/>
  </si>
  <si>
    <t>Prebate</t>
    <phoneticPr fontId="5" type="noConversion"/>
  </si>
  <si>
    <t>Rebate</t>
  </si>
  <si>
    <t>Rebate</t>
    <phoneticPr fontId="5" type="noConversion"/>
  </si>
  <si>
    <t>Sales Type</t>
    <phoneticPr fontId="5" type="noConversion"/>
  </si>
  <si>
    <t>%</t>
    <phoneticPr fontId="5" type="noConversion"/>
  </si>
  <si>
    <t>Total</t>
  </si>
  <si>
    <t>Yr1</t>
  </si>
  <si>
    <t>Yr2</t>
  </si>
  <si>
    <t>Yr3</t>
  </si>
  <si>
    <t>Yr4</t>
  </si>
  <si>
    <t>Yr5</t>
  </si>
  <si>
    <t>Total Sales</t>
    <phoneticPr fontId="5" type="noConversion"/>
  </si>
  <si>
    <t xml:space="preserve">MM Central Billing </t>
    <phoneticPr fontId="5" type="noConversion"/>
  </si>
  <si>
    <t>Body Shop Sales</t>
  </si>
  <si>
    <t>MSO Central Billing</t>
    <phoneticPr fontId="5" type="noConversion"/>
  </si>
  <si>
    <t>Distributor Channel</t>
    <phoneticPr fontId="5" type="noConversion"/>
  </si>
  <si>
    <t>Sales Commitment (incl 13% VAT)</t>
    <phoneticPr fontId="5" type="noConversion"/>
  </si>
  <si>
    <t>现状</t>
    <phoneticPr fontId="5" type="noConversion"/>
  </si>
  <si>
    <t>序号</t>
    <phoneticPr fontId="5" type="noConversion"/>
  </si>
  <si>
    <t>问题</t>
    <phoneticPr fontId="5" type="noConversion"/>
  </si>
  <si>
    <t>解决方案</t>
    <phoneticPr fontId="5" type="noConversion"/>
  </si>
  <si>
    <t>1-2</t>
    <phoneticPr fontId="5" type="noConversion"/>
  </si>
  <si>
    <t>无</t>
    <phoneticPr fontId="5" type="noConversion"/>
  </si>
  <si>
    <t>没有唯一编号来确认一个BIA Case</t>
    <phoneticPr fontId="5" type="noConversion"/>
  </si>
  <si>
    <t>系统自动分配BIA编号，BIA名称必填</t>
    <phoneticPr fontId="5" type="noConversion"/>
  </si>
  <si>
    <t>6-14</t>
    <phoneticPr fontId="5" type="noConversion"/>
  </si>
  <si>
    <t>line</t>
    <phoneticPr fontId="5" type="noConversion"/>
  </si>
  <si>
    <t>开放式填写，对于填写内容也没有明确要求</t>
    <phoneticPr fontId="5" type="noConversion"/>
  </si>
  <si>
    <t>填写内容不明确，数据汇总困难</t>
    <phoneticPr fontId="5" type="noConversion"/>
  </si>
  <si>
    <t>明确规定填写内容</t>
    <phoneticPr fontId="5" type="noConversion"/>
  </si>
  <si>
    <t>23-28</t>
    <phoneticPr fontId="5" type="noConversion"/>
  </si>
  <si>
    <t>只粗略填写门店数量，不同MM项目要分template填写</t>
    <phoneticPr fontId="5" type="noConversion"/>
  </si>
  <si>
    <t>BIA之后难以追踪门店销量，不同MM项目分template填写，不友好</t>
    <phoneticPr fontId="5" type="noConversion"/>
  </si>
  <si>
    <r>
      <t>Total Investment (</t>
    </r>
    <r>
      <rPr>
        <b/>
        <sz val="11"/>
        <color theme="1"/>
        <rFont val="等线"/>
        <family val="2"/>
      </rPr>
      <t>先期投入</t>
    </r>
    <r>
      <rPr>
        <b/>
        <sz val="11"/>
        <color theme="1"/>
        <rFont val="Calibri"/>
        <family val="2"/>
      </rPr>
      <t>+</t>
    </r>
    <r>
      <rPr>
        <b/>
        <sz val="11"/>
        <color theme="1"/>
        <rFont val="等线"/>
        <family val="2"/>
      </rPr>
      <t>事后返利）</t>
    </r>
  </si>
  <si>
    <t>Upfront</t>
  </si>
  <si>
    <t xml:space="preserve">1. Mix Machine </t>
  </si>
  <si>
    <t>(1) PPG investment</t>
  </si>
  <si>
    <t>(2) Distributor investment</t>
  </si>
  <si>
    <t>Distribution share %</t>
  </si>
  <si>
    <t>(1) PPG share</t>
  </si>
  <si>
    <t>(2) Distributor share</t>
  </si>
  <si>
    <t>序号</t>
  </si>
  <si>
    <t>设备名称</t>
  </si>
  <si>
    <t>品牌</t>
  </si>
  <si>
    <t>数量</t>
  </si>
  <si>
    <t>货号</t>
  </si>
  <si>
    <t>价格</t>
  </si>
  <si>
    <t>分摊</t>
  </si>
  <si>
    <t>实际单价</t>
  </si>
  <si>
    <t>实际总金额</t>
  </si>
  <si>
    <t>PPG</t>
  </si>
  <si>
    <t>经销商</t>
  </si>
  <si>
    <t>SVC</t>
  </si>
  <si>
    <t>unit cost</t>
  </si>
  <si>
    <t>小于5000</t>
  </si>
  <si>
    <t>大于5000</t>
  </si>
  <si>
    <t>VAT base</t>
  </si>
  <si>
    <t>PPG设备</t>
    <phoneticPr fontId="11" type="noConversion"/>
  </si>
  <si>
    <t>设备名称
(从Sally的设备清单link）</t>
    <phoneticPr fontId="5" type="noConversion"/>
  </si>
  <si>
    <t>品牌
（自动link)</t>
    <phoneticPr fontId="5" type="noConversion"/>
  </si>
  <si>
    <t>货号
(item code,自动link)</t>
    <phoneticPr fontId="5" type="noConversion"/>
  </si>
  <si>
    <t>非PPG设备</t>
    <phoneticPr fontId="11" type="noConversion"/>
  </si>
  <si>
    <t>免费样品申请表</t>
  </si>
  <si>
    <t>Free Sample Application Form</t>
  </si>
  <si>
    <r>
      <t xml:space="preserve">Customer Information  </t>
    </r>
    <r>
      <rPr>
        <sz val="12"/>
        <rFont val="宋体"/>
        <family val="3"/>
        <charset val="134"/>
      </rPr>
      <t>客户信息</t>
    </r>
    <r>
      <rPr>
        <sz val="12"/>
        <rFont val="Arial"/>
        <family val="2"/>
      </rPr>
      <t>:</t>
    </r>
  </si>
  <si>
    <r>
      <t xml:space="preserve">Customer  </t>
    </r>
    <r>
      <rPr>
        <sz val="11"/>
        <rFont val="宋体"/>
        <family val="3"/>
        <charset val="134"/>
      </rPr>
      <t>客户：</t>
    </r>
    <phoneticPr fontId="29" type="noConversion"/>
  </si>
  <si>
    <r>
      <t xml:space="preserve">Contact  </t>
    </r>
    <r>
      <rPr>
        <sz val="11"/>
        <rFont val="宋体"/>
        <family val="3"/>
        <charset val="134"/>
      </rPr>
      <t>联系人：</t>
    </r>
  </si>
  <si>
    <r>
      <t xml:space="preserve">Add  </t>
    </r>
    <r>
      <rPr>
        <sz val="11"/>
        <rFont val="宋体"/>
        <family val="3"/>
        <charset val="134"/>
      </rPr>
      <t>地址：</t>
    </r>
    <phoneticPr fontId="29" type="noConversion"/>
  </si>
  <si>
    <r>
      <t xml:space="preserve">           Tel  </t>
    </r>
    <r>
      <rPr>
        <sz val="11"/>
        <rFont val="宋体"/>
        <family val="3"/>
        <charset val="134"/>
      </rPr>
      <t>电话：</t>
    </r>
  </si>
  <si>
    <r>
      <t xml:space="preserve">Applied Sample  </t>
    </r>
    <r>
      <rPr>
        <sz val="12"/>
        <rFont val="宋体"/>
        <family val="3"/>
        <charset val="134"/>
      </rPr>
      <t>申请样品</t>
    </r>
    <r>
      <rPr>
        <sz val="12"/>
        <rFont val="Arial"/>
        <family val="2"/>
      </rPr>
      <t>:</t>
    </r>
  </si>
  <si>
    <r>
      <t xml:space="preserve">Item
</t>
    </r>
    <r>
      <rPr>
        <sz val="11"/>
        <rFont val="宋体"/>
        <family val="3"/>
        <charset val="134"/>
      </rPr>
      <t>品名</t>
    </r>
  </si>
  <si>
    <r>
      <t xml:space="preserve">Package                       </t>
    </r>
    <r>
      <rPr>
        <sz val="11"/>
        <rFont val="宋体"/>
        <family val="3"/>
        <charset val="134"/>
      </rPr>
      <t>包装</t>
    </r>
    <phoneticPr fontId="29" type="noConversion"/>
  </si>
  <si>
    <r>
      <t xml:space="preserve">Quantity                  </t>
    </r>
    <r>
      <rPr>
        <sz val="11"/>
        <rFont val="宋体"/>
        <family val="3"/>
        <charset val="134"/>
      </rPr>
      <t>数量</t>
    </r>
    <phoneticPr fontId="29" type="noConversion"/>
  </si>
  <si>
    <r>
      <t xml:space="preserve">Unit List Price
</t>
    </r>
    <r>
      <rPr>
        <sz val="11"/>
        <rFont val="宋体"/>
        <family val="3"/>
        <charset val="134"/>
      </rPr>
      <t>单件价</t>
    </r>
  </si>
  <si>
    <r>
      <t xml:space="preserve">Total Amount                 </t>
    </r>
    <r>
      <rPr>
        <sz val="11"/>
        <rFont val="宋体"/>
        <family val="3"/>
        <charset val="134"/>
      </rPr>
      <t>总金额</t>
    </r>
  </si>
  <si>
    <r>
      <t xml:space="preserve">Reason
</t>
    </r>
    <r>
      <rPr>
        <sz val="11"/>
        <rFont val="宋体"/>
        <family val="3"/>
        <charset val="134"/>
      </rPr>
      <t>申请原因：</t>
    </r>
  </si>
  <si>
    <r>
      <t xml:space="preserve">From…to  </t>
    </r>
    <r>
      <rPr>
        <sz val="11"/>
        <rFont val="宋体"/>
        <family val="3"/>
        <charset val="134"/>
      </rPr>
      <t>发放途径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从</t>
    </r>
    <r>
      <rPr>
        <sz val="11"/>
        <rFont val="Arial"/>
        <family val="2"/>
      </rPr>
      <t>…</t>
    </r>
    <r>
      <rPr>
        <sz val="11"/>
        <rFont val="宋体"/>
        <family val="3"/>
        <charset val="134"/>
      </rPr>
      <t>发</t>
    </r>
    <r>
      <rPr>
        <sz val="11"/>
        <rFont val="Arial"/>
        <family val="2"/>
      </rPr>
      <t>)</t>
    </r>
    <r>
      <rPr>
        <sz val="11"/>
        <rFont val="宋体"/>
        <family val="3"/>
        <charset val="134"/>
      </rPr>
      <t>：</t>
    </r>
  </si>
  <si>
    <r>
      <t xml:space="preserve">Expected Arrival Date      </t>
    </r>
    <r>
      <rPr>
        <sz val="11"/>
        <rFont val="宋体"/>
        <family val="3"/>
        <charset val="134"/>
      </rPr>
      <t>要求样品到达时间：</t>
    </r>
  </si>
  <si>
    <r>
      <t xml:space="preserve">Applicant  
</t>
    </r>
    <r>
      <rPr>
        <sz val="11"/>
        <rFont val="宋体"/>
        <family val="3"/>
        <charset val="134"/>
      </rPr>
      <t>申请人：</t>
    </r>
  </si>
  <si>
    <r>
      <t xml:space="preserve">               Date</t>
    </r>
    <r>
      <rPr>
        <sz val="11"/>
        <rFont val="宋体"/>
        <family val="3"/>
        <charset val="134"/>
      </rPr>
      <t>日期：</t>
    </r>
    <phoneticPr fontId="29" type="noConversion"/>
  </si>
  <si>
    <r>
      <t xml:space="preserve">Dept. Manager Approval
</t>
    </r>
    <r>
      <rPr>
        <sz val="11"/>
        <rFont val="宋体"/>
        <family val="3"/>
        <charset val="134"/>
      </rPr>
      <t>部门经理批准：</t>
    </r>
  </si>
  <si>
    <r>
      <t xml:space="preserve">Business Manager Approval
</t>
    </r>
    <r>
      <rPr>
        <sz val="11"/>
        <rFont val="宋体"/>
        <family val="3"/>
        <charset val="134"/>
      </rPr>
      <t>商务经理批准：</t>
    </r>
  </si>
  <si>
    <r>
      <t xml:space="preserve">Operator                             </t>
    </r>
    <r>
      <rPr>
        <sz val="11"/>
        <rFont val="宋体"/>
        <family val="3"/>
        <charset val="134"/>
      </rPr>
      <t>操作人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客服人员</t>
    </r>
    <r>
      <rPr>
        <sz val="11"/>
        <rFont val="Arial"/>
        <family val="2"/>
      </rPr>
      <t>)</t>
    </r>
    <r>
      <rPr>
        <sz val="11"/>
        <rFont val="宋体"/>
        <family val="3"/>
        <charset val="134"/>
      </rPr>
      <t>：</t>
    </r>
    <phoneticPr fontId="29" type="noConversion"/>
  </si>
  <si>
    <r>
      <t>PPG</t>
    </r>
    <r>
      <rPr>
        <sz val="12"/>
        <rFont val="DengXian"/>
        <family val="2"/>
        <charset val="134"/>
      </rPr>
      <t>分摊</t>
    </r>
    <phoneticPr fontId="5" type="noConversion"/>
  </si>
  <si>
    <t>Post Investment</t>
  </si>
  <si>
    <r>
      <t>1. Rebate to bodyshop</t>
    </r>
    <r>
      <rPr>
        <b/>
        <sz val="11"/>
        <color theme="1"/>
        <rFont val="等线"/>
        <family val="2"/>
      </rPr>
      <t>（</t>
    </r>
    <r>
      <rPr>
        <b/>
        <sz val="11"/>
        <color theme="1"/>
        <rFont val="Calibri"/>
        <family val="2"/>
      </rPr>
      <t>excl VAT</t>
    </r>
    <r>
      <rPr>
        <b/>
        <sz val="11"/>
        <color theme="1"/>
        <rFont val="等线"/>
        <family val="2"/>
      </rPr>
      <t>）</t>
    </r>
  </si>
  <si>
    <t># 2/3/4 Special approval required before BIA submission by Jeff</t>
  </si>
  <si>
    <t>2. Distribution rebate - MM channel (exl VAT)</t>
  </si>
  <si>
    <t>MM</t>
  </si>
  <si>
    <t>3 &amp; 4</t>
    <phoneticPr fontId="11" type="noConversion"/>
  </si>
  <si>
    <t>Below Input by Finance</t>
  </si>
  <si>
    <t>MM margin to Body shop</t>
    <phoneticPr fontId="11" type="noConversion"/>
  </si>
  <si>
    <t>MSO margin to Body shop</t>
    <phoneticPr fontId="11" type="noConversion"/>
  </si>
  <si>
    <t>Distributor margin to Body shop</t>
    <phoneticPr fontId="11" type="noConversion"/>
  </si>
  <si>
    <t>CB PC% to MM</t>
    <phoneticPr fontId="11" type="noConversion"/>
  </si>
  <si>
    <t>CB PC% to MSO</t>
    <phoneticPr fontId="11" type="noConversion"/>
  </si>
  <si>
    <t>Non CB PC%</t>
    <phoneticPr fontId="11" type="noConversion"/>
  </si>
  <si>
    <t>Distribution rebate (Distribution Channel)</t>
  </si>
  <si>
    <t>高档水性漆</t>
    <phoneticPr fontId="5" type="noConversion"/>
  </si>
  <si>
    <t>中档水性漆</t>
    <phoneticPr fontId="5" type="noConversion"/>
  </si>
  <si>
    <t>高档油性漆</t>
    <phoneticPr fontId="5" type="noConversion"/>
  </si>
  <si>
    <t>中档油性漆</t>
    <phoneticPr fontId="5" type="noConversion"/>
  </si>
  <si>
    <t>Year 1</t>
  </si>
  <si>
    <t>Year 2</t>
  </si>
  <si>
    <t>Year 3</t>
  </si>
  <si>
    <t>Year 4</t>
  </si>
  <si>
    <t>Year 5</t>
  </si>
  <si>
    <t>Sales target Bodyshop (incl 13% VAT)</t>
  </si>
  <si>
    <t>PPG Net sales (excl VAT)</t>
  </si>
  <si>
    <r>
      <t xml:space="preserve">Total Cash Investment (rebate/prebate) </t>
    </r>
    <r>
      <rPr>
        <sz val="11"/>
        <color theme="1"/>
        <rFont val="等线"/>
        <family val="2"/>
      </rPr>
      <t>（</t>
    </r>
    <r>
      <rPr>
        <sz val="11"/>
        <color theme="1"/>
        <rFont val="Calibri"/>
        <family val="2"/>
      </rPr>
      <t>excl VAT</t>
    </r>
    <r>
      <rPr>
        <sz val="11"/>
        <color theme="1"/>
        <rFont val="等线"/>
        <family val="2"/>
      </rPr>
      <t>）</t>
    </r>
  </si>
  <si>
    <t>Distributor amount</t>
  </si>
  <si>
    <t>Mix Machine amortization</t>
  </si>
  <si>
    <t>Rebate to Distributor</t>
  </si>
  <si>
    <r>
      <t>Rebate</t>
    </r>
    <r>
      <rPr>
        <sz val="11"/>
        <color theme="1"/>
        <rFont val="等线"/>
        <family val="2"/>
      </rPr>
      <t>（</t>
    </r>
    <r>
      <rPr>
        <sz val="11"/>
        <color theme="1"/>
        <rFont val="Calibri"/>
        <family val="2"/>
      </rPr>
      <t>Distributor amount</t>
    </r>
    <r>
      <rPr>
        <sz val="11"/>
        <color theme="1"/>
        <rFont val="等线"/>
        <family val="2"/>
      </rPr>
      <t>）</t>
    </r>
  </si>
  <si>
    <r>
      <t>Product Cost</t>
    </r>
    <r>
      <rPr>
        <sz val="11"/>
        <color theme="1"/>
        <rFont val="等线"/>
        <family val="2"/>
      </rPr>
      <t>（</t>
    </r>
    <r>
      <rPr>
        <sz val="11"/>
        <color theme="1"/>
        <rFont val="Calibri"/>
        <family val="2"/>
      </rPr>
      <t>MM</t>
    </r>
    <r>
      <rPr>
        <sz val="11"/>
        <color theme="1"/>
        <rFont val="等线"/>
        <family val="2"/>
      </rPr>
      <t>）</t>
    </r>
  </si>
  <si>
    <r>
      <t>Product Cost</t>
    </r>
    <r>
      <rPr>
        <sz val="11"/>
        <color theme="1"/>
        <rFont val="等线"/>
        <family val="2"/>
      </rPr>
      <t>（</t>
    </r>
    <r>
      <rPr>
        <sz val="11"/>
        <color theme="1"/>
        <rFont val="Calibri"/>
        <family val="2"/>
      </rPr>
      <t>MSO</t>
    </r>
    <r>
      <rPr>
        <sz val="11"/>
        <color theme="1"/>
        <rFont val="等线"/>
        <family val="2"/>
      </rPr>
      <t>）</t>
    </r>
    <phoneticPr fontId="11" type="noConversion"/>
  </si>
  <si>
    <r>
      <t>Product Cost</t>
    </r>
    <r>
      <rPr>
        <sz val="11"/>
        <color theme="1"/>
        <rFont val="等线"/>
        <family val="2"/>
      </rPr>
      <t>（</t>
    </r>
    <r>
      <rPr>
        <sz val="11"/>
        <color theme="1"/>
        <rFont val="Calibri"/>
        <family val="2"/>
      </rPr>
      <t>Distributor</t>
    </r>
    <r>
      <rPr>
        <sz val="11"/>
        <color theme="1"/>
        <rFont val="等线"/>
        <family val="2"/>
      </rPr>
      <t>）</t>
    </r>
  </si>
  <si>
    <t>Central Billing Service Fees</t>
  </si>
  <si>
    <t>PC</t>
  </si>
  <si>
    <t>PC%</t>
  </si>
  <si>
    <t>Direct Overheads (Mix Machine expense)</t>
    <phoneticPr fontId="11" type="noConversion"/>
  </si>
  <si>
    <t>Direct Overheads (MM Commission  fee)</t>
    <phoneticPr fontId="11" type="noConversion"/>
  </si>
  <si>
    <t>Direct Overheads (MSO Commission  fee)</t>
    <phoneticPr fontId="11" type="noConversion"/>
  </si>
  <si>
    <t>Variable Overheads</t>
  </si>
  <si>
    <t>Total Overhead</t>
  </si>
  <si>
    <t>TPE</t>
  </si>
  <si>
    <t>EBIT</t>
  </si>
  <si>
    <t>EBIT%</t>
  </si>
  <si>
    <t>Cash Flow</t>
  </si>
  <si>
    <t>Income Tax</t>
  </si>
  <si>
    <t>Reversal of Amortization</t>
  </si>
  <si>
    <t>Investment</t>
  </si>
  <si>
    <t>Working Capital (as a % of Net Sales)</t>
  </si>
  <si>
    <t>Cash flow for working capital</t>
  </si>
  <si>
    <t>Cash flow current year</t>
  </si>
  <si>
    <t>Cash flow accumulative</t>
  </si>
  <si>
    <t xml:space="preserve">Contract period: </t>
    <phoneticPr fontId="1" type="noConversion"/>
  </si>
  <si>
    <t xml:space="preserve">Total PPG Sales: </t>
    <phoneticPr fontId="1" type="noConversion"/>
  </si>
  <si>
    <t xml:space="preserve">Actual PC%: </t>
    <phoneticPr fontId="1" type="noConversion"/>
  </si>
  <si>
    <t>EBIT%:</t>
    <phoneticPr fontId="1" type="noConversion"/>
  </si>
  <si>
    <t xml:space="preserve">Payback: </t>
    <phoneticPr fontId="1" type="noConversion"/>
  </si>
  <si>
    <t>Contract Period</t>
    <phoneticPr fontId="5" type="noConversion"/>
  </si>
  <si>
    <t>PPG Net sales</t>
    <phoneticPr fontId="5" type="noConversion"/>
  </si>
  <si>
    <t>EBIT</t>
    <phoneticPr fontId="5" type="noConversion"/>
  </si>
  <si>
    <t>ROS</t>
    <phoneticPr fontId="5" type="noConversion"/>
  </si>
  <si>
    <t>Payback</t>
    <phoneticPr fontId="5" type="noConversion"/>
  </si>
  <si>
    <t>IRR</t>
    <phoneticPr fontId="5" type="noConversion"/>
  </si>
  <si>
    <t>Total Upfront investment</t>
    <phoneticPr fontId="5" type="noConversion"/>
  </si>
  <si>
    <t>Total Rebate</t>
    <phoneticPr fontId="11" type="noConversion"/>
  </si>
  <si>
    <t>Total customer sales commitment</t>
    <phoneticPr fontId="5" type="noConversion"/>
  </si>
  <si>
    <t>Exchange rate</t>
    <phoneticPr fontId="11" type="noConversion"/>
  </si>
  <si>
    <t>3.1 MM CB Service cost % on PPG sales - to service distributor</t>
    <phoneticPr fontId="11" type="noConversion"/>
  </si>
  <si>
    <t>3.2 MSO CB Service cost % on PPG sales - to service distributor</t>
    <phoneticPr fontId="11" type="noConversion"/>
  </si>
  <si>
    <t>4.1 MM Commission fee% on PPG sales</t>
    <phoneticPr fontId="11" type="noConversion"/>
  </si>
  <si>
    <t>4.2 MSO Commission fee % on PPG sales</t>
    <phoneticPr fontId="11" type="noConversion"/>
  </si>
  <si>
    <t>4.3 MSO Commission fee % on bodyshop sales</t>
    <phoneticPr fontId="11" type="noConversion"/>
  </si>
  <si>
    <t>mm sales at body shop selling price(excl VAT)</t>
    <phoneticPr fontId="5" type="noConversion"/>
  </si>
  <si>
    <t>mm sales at ppg selling price(excl VAT)</t>
    <phoneticPr fontId="5" type="noConversion"/>
  </si>
  <si>
    <t>mso sales at body shop selling price(excl VAT)</t>
    <phoneticPr fontId="5" type="noConversion"/>
  </si>
  <si>
    <t>mso sales at ppg selling price(excl VAT)</t>
    <phoneticPr fontId="5" type="noConversion"/>
  </si>
  <si>
    <t>distributor sales at body shop selling price(excl VAT)</t>
    <phoneticPr fontId="5" type="noConversion"/>
  </si>
  <si>
    <t>distributor sales at ppg selling price(excl VAT)</t>
    <phoneticPr fontId="5" type="noConversion"/>
  </si>
  <si>
    <t>channel-year-month-day-no</t>
    <phoneticPr fontId="5" type="noConversion"/>
  </si>
  <si>
    <t>现有mso模糊搜索、新的自己填</t>
    <phoneticPr fontId="5" type="noConversion"/>
  </si>
  <si>
    <t>2. Free material offering</t>
    <phoneticPr fontId="5" type="noConversion"/>
  </si>
  <si>
    <r>
      <t xml:space="preserve">3.Cash Investment (prebate) </t>
    </r>
    <r>
      <rPr>
        <sz val="11"/>
        <color theme="1"/>
        <rFont val="等线"/>
        <family val="2"/>
      </rPr>
      <t>（</t>
    </r>
    <r>
      <rPr>
        <sz val="11"/>
        <color theme="1"/>
        <rFont val="Calibri"/>
        <family val="2"/>
      </rPr>
      <t>excl VAT</t>
    </r>
    <r>
      <rPr>
        <sz val="11"/>
        <color theme="1"/>
        <rFont val="等线"/>
        <family val="2"/>
      </rPr>
      <t>）</t>
    </r>
    <phoneticPr fontId="11" type="noConversion"/>
  </si>
  <si>
    <t>设备分类</t>
    <phoneticPr fontId="5" type="noConversion"/>
  </si>
  <si>
    <t>设备子分类</t>
    <phoneticPr fontId="5" type="noConversion"/>
  </si>
  <si>
    <t>PPG产品代码</t>
  </si>
  <si>
    <t>经销商价格</t>
    <phoneticPr fontId="5" type="noConversion"/>
  </si>
  <si>
    <t>svc小于5000</t>
    <phoneticPr fontId="5" type="noConversion"/>
  </si>
  <si>
    <t>svc大于5000</t>
    <phoneticPr fontId="5" type="noConversion"/>
  </si>
  <si>
    <t>打磨设备</t>
    <phoneticPr fontId="5" type="noConversion"/>
  </si>
  <si>
    <t>6058-3610/KIT</t>
  </si>
  <si>
    <t>PPG PLUS</t>
  </si>
  <si>
    <t>气动款移动式无尘干磨机套装</t>
  </si>
  <si>
    <t>路贝狮</t>
  </si>
  <si>
    <t>路贝狮干磨设备套装F</t>
  </si>
  <si>
    <t>6058-3133</t>
  </si>
  <si>
    <t>气动6寸磨灰机 RH353A</t>
  </si>
  <si>
    <t>6058-3134</t>
  </si>
  <si>
    <t>气动6寸磨灰机 RH356A</t>
  </si>
  <si>
    <t>3300-0001D</t>
  </si>
  <si>
    <t xml:space="preserve">PPG PLUS </t>
  </si>
  <si>
    <t>PPG PLUS 70*198手刨</t>
  </si>
  <si>
    <t>3300-0001C</t>
  </si>
  <si>
    <t>PPG PLUS 70*125手刨</t>
  </si>
  <si>
    <t>6058-3323/KIT</t>
  </si>
  <si>
    <t>Festool</t>
  </si>
  <si>
    <t>FESTOOL气动干磨设备标配版</t>
  </si>
  <si>
    <t>6058-3320/KIT</t>
  </si>
  <si>
    <t xml:space="preserve">FESTOOL电动干磨设备（无碳刷）高配版              </t>
  </si>
  <si>
    <t>6058-3322/KIT</t>
  </si>
  <si>
    <t>FESTOOL电动干磨设备（无碳刷）标配版</t>
  </si>
  <si>
    <t>6058-3326</t>
  </si>
  <si>
    <t xml:space="preserve">LRS 93M (574812)
</t>
  </si>
  <si>
    <t>6058-3327</t>
  </si>
  <si>
    <t xml:space="preserve">LEX 3 150/5 (575082)
</t>
  </si>
  <si>
    <t>6058-3328</t>
  </si>
  <si>
    <t xml:space="preserve">LEX 3 150/3 (574997)
</t>
  </si>
  <si>
    <t>6058-3392</t>
  </si>
  <si>
    <t xml:space="preserve">ETS EC 150/5 EQ-Plus CN 230V  (576331)                                  </t>
  </si>
  <si>
    <t>6058-3391</t>
  </si>
  <si>
    <t xml:space="preserve">ETS EC 150/3 EQ-Plus CN 230V (576332)                 </t>
  </si>
  <si>
    <t>6058-3331</t>
  </si>
  <si>
    <t xml:space="preserve">CTL 36 E CN (574970)
</t>
  </si>
  <si>
    <t>6058-3332</t>
  </si>
  <si>
    <t>IAS 3 5000-AS (497290)</t>
  </si>
  <si>
    <t>喷枪及吹风设备</t>
    <phoneticPr fontId="5" type="noConversion"/>
  </si>
  <si>
    <t>水油两用型喷枪</t>
    <phoneticPr fontId="5" type="noConversion"/>
  </si>
  <si>
    <t>狮博龙</t>
  </si>
  <si>
    <t>3500A 高效省漆面漆喷枪</t>
  </si>
  <si>
    <t>溶剂型喷枪</t>
    <phoneticPr fontId="5" type="noConversion"/>
  </si>
  <si>
    <t>6058-5215H</t>
  </si>
  <si>
    <t>戴维比斯</t>
  </si>
  <si>
    <t>戴维比斯DV1高端清漆喷枪</t>
    <phoneticPr fontId="5" type="noConversion"/>
  </si>
  <si>
    <t>6058-8240</t>
  </si>
  <si>
    <t>SATA</t>
  </si>
  <si>
    <t>SATAjet 4600-110  1,3   省漆高效4600型面漆喷枪</t>
  </si>
  <si>
    <t>6058-5302</t>
  </si>
  <si>
    <t>戴维比斯标准清漆喷枪</t>
  </si>
  <si>
    <t>水性漆喷枪</t>
    <phoneticPr fontId="5" type="noConversion"/>
  </si>
  <si>
    <t>6058-5214H</t>
  </si>
  <si>
    <t>戴维比斯高端水性面漆喷枪</t>
  </si>
  <si>
    <t>6058-8239</t>
  </si>
  <si>
    <t>SATAjet 4600-120 WSB 环保省漆4600型面漆喷枪</t>
  </si>
  <si>
    <t>6058-8243</t>
  </si>
  <si>
    <t>SATAjet 4600-120  1,3 环保省漆4600型面漆喷枪</t>
  </si>
  <si>
    <t>6058-8238C</t>
  </si>
  <si>
    <t>SATAjet X 5500 HVLP1.3 I 环保省漆面漆喷枪 带RPS壶 (赠QCC壶）+0.6升QCC快速更换塑料壶（Jet B不可用）带螺纹</t>
    <phoneticPr fontId="5" type="noConversion"/>
  </si>
  <si>
    <t>6058-8238D</t>
  </si>
  <si>
    <t>SATAjet X 5500 HVLP1.3 O 环保省漆面漆喷枪 带RPS壶 (赠QCC壶）+0.6升QCC快速更换塑料壶（Jet B不可用）带螺纹</t>
    <phoneticPr fontId="5" type="noConversion"/>
  </si>
  <si>
    <t>6058-8241C</t>
  </si>
  <si>
    <t>SATAjet X 5500 HVLP DIGITAL1.3 I 环保省漆数字型面漆喷枪 带RPS壶 (赠QCC壶)+0.6升QCC快速更换塑料壶（Jet B不可用）带螺纹</t>
    <phoneticPr fontId="5" type="noConversion"/>
  </si>
  <si>
    <t>6058-8242C</t>
  </si>
  <si>
    <t>SATAjet X 5500 HVLP DIGITAL1.3 O 环保省漆数字型面漆喷枪 带RPS壶 (赠QCC壶）+0.6升QCC快速更换塑料壶（Jet B不可用）带螺纹</t>
    <phoneticPr fontId="5" type="noConversion"/>
  </si>
  <si>
    <t>6058-5213</t>
  </si>
  <si>
    <t>戴维比斯标准水性漆喷枪</t>
  </si>
  <si>
    <t>其他喷枪</t>
    <phoneticPr fontId="5" type="noConversion"/>
  </si>
  <si>
    <t>6058-8205</t>
  </si>
  <si>
    <t>SATA吹风枪支架套装 （吹风枪支架+2把吹风枪）</t>
  </si>
  <si>
    <t>戴维比斯水性快干吹风筒</t>
  </si>
  <si>
    <t>戴维比斯水性快干吹风筒及支架套装（吹风枪支架+2把吹风枪）</t>
  </si>
  <si>
    <t>6058-5204</t>
  </si>
  <si>
    <t>ANDIS</t>
  </si>
  <si>
    <t>ANDIS吹风枪支架套装（吹风枪支架+2把吹风枪）</t>
  </si>
  <si>
    <t>6058-5200</t>
  </si>
  <si>
    <t>IWATA</t>
  </si>
  <si>
    <t>水性漆吹风筒 （ITW)</t>
  </si>
  <si>
    <t>6058-5219</t>
  </si>
  <si>
    <t xml:space="preserve">戴维比斯三瓶油水分离器 </t>
  </si>
  <si>
    <t>6058-5217</t>
  </si>
  <si>
    <t xml:space="preserve">戴维比斯双瓶油水分离器 </t>
  </si>
  <si>
    <t>6058-5205</t>
  </si>
  <si>
    <t>水性漆便携式吹风器</t>
  </si>
  <si>
    <t>调色设备</t>
    <phoneticPr fontId="5" type="noConversion"/>
  </si>
  <si>
    <t>6058-2011</t>
  </si>
  <si>
    <t>PPG Plus</t>
  </si>
  <si>
    <t>非常准对色灯-便携式</t>
  </si>
  <si>
    <t>6058-1064-2K</t>
  </si>
  <si>
    <t>三华</t>
  </si>
  <si>
    <t>2K调漆机套装(4L浆盖*10个+1L浆盖*57个)</t>
  </si>
  <si>
    <t>6058-1064-EMAXX</t>
  </si>
  <si>
    <t>Emaxx调漆机套装（1L浆盖*70个）</t>
  </si>
  <si>
    <t>6058-1064-ACS</t>
  </si>
  <si>
    <t>ACS调漆机套装（4L浆盖*1个+2.5L浆盖*3个+1L浆盖*75个）</t>
  </si>
  <si>
    <t>6058-1065-GRS</t>
  </si>
  <si>
    <t>GRS调漆机套装（4L浆盖*8个+1L浆盖*92个）</t>
  </si>
  <si>
    <t>6058-1064-nissan</t>
  </si>
  <si>
    <t>Nissan调漆机套装 （2.5L浆盖*14个+1L浆盖*61个）</t>
  </si>
  <si>
    <t>Aquabase加热展示柜连浆盖套装</t>
  </si>
  <si>
    <t>Aquabase展示柜连浆盖套装</t>
  </si>
  <si>
    <t>Envirobase加热展示柜连浆盖套装</t>
  </si>
  <si>
    <t>Envirobase展示柜连浆盖套装</t>
  </si>
  <si>
    <t>BMW宝马加热展示柜连浆盖套装</t>
  </si>
  <si>
    <t>FORD福特加热展示柜连浆盖套装</t>
  </si>
  <si>
    <t>quickline快得来加热展示柜连浆盖套装</t>
  </si>
  <si>
    <t>quickline快得来展示柜连浆盖套装</t>
  </si>
  <si>
    <t>Aquamax水之妙加热展示柜连浆盖套装</t>
  </si>
  <si>
    <t>Aquamax水之妙展示柜连浆盖套装</t>
  </si>
  <si>
    <t>6058-7550</t>
  </si>
  <si>
    <t>赛多利斯</t>
  </si>
  <si>
    <t>电子秤</t>
  </si>
  <si>
    <t>6058-7510</t>
  </si>
  <si>
    <t>智能电子秤</t>
  </si>
  <si>
    <t>6058-7772</t>
  </si>
  <si>
    <t>梅特勒</t>
  </si>
  <si>
    <t>防爆电子秤 (RPA455XX)</t>
  </si>
  <si>
    <t>6058-9001</t>
  </si>
  <si>
    <t>色板标签打印机</t>
  </si>
  <si>
    <t>6058-9000</t>
  </si>
  <si>
    <t>条码扫描枪</t>
  </si>
  <si>
    <t>6058-9002</t>
  </si>
  <si>
    <t>PPG专用数据线</t>
  </si>
  <si>
    <t>3510-1001</t>
  </si>
  <si>
    <t>PPG专用标签打印纸</t>
  </si>
  <si>
    <t>3510-1002</t>
  </si>
  <si>
    <t>所有brand</t>
    <phoneticPr fontId="5" type="noConversion"/>
  </si>
  <si>
    <t>打磨设备</t>
  </si>
  <si>
    <t>喷枪及吹风设备</t>
  </si>
  <si>
    <t>溶剂型喷枪</t>
  </si>
  <si>
    <t>水性漆喷枪</t>
  </si>
  <si>
    <t>其他喷枪</t>
  </si>
  <si>
    <t>调色设备</t>
  </si>
  <si>
    <t>PPG专用标签打印碳带</t>
    <phoneticPr fontId="5" type="noConversion"/>
  </si>
  <si>
    <t>MM - Sales Commitment in BIA Contract - Bodyshop (incl 13% VAT)</t>
    <phoneticPr fontId="5" type="noConversion"/>
  </si>
  <si>
    <t>MSO - Sales Commitment in BIA Contract - PPG Sales (incl 13% VAT)</t>
    <phoneticPr fontId="11" type="noConversion"/>
  </si>
  <si>
    <t>Disitrbutor  -  Sales Commitment in BIA Contract - Bodyshop (incl 13% VAT)</t>
    <phoneticPr fontId="5" type="noConversion"/>
  </si>
  <si>
    <t>rebate%</t>
    <phoneticPr fontId="5" type="noConversion"/>
  </si>
  <si>
    <t>内容</t>
    <phoneticPr fontId="5" type="noConversion"/>
  </si>
  <si>
    <t>BIA基础信息</t>
    <phoneticPr fontId="5" type="noConversion"/>
  </si>
  <si>
    <t>MSO背景介绍</t>
    <phoneticPr fontId="5" type="noConversion"/>
  </si>
  <si>
    <t>投资门店信息、渠道信息</t>
    <phoneticPr fontId="5" type="noConversion"/>
  </si>
  <si>
    <t>基本的投资信息，如投资方式、PPG投资比例等</t>
    <phoneticPr fontId="5" type="noConversion"/>
  </si>
  <si>
    <t>30-34</t>
    <phoneticPr fontId="5" type="noConversion"/>
  </si>
  <si>
    <t>分散在具体的计算行中</t>
    <phoneticPr fontId="5" type="noConversion"/>
  </si>
  <si>
    <t>填写及审阅不友好</t>
    <phoneticPr fontId="5" type="noConversion"/>
  </si>
  <si>
    <t>在BIA开始就集中填写</t>
    <phoneticPr fontId="5" type="noConversion"/>
  </si>
  <si>
    <t>投资的产品类别</t>
    <phoneticPr fontId="5" type="noConversion"/>
  </si>
  <si>
    <t>38-58</t>
    <phoneticPr fontId="5" type="noConversion"/>
  </si>
  <si>
    <t>只有WB,SB</t>
    <phoneticPr fontId="5" type="noConversion"/>
  </si>
  <si>
    <t>实际计算返利分高水中水，高油中油，并按8643的比例计算，当前方式计算较粗略</t>
    <phoneticPr fontId="5" type="noConversion"/>
  </si>
  <si>
    <t>分高水中水高油中油</t>
    <phoneticPr fontId="5" type="noConversion"/>
  </si>
  <si>
    <t>承诺销售</t>
    <phoneticPr fontId="5" type="noConversion"/>
  </si>
  <si>
    <t>61-67</t>
    <phoneticPr fontId="5" type="noConversion"/>
  </si>
  <si>
    <t>默认填写的都是到门店的销售</t>
    <phoneticPr fontId="5" type="noConversion"/>
  </si>
  <si>
    <t>不同销售人员填写的逻辑可能不同，是根据实际case谈判的方式来确定的，直接按照门店销售来计算会导致结果错误</t>
    <phoneticPr fontId="5" type="noConversion"/>
  </si>
  <si>
    <t>让销售人员自行选择承诺销售的方式，下面的公式根据承诺销售类型分情况计算</t>
    <phoneticPr fontId="5" type="noConversion"/>
  </si>
  <si>
    <t>设备借用分摊</t>
    <phoneticPr fontId="5" type="noConversion"/>
  </si>
  <si>
    <t>设备借用分摊明细表</t>
    <phoneticPr fontId="5" type="noConversion"/>
  </si>
  <si>
    <t>PPG可供选择的设备和Sally的设备投入清单不匹配，数据没有update</t>
    <phoneticPr fontId="5" type="noConversion"/>
  </si>
  <si>
    <t>很多PPG设备还需要销售手动填写并且自行计算价格，会增加填写工作量，且数据口径不一致</t>
    <phoneticPr fontId="5" type="noConversion"/>
  </si>
  <si>
    <t>分PPG设备和非PPG设备，PPG设备的相关信息根据Sally的设备投入清单定时更新，并且财务也需要定时更新相应的成本信息</t>
    <phoneticPr fontId="5" type="noConversion"/>
  </si>
  <si>
    <t>免费物料申请</t>
    <phoneticPr fontId="5" type="noConversion"/>
  </si>
  <si>
    <t>免费物料申请表</t>
    <phoneticPr fontId="5" type="noConversion"/>
  </si>
  <si>
    <t>无法自动link产品信息，且不含有分摊信息</t>
    <phoneticPr fontId="5" type="noConversion"/>
  </si>
  <si>
    <t>手动填写工作量大且口径不一致，分摊信息要到计算的template再次填写，填写的信息分散、不友好</t>
    <phoneticPr fontId="5" type="noConversion"/>
  </si>
  <si>
    <t>自动link数据库中的免费物料产品，并添加分摊信息</t>
    <phoneticPr fontId="5" type="noConversion"/>
  </si>
  <si>
    <t>主机厂加价率等信息</t>
    <phoneticPr fontId="5" type="noConversion"/>
  </si>
  <si>
    <t>117-123，106-114</t>
    <phoneticPr fontId="5" type="noConversion"/>
  </si>
  <si>
    <t>数据不更新</t>
    <phoneticPr fontId="5" type="noConversion"/>
  </si>
  <si>
    <t>测算数据不够准确</t>
    <phoneticPr fontId="5" type="noConversion"/>
  </si>
  <si>
    <t>财务定期更新</t>
    <phoneticPr fontId="5" type="noConversion"/>
  </si>
  <si>
    <t>代理商服务费含税问题</t>
    <phoneticPr fontId="5" type="noConversion"/>
  </si>
  <si>
    <t>161-162</t>
    <phoneticPr fontId="5" type="noConversion"/>
  </si>
  <si>
    <t>认为代理商服务费是含税金额</t>
    <phoneticPr fontId="5" type="noConversion"/>
  </si>
  <si>
    <t>和各位销售调研，实际po都是按不含税操作</t>
    <phoneticPr fontId="5" type="noConversion"/>
  </si>
  <si>
    <t>改为不含税</t>
    <phoneticPr fontId="5" type="noConversion"/>
  </si>
  <si>
    <t>MSO - Sales Commitment in BIA Contract - Bodyshop (incl 13% VAT)</t>
    <phoneticPr fontId="11" type="noConversion"/>
  </si>
  <si>
    <t>6058-3500A</t>
    <phoneticPr fontId="5" type="noConversion"/>
  </si>
  <si>
    <t>6058-5200</t>
    <phoneticPr fontId="5" type="noConversion"/>
  </si>
  <si>
    <t>6058-5290</t>
    <phoneticPr fontId="5" type="noConversion"/>
  </si>
  <si>
    <t>Sales Adjustment</t>
    <phoneticPr fontId="5" type="noConversion"/>
  </si>
  <si>
    <t>PC Adjustment</t>
    <phoneticPr fontId="5" type="noConversion"/>
  </si>
  <si>
    <t>Total SVC</t>
    <phoneticPr fontId="5" type="noConversion"/>
  </si>
  <si>
    <t>MKT</t>
    <phoneticPr fontId="5" type="noConversion"/>
  </si>
  <si>
    <t>9975-0001-BMWWB</t>
  </si>
  <si>
    <t>9975-6002</t>
  </si>
  <si>
    <t>ALL</t>
  </si>
  <si>
    <t>宝马WB颜色挂板</t>
  </si>
  <si>
    <t>万用色卡</t>
  </si>
  <si>
    <t>标准礼包配置</t>
    <phoneticPr fontId="5" type="noConversion"/>
  </si>
  <si>
    <t>6060-1201</t>
  </si>
  <si>
    <t>3510-0301</t>
  </si>
  <si>
    <t>PO239</t>
  </si>
  <si>
    <t>PO311</t>
  </si>
  <si>
    <t>油性标准礼包</t>
    <phoneticPr fontId="5" type="noConversion"/>
  </si>
  <si>
    <t>3520-3002</t>
  </si>
  <si>
    <t>3510-0302</t>
  </si>
  <si>
    <t>水性标准礼包</t>
    <phoneticPr fontId="5" type="noConversion"/>
  </si>
  <si>
    <t>中档标准礼包</t>
    <phoneticPr fontId="5" type="noConversion"/>
  </si>
  <si>
    <t>砂纸样品</t>
  </si>
  <si>
    <t>3313-675001</t>
  </si>
  <si>
    <t>3312-675001</t>
  </si>
  <si>
    <t>PPG Plus 紫色闪电薄膜砂纸 6" 17孔  混装样品</t>
  </si>
  <si>
    <t>PPG Plus 瓷蓝陶瓷干磨砂纸 6" 多孔 混装样品</t>
  </si>
  <si>
    <t>CLR3060</t>
  </si>
  <si>
    <t>6058-5100</t>
    <phoneticPr fontId="5" type="noConversion"/>
  </si>
  <si>
    <t>三华</t>
    <phoneticPr fontId="5" type="noConversion"/>
  </si>
  <si>
    <t>飞勇比雄</t>
    <phoneticPr fontId="5" type="noConversion"/>
  </si>
  <si>
    <t>6058-5103</t>
    <phoneticPr fontId="5" type="noConversion"/>
  </si>
  <si>
    <t>6058-5101</t>
    <phoneticPr fontId="5" type="noConversion"/>
  </si>
  <si>
    <t>6058-5120</t>
    <phoneticPr fontId="5" type="noConversion"/>
  </si>
  <si>
    <t>6058-5121</t>
    <phoneticPr fontId="5" type="noConversion"/>
  </si>
  <si>
    <t>6058-5102</t>
    <phoneticPr fontId="5" type="noConversion"/>
  </si>
  <si>
    <t>6058-5110</t>
    <phoneticPr fontId="5" type="noConversion"/>
  </si>
  <si>
    <t>6058-5111</t>
    <phoneticPr fontId="5" type="noConversion"/>
  </si>
  <si>
    <t>6058-5112</t>
    <phoneticPr fontId="5" type="noConversion"/>
  </si>
  <si>
    <t>6058-5113</t>
    <phoneticPr fontId="5" type="noConversion"/>
  </si>
  <si>
    <t>6058-3300F</t>
    <phoneticPr fontId="5" type="noConversion"/>
  </si>
  <si>
    <t>DF VOYAH</t>
  </si>
  <si>
    <t>Customer code</t>
    <phoneticPr fontId="5" type="noConversion"/>
  </si>
  <si>
    <r>
      <rPr>
        <b/>
        <sz val="8"/>
        <color theme="0"/>
        <rFont val="Microsoft YaHei UI"/>
        <family val="2"/>
        <charset val="134"/>
      </rPr>
      <t>项目结算价</t>
    </r>
    <r>
      <rPr>
        <b/>
        <sz val="8"/>
        <color theme="0"/>
        <rFont val="Tahoma"/>
        <family val="2"/>
      </rPr>
      <t>/</t>
    </r>
    <r>
      <rPr>
        <b/>
        <sz val="8"/>
        <color theme="0"/>
        <rFont val="Microsoft YaHei UI"/>
        <family val="2"/>
        <charset val="134"/>
      </rPr>
      <t>经销商价</t>
    </r>
    <phoneticPr fontId="5" type="noConversion"/>
  </si>
  <si>
    <t>Customer PC%</t>
    <phoneticPr fontId="5" type="noConversion"/>
  </si>
  <si>
    <r>
      <rPr>
        <b/>
        <sz val="8"/>
        <color theme="0"/>
        <rFont val="Microsoft YaHei UI"/>
        <family val="2"/>
        <charset val="134"/>
      </rPr>
      <t xml:space="preserve">总服务商服务费 </t>
    </r>
    <r>
      <rPr>
        <b/>
        <sz val="8"/>
        <color theme="0"/>
        <rFont val="宋体"/>
        <family val="2"/>
        <charset val="134"/>
      </rPr>
      <t>基于</t>
    </r>
    <r>
      <rPr>
        <b/>
        <sz val="8"/>
        <color theme="0"/>
        <rFont val="Microsoft YaHei UI"/>
        <family val="2"/>
        <charset val="134"/>
      </rPr>
      <t>(</t>
    </r>
    <r>
      <rPr>
        <b/>
        <sz val="8"/>
        <color theme="0"/>
        <rFont val="Tahoma"/>
        <family val="2"/>
      </rPr>
      <t>MM1</t>
    </r>
    <r>
      <rPr>
        <b/>
        <sz val="8"/>
        <color theme="0"/>
        <rFont val="宋体"/>
        <family val="2"/>
        <charset val="134"/>
      </rPr>
      <t>到店价</t>
    </r>
    <r>
      <rPr>
        <b/>
        <sz val="8"/>
        <color theme="0"/>
        <rFont val="Tahoma"/>
        <family val="2"/>
      </rPr>
      <t>)</t>
    </r>
    <phoneticPr fontId="5" type="noConversion"/>
  </si>
  <si>
    <t>项目</t>
    <phoneticPr fontId="5" type="noConversion"/>
  </si>
  <si>
    <r>
      <rPr>
        <b/>
        <sz val="8"/>
        <color theme="0"/>
        <rFont val="Microsoft YaHei UI"/>
        <family val="2"/>
        <charset val="134"/>
      </rPr>
      <t>总服务商服务费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Microsoft YaHei UI"/>
        <family val="2"/>
        <charset val="134"/>
      </rPr>
      <t>基于</t>
    </r>
    <r>
      <rPr>
        <b/>
        <sz val="8"/>
        <color theme="0"/>
        <rFont val="宋体"/>
        <family val="2"/>
        <charset val="134"/>
      </rPr>
      <t>经销商到店价</t>
    </r>
    <phoneticPr fontId="5" type="noConversion"/>
  </si>
  <si>
    <r>
      <rPr>
        <b/>
        <sz val="8"/>
        <color theme="0"/>
        <rFont val="Microsoft YaHei UI"/>
        <family val="2"/>
        <charset val="134"/>
      </rPr>
      <t>服务费率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Microsoft YaHei UI"/>
        <family val="2"/>
        <charset val="134"/>
      </rPr>
      <t>基于</t>
    </r>
    <r>
      <rPr>
        <b/>
        <sz val="8"/>
        <color theme="0"/>
        <rFont val="宋体"/>
        <family val="2"/>
        <charset val="134"/>
      </rPr>
      <t>项目价</t>
    </r>
    <phoneticPr fontId="5" type="noConversion"/>
  </si>
  <si>
    <t>集团项目返利率 基于项目价</t>
  </si>
  <si>
    <t>主机厂返利率</t>
    <phoneticPr fontId="5" type="noConversion"/>
  </si>
  <si>
    <t>集团下的主机厂项目</t>
    <phoneticPr fontId="5" type="noConversion"/>
  </si>
  <si>
    <r>
      <rPr>
        <b/>
        <sz val="8"/>
        <color theme="0"/>
        <rFont val="Microsoft YaHei UI"/>
        <family val="2"/>
        <charset val="134"/>
      </rPr>
      <t>集团项目返利率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Microsoft YaHei UI"/>
        <family val="2"/>
        <charset val="134"/>
      </rPr>
      <t>基于</t>
    </r>
    <r>
      <rPr>
        <b/>
        <sz val="8"/>
        <color theme="0"/>
        <rFont val="Tahoma"/>
        <family val="2"/>
      </rPr>
      <t>(</t>
    </r>
    <r>
      <rPr>
        <b/>
        <sz val="8"/>
        <color theme="0"/>
        <rFont val="DengXian"/>
        <family val="2"/>
        <charset val="134"/>
      </rPr>
      <t>主机厂门</t>
    </r>
    <r>
      <rPr>
        <b/>
        <sz val="8"/>
        <color theme="0"/>
        <rFont val="Microsoft YaHei UI"/>
        <family val="2"/>
        <charset val="134"/>
      </rPr>
      <t>店价</t>
    </r>
    <r>
      <rPr>
        <b/>
        <sz val="8"/>
        <color theme="0"/>
        <rFont val="Tahoma"/>
        <family val="2"/>
      </rPr>
      <t>)</t>
    </r>
    <phoneticPr fontId="5" type="noConversion"/>
  </si>
  <si>
    <r>
      <t>svc</t>
    </r>
    <r>
      <rPr>
        <sz val="11"/>
        <color theme="1"/>
        <rFont val="DengXian"/>
        <family val="2"/>
        <charset val="134"/>
      </rPr>
      <t>大于5000，按照年限分摊，只考虑PPG Share</t>
    </r>
    <phoneticPr fontId="5" type="noConversion"/>
  </si>
  <si>
    <t>channel</t>
    <phoneticPr fontId="5" type="noConversion"/>
  </si>
  <si>
    <t>下拉选择，link项目信息中的MSO项目，如没有，手动添加，并填写新集团的项目信息（标绿部分）</t>
    <phoneticPr fontId="5" type="noConversion"/>
  </si>
  <si>
    <r>
      <rPr>
        <b/>
        <sz val="8"/>
        <color theme="0"/>
        <rFont val="Microsoft YaHei UI"/>
        <family val="2"/>
        <charset val="134"/>
      </rPr>
      <t>集团项目返利率</t>
    </r>
    <r>
      <rPr>
        <b/>
        <sz val="8"/>
        <color theme="0"/>
        <rFont val="Tahoma"/>
        <family val="2"/>
      </rPr>
      <t xml:space="preserve"> </t>
    </r>
    <r>
      <rPr>
        <b/>
        <sz val="8"/>
        <color theme="0"/>
        <rFont val="Microsoft YaHei UI"/>
        <family val="2"/>
        <charset val="134"/>
      </rPr>
      <t>基于经销商渠道的门店价格</t>
    </r>
    <phoneticPr fontId="5" type="noConversion"/>
  </si>
  <si>
    <t>settlement method</t>
    <phoneticPr fontId="5" type="noConversion"/>
  </si>
  <si>
    <t>抵扣货款</t>
  </si>
  <si>
    <t>抵扣货款</t>
    <phoneticPr fontId="5" type="noConversion"/>
  </si>
  <si>
    <t>凭6%服务费发票付款</t>
    <phoneticPr fontId="5" type="noConversion"/>
  </si>
  <si>
    <t>Total Investment% of PPG Net Sales before Investment</t>
    <phoneticPr fontId="5" type="noConversion"/>
  </si>
  <si>
    <t>Total Investment% of PPG Net Sales after Investment</t>
    <phoneticPr fontId="5" type="noConversion"/>
  </si>
  <si>
    <t>Distributor</t>
    <phoneticPr fontId="5" type="noConversion"/>
  </si>
  <si>
    <t>distributor</t>
    <phoneticPr fontId="5" type="noConversion"/>
  </si>
  <si>
    <t>*BIA类型</t>
    <phoneticPr fontId="5" type="noConversion"/>
  </si>
  <si>
    <t>BIA类型</t>
    <phoneticPr fontId="5" type="noConversion"/>
  </si>
  <si>
    <t>MSO REBATE 测算</t>
  </si>
  <si>
    <t>MSO REBATE 测算</t>
    <phoneticPr fontId="5" type="noConversion"/>
  </si>
  <si>
    <t>其他BIA</t>
    <phoneticPr fontId="5" type="noConversion"/>
  </si>
  <si>
    <t>hint</t>
    <phoneticPr fontId="5" type="noConversion"/>
  </si>
  <si>
    <t>rule: &gt;=30%</t>
    <phoneticPr fontId="5" type="noConversion"/>
  </si>
  <si>
    <t>逻辑说明</t>
    <phoneticPr fontId="5" type="noConversion"/>
  </si>
  <si>
    <t>根据具体的项目，以及承诺销量的类型，分别计算不同主机厂的门店销量；如果承诺销量的类型为PPG Sales，则门店销量为sales commitment*(1+主机厂对应的加价率）/1.13；如果承诺销量的类型为body shop sales，则门店销量为sales commitment/1.13</t>
    <phoneticPr fontId="5" type="noConversion"/>
  </si>
  <si>
    <t>根据具体的项目，以及承诺销量的类型，分别计算不同主机厂的PPG结算销量；如果承诺销量的类型为PPG Sales，则PPG结算销量为sales commitment/1.13；如果承诺销量的类型为body shop sales，则PPG结算销量为sales commitment/(1+主机厂对应的加价率）/1.13</t>
    <phoneticPr fontId="5" type="noConversion"/>
  </si>
  <si>
    <t>销售填写内容</t>
    <phoneticPr fontId="5" type="noConversion"/>
  </si>
  <si>
    <t>财务填写内容</t>
    <phoneticPr fontId="5" type="noConversion"/>
  </si>
  <si>
    <t>根据具体的项目，以及承诺销量的类型，计算集团对应的PPG结算销量；如果承诺销量的类型为PPG Sales，则PPG结算销量为sales commitment/1.13；如果承诺销量的类型为body shop sales，则PPG结算销量为sales commitment/(1+MSO对应的加价率）/1.13</t>
    <phoneticPr fontId="5" type="noConversion"/>
  </si>
  <si>
    <t>根据具体的项目，以及承诺销量的类型，计算集团对应的门店销量；如果承诺销量的类型为PPG Sales，则门店销量为sales commitment*(1+集团对应的加价率）/1.13；如果承诺销量的类型为body shop sales，则门店销量为sales commitment/1.13</t>
    <phoneticPr fontId="5" type="noConversion"/>
  </si>
  <si>
    <t>根据承诺销量的类型，计算外采对应的门店销量；如果承诺销量的类型为PPG Sales，则门店销量为sales commitment*(1+Distributor channel的加价率）/1.13；如果承诺销量的类型为body shop sales，则门店销量为sales commitment/1.13</t>
    <phoneticPr fontId="5" type="noConversion"/>
  </si>
  <si>
    <t>根据承诺销量的类型，计算外采对应的PPG结算销量；如果承诺销量的类型为PPG Sales，则PPG结算销量为sales commitment/1.13；如果承诺销量的类型为body shop sales，则PPG结算销量为sales commitment/(1+Distributor channel对应的加价率）/1.13</t>
    <phoneticPr fontId="5" type="noConversion"/>
  </si>
  <si>
    <t>根据不同的MM项目匹配对应的PC%来计算Product Cost</t>
    <phoneticPr fontId="5" type="noConversion"/>
  </si>
  <si>
    <t>根据MSO项目匹配对应的PC%来计算Product Cost</t>
    <phoneticPr fontId="5" type="noConversion"/>
  </si>
  <si>
    <t>特殊参数</t>
    <phoneticPr fontId="5" type="noConversion"/>
  </si>
  <si>
    <t>TPE</t>
    <phoneticPr fontId="5" type="noConversion"/>
  </si>
  <si>
    <t>working capital%</t>
    <phoneticPr fontId="5" type="noConversion"/>
  </si>
  <si>
    <t>variable overheads</t>
    <phoneticPr fontId="5" type="noConversion"/>
  </si>
  <si>
    <t>填写规则说明</t>
    <phoneticPr fontId="5" type="noConversion"/>
  </si>
  <si>
    <r>
      <rPr>
        <sz val="12"/>
        <rFont val="DengXian"/>
        <family val="2"/>
        <charset val="134"/>
      </rPr>
      <t>下拉选择</t>
    </r>
    <r>
      <rPr>
        <sz val="12"/>
        <rFont val="Arial"/>
        <family val="2"/>
      </rPr>
      <t>item</t>
    </r>
    <phoneticPr fontId="5" type="noConversion"/>
  </si>
  <si>
    <r>
      <rPr>
        <sz val="12"/>
        <rFont val="DengXian"/>
        <family val="2"/>
        <charset val="134"/>
      </rPr>
      <t>自动</t>
    </r>
    <r>
      <rPr>
        <sz val="12"/>
        <rFont val="Arial"/>
        <family val="2"/>
      </rPr>
      <t>link</t>
    </r>
    <r>
      <rPr>
        <sz val="12"/>
        <rFont val="DengXian"/>
        <family val="2"/>
        <charset val="134"/>
      </rPr>
      <t>价格</t>
    </r>
    <phoneticPr fontId="5" type="noConversion"/>
  </si>
  <si>
    <t>No
序号</t>
    <phoneticPr fontId="5" type="noConversion"/>
  </si>
  <si>
    <t>Overhead Adjustment</t>
    <phoneticPr fontId="5" type="noConversion"/>
  </si>
  <si>
    <r>
      <rPr>
        <b/>
        <sz val="8"/>
        <color rgb="FFFF0000"/>
        <rFont val="Microsoft YaHei UI"/>
        <family val="2"/>
        <charset val="134"/>
      </rPr>
      <t>服务费</t>
    </r>
    <r>
      <rPr>
        <b/>
        <sz val="8"/>
        <color rgb="FFFF0000"/>
        <rFont val="宋体"/>
        <family val="2"/>
        <charset val="134"/>
      </rPr>
      <t>率</t>
    </r>
    <r>
      <rPr>
        <b/>
        <sz val="8"/>
        <color rgb="FFFF0000"/>
        <rFont val="Tahoma"/>
        <family val="2"/>
        <charset val="134"/>
      </rPr>
      <t xml:space="preserve"> </t>
    </r>
    <r>
      <rPr>
        <b/>
        <sz val="8"/>
        <color rgb="FFFF0000"/>
        <rFont val="宋体"/>
        <family val="2"/>
        <charset val="134"/>
      </rPr>
      <t>基于经销商价</t>
    </r>
    <phoneticPr fontId="5" type="noConversion"/>
  </si>
  <si>
    <r>
      <rPr>
        <b/>
        <sz val="8"/>
        <color rgb="FFFF0000"/>
        <rFont val="Tahoma"/>
        <family val="2"/>
      </rPr>
      <t>PPG</t>
    </r>
    <r>
      <rPr>
        <b/>
        <sz val="8"/>
        <color rgb="FFFF0000"/>
        <rFont val="DengXian"/>
        <family val="2"/>
        <charset val="134"/>
      </rPr>
      <t>结算</t>
    </r>
    <r>
      <rPr>
        <b/>
        <sz val="8"/>
        <color rgb="FFFF0000"/>
        <rFont val="Tahoma"/>
        <family val="2"/>
      </rPr>
      <t xml:space="preserve">sales vs </t>
    </r>
    <r>
      <rPr>
        <b/>
        <sz val="8"/>
        <color rgb="FFFF0000"/>
        <rFont val="DengXian"/>
        <family val="2"/>
        <charset val="134"/>
      </rPr>
      <t>门店</t>
    </r>
    <r>
      <rPr>
        <b/>
        <sz val="8"/>
        <color rgb="FFFF0000"/>
        <rFont val="Tahoma"/>
        <family val="2"/>
      </rPr>
      <t>sales</t>
    </r>
    <r>
      <rPr>
        <b/>
        <sz val="8"/>
        <color rgb="FFFF0000"/>
        <rFont val="Microsoft YaHei UI"/>
        <family val="2"/>
        <charset val="134"/>
      </rPr>
      <t xml:space="preserve">
加价率</t>
    </r>
    <phoneticPr fontId="5" type="noConversion"/>
  </si>
  <si>
    <r>
      <rPr>
        <b/>
        <sz val="8"/>
        <color rgb="FFFF0000"/>
        <rFont val="Microsoft YaHei UI"/>
        <family val="2"/>
        <charset val="134"/>
      </rPr>
      <t>主机厂</t>
    </r>
    <r>
      <rPr>
        <b/>
        <sz val="8"/>
        <color rgb="FFFF0000"/>
        <rFont val="DengXian"/>
        <family val="2"/>
        <charset val="134"/>
      </rPr>
      <t>优质服务季度奖励金</t>
    </r>
    <r>
      <rPr>
        <b/>
        <sz val="8"/>
        <color rgb="FFFF0000"/>
        <rFont val="Microsoft YaHei UI"/>
        <family val="2"/>
        <charset val="134"/>
      </rPr>
      <t>率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Microsoft YaHei UI"/>
        <family val="2"/>
        <charset val="134"/>
      </rPr>
      <t>水性</t>
    </r>
    <r>
      <rPr>
        <b/>
        <sz val="8"/>
        <color rgb="FFFF0000"/>
        <rFont val="Tahoma"/>
        <family val="2"/>
      </rPr>
      <t xml:space="preserve">  </t>
    </r>
    <phoneticPr fontId="5" type="noConversion"/>
  </si>
  <si>
    <r>
      <rPr>
        <b/>
        <sz val="8"/>
        <color rgb="FFFF0000"/>
        <rFont val="Microsoft YaHei UI"/>
        <family val="2"/>
        <charset val="134"/>
      </rPr>
      <t>主机厂</t>
    </r>
    <r>
      <rPr>
        <b/>
        <sz val="8"/>
        <color rgb="FFFF0000"/>
        <rFont val="DengXian"/>
        <family val="2"/>
        <charset val="134"/>
      </rPr>
      <t xml:space="preserve">优质服务季度奖励金率 </t>
    </r>
    <r>
      <rPr>
        <b/>
        <sz val="8"/>
        <color rgb="FFFF0000"/>
        <rFont val="宋体"/>
        <family val="2"/>
        <charset val="134"/>
      </rPr>
      <t>油性</t>
    </r>
    <phoneticPr fontId="5" type="noConversion"/>
  </si>
  <si>
    <r>
      <rPr>
        <b/>
        <sz val="8"/>
        <color rgb="FFFF0000"/>
        <rFont val="Microsoft YaHei UI"/>
        <family val="2"/>
        <charset val="134"/>
      </rPr>
      <t>总服务商服务费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宋体"/>
        <family val="2"/>
        <charset val="134"/>
      </rPr>
      <t>基于项目价</t>
    </r>
    <phoneticPr fontId="5" type="noConversion"/>
  </si>
  <si>
    <t>下拉选择，link项目信息中的MM项目，如没有，手动添加，并填写新主机厂的项目信息（标红字体）</t>
    <phoneticPr fontId="5" type="noConversion"/>
  </si>
  <si>
    <t>Total Other Expense (Income) Adjustment</t>
    <phoneticPr fontId="5" type="noConversion"/>
  </si>
  <si>
    <t>prebate</t>
    <phoneticPr fontId="5" type="noConversion"/>
  </si>
  <si>
    <t>ebit%</t>
    <phoneticPr fontId="5" type="noConversion"/>
  </si>
  <si>
    <t>rebate</t>
    <phoneticPr fontId="5" type="noConversion"/>
  </si>
  <si>
    <r>
      <t>Contract years &lt;3 yrs</t>
    </r>
    <r>
      <rPr>
        <sz val="11"/>
        <color theme="1"/>
        <rFont val="宋体"/>
        <family val="2"/>
        <charset val="134"/>
      </rPr>
      <t>时出现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  <charset val="134"/>
      </rPr>
      <t>，要求填写理由后才能过，</t>
    </r>
    <r>
      <rPr>
        <sz val="11"/>
        <color theme="1"/>
        <rFont val="DengXian"/>
        <family val="2"/>
        <charset val="134"/>
      </rPr>
      <t>上传一个审批的.</t>
    </r>
    <r>
      <rPr>
        <sz val="11"/>
        <color theme="1"/>
        <rFont val="Calibri"/>
        <family val="2"/>
      </rPr>
      <t>msg</t>
    </r>
    <r>
      <rPr>
        <sz val="11"/>
        <color theme="1"/>
        <rFont val="DengXian"/>
        <family val="2"/>
        <charset val="134"/>
      </rPr>
      <t>附件</t>
    </r>
    <phoneticPr fontId="5" type="noConversion"/>
  </si>
  <si>
    <t>待评估</t>
    <phoneticPr fontId="5" type="noConversion"/>
  </si>
  <si>
    <t>PPG Share&lt;1时必填，link系统现有经销商，下拉模糊搜索选择，新经销商手填</t>
    <phoneticPr fontId="5" type="noConversion"/>
  </si>
  <si>
    <t>设备投入</t>
    <phoneticPr fontId="5" type="noConversion"/>
  </si>
  <si>
    <t>免费物料</t>
    <phoneticPr fontId="5" type="noConversion"/>
  </si>
  <si>
    <t>*Reason for Investment (New/Renew)</t>
    <phoneticPr fontId="5" type="noConversion"/>
  </si>
  <si>
    <t>*Contract valid from</t>
    <phoneticPr fontId="5" type="noConversion"/>
  </si>
  <si>
    <t>*Contract valid to</t>
    <phoneticPr fontId="5" type="noConversion"/>
  </si>
  <si>
    <t>*PPG Share</t>
    <phoneticPr fontId="5" type="noConversion"/>
  </si>
  <si>
    <t>*Investment Type</t>
    <phoneticPr fontId="5" type="noConversion"/>
  </si>
  <si>
    <t>*Total investment% of committed sales</t>
    <phoneticPr fontId="5" type="noConversion"/>
  </si>
  <si>
    <t>*Settlement method</t>
    <phoneticPr fontId="5" type="noConversion"/>
  </si>
  <si>
    <t>PPG Sales</t>
    <phoneticPr fontId="5" type="noConversion"/>
  </si>
  <si>
    <t>*</t>
    <phoneticPr fontId="5" type="noConversion"/>
  </si>
  <si>
    <r>
      <t>Total distributor &lt;30%</t>
    </r>
    <r>
      <rPr>
        <sz val="11"/>
        <color theme="1"/>
        <rFont val="宋体"/>
        <family val="2"/>
        <charset val="134"/>
      </rPr>
      <t>时</t>
    </r>
    <r>
      <rPr>
        <sz val="11"/>
        <color theme="1"/>
        <rFont val="Calibri"/>
        <family val="2"/>
      </rPr>
      <t>warning</t>
    </r>
    <r>
      <rPr>
        <sz val="11"/>
        <color theme="1"/>
        <rFont val="宋体"/>
        <family val="2"/>
        <charset val="134"/>
      </rPr>
      <t>，填写理由后才能过</t>
    </r>
    <r>
      <rPr>
        <sz val="11"/>
        <color theme="1"/>
        <rFont val="DengXian"/>
        <family val="2"/>
        <charset val="134"/>
      </rPr>
      <t>，上传一个.msg的审批附件</t>
    </r>
    <phoneticPr fontId="5" type="noConversion"/>
  </si>
  <si>
    <t>经销商返利（8643）+主机厂返利（奖励金率（i+j列）*经销商价格（135行/r列rate）（上汽大众为门店价格（133行））+主机厂结算价格（135行、136行）*主机厂返利率（k列））+ 集团返利（主机厂不同项目门店销量（132行、133行）*不同项目返利率（n列）+MSO PPG结算销量（140行）*MSO返利率率（l列）+经销商渠道门店销量（142行）*MSO项目经销商渠道返利率（m列））</t>
    <phoneticPr fontId="5" type="noConversion"/>
  </si>
  <si>
    <t>MM/MSO销量按经销商价格(135行、136行、140行/r列）*服务费率（f列） +按项目结算价（135行、136行、140行）*服务费率（g列）</t>
    <phoneticPr fontId="5" type="noConversion"/>
  </si>
  <si>
    <r>
      <rPr>
        <sz val="11"/>
        <color theme="1"/>
        <rFont val="宋体"/>
        <family val="2"/>
        <charset val="134"/>
      </rPr>
      <t>设备</t>
    </r>
    <r>
      <rPr>
        <sz val="11"/>
        <color theme="1"/>
        <rFont val="Calibri"/>
        <family val="2"/>
      </rPr>
      <t>SVC+</t>
    </r>
    <r>
      <rPr>
        <sz val="11"/>
        <color theme="1"/>
        <rFont val="DengXian"/>
        <family val="2"/>
        <charset val="134"/>
      </rPr>
      <t>免费物料</t>
    </r>
    <r>
      <rPr>
        <sz val="11"/>
        <color theme="1"/>
        <rFont val="Calibri"/>
        <family val="2"/>
      </rPr>
      <t xml:space="preserve">SVC, </t>
    </r>
    <r>
      <rPr>
        <sz val="11"/>
        <color theme="1"/>
        <rFont val="宋体"/>
        <family val="2"/>
        <charset val="134"/>
      </rPr>
      <t>只计算</t>
    </r>
    <r>
      <rPr>
        <sz val="11"/>
        <color theme="1"/>
        <rFont val="Calibri"/>
        <family val="2"/>
      </rPr>
      <t>PPG</t>
    </r>
    <r>
      <rPr>
        <sz val="11"/>
        <color theme="1"/>
        <rFont val="宋体"/>
        <family val="2"/>
        <charset val="134"/>
      </rPr>
      <t>承担部分的设备</t>
    </r>
    <r>
      <rPr>
        <sz val="11"/>
        <color theme="1"/>
        <rFont val="DengXian"/>
        <family val="2"/>
        <charset val="134"/>
      </rPr>
      <t>，其中设备</t>
    </r>
    <r>
      <rPr>
        <sz val="11"/>
        <color theme="1"/>
        <rFont val="Calibri"/>
        <family val="2"/>
        <charset val="134"/>
      </rPr>
      <t>svc&lt;5000+VAT Base*13%</t>
    </r>
    <r>
      <rPr>
        <sz val="11"/>
        <color theme="1"/>
        <rFont val="DengXian"/>
        <family val="2"/>
        <charset val="134"/>
      </rPr>
      <t>，免费物料按照</t>
    </r>
    <r>
      <rPr>
        <sz val="11"/>
        <color theme="1"/>
        <rFont val="Calibri"/>
        <family val="2"/>
      </rPr>
      <t>distributor channel</t>
    </r>
    <r>
      <rPr>
        <sz val="11"/>
        <color theme="1"/>
        <rFont val="DengXian"/>
        <family val="2"/>
        <charset val="134"/>
      </rPr>
      <t>的</t>
    </r>
    <r>
      <rPr>
        <sz val="11"/>
        <color theme="1"/>
        <rFont val="Calibri"/>
        <family val="2"/>
      </rPr>
      <t>PC%</t>
    </r>
    <r>
      <rPr>
        <sz val="11"/>
        <color theme="1"/>
        <rFont val="DengXian"/>
        <family val="2"/>
        <charset val="134"/>
      </rPr>
      <t>计算</t>
    </r>
    <r>
      <rPr>
        <sz val="11"/>
        <color theme="1"/>
        <rFont val="Calibri"/>
        <family val="2"/>
      </rPr>
      <t>SVC,sales(g</t>
    </r>
    <r>
      <rPr>
        <sz val="11"/>
        <color theme="1"/>
        <rFont val="DengXian"/>
        <family val="2"/>
        <charset val="134"/>
      </rPr>
      <t>列）</t>
    </r>
    <r>
      <rPr>
        <sz val="11"/>
        <color theme="1"/>
        <rFont val="Calibri"/>
        <family val="2"/>
      </rPr>
      <t>*(1-0.6)+sales</t>
    </r>
    <r>
      <rPr>
        <sz val="11"/>
        <color theme="1"/>
        <rFont val="DengXian"/>
        <family val="2"/>
        <charset val="134"/>
      </rPr>
      <t>（</t>
    </r>
    <r>
      <rPr>
        <sz val="11"/>
        <color theme="1"/>
        <rFont val="Calibri"/>
        <family val="2"/>
      </rPr>
      <t>g</t>
    </r>
    <r>
      <rPr>
        <sz val="11"/>
        <color theme="1"/>
        <rFont val="DengXian"/>
        <family val="2"/>
        <charset val="134"/>
      </rPr>
      <t>列）</t>
    </r>
    <r>
      <rPr>
        <sz val="11"/>
        <color theme="1"/>
        <rFont val="Calibri"/>
        <family val="2"/>
      </rPr>
      <t>*13%</t>
    </r>
    <phoneticPr fontId="5" type="noConversion"/>
  </si>
  <si>
    <r>
      <rPr>
        <sz val="11"/>
        <color theme="1"/>
        <rFont val="DengXian"/>
        <family val="2"/>
        <charset val="134"/>
      </rPr>
      <t>根据不同</t>
    </r>
    <r>
      <rPr>
        <sz val="11"/>
        <color theme="1"/>
        <rFont val="Calibri"/>
        <family val="2"/>
      </rPr>
      <t>mm</t>
    </r>
    <r>
      <rPr>
        <sz val="11"/>
        <color theme="1"/>
        <rFont val="DengXian"/>
        <family val="2"/>
        <charset val="134"/>
      </rPr>
      <t>项目的总服务费率（</t>
    </r>
    <r>
      <rPr>
        <sz val="11"/>
        <color theme="1"/>
        <rFont val="Calibri"/>
        <family val="2"/>
      </rPr>
      <t>o</t>
    </r>
    <r>
      <rPr>
        <sz val="11"/>
        <color theme="1"/>
        <rFont val="DengXian"/>
        <family val="2"/>
        <charset val="134"/>
      </rPr>
      <t>列）</t>
    </r>
    <r>
      <rPr>
        <sz val="11"/>
        <color theme="1"/>
        <rFont val="Calibri"/>
        <family val="2"/>
      </rPr>
      <t>*PPG</t>
    </r>
    <r>
      <rPr>
        <sz val="11"/>
        <color theme="1"/>
        <rFont val="DengXian"/>
        <family val="2"/>
        <charset val="134"/>
      </rPr>
      <t>结算</t>
    </r>
    <r>
      <rPr>
        <sz val="11"/>
        <color theme="1"/>
        <rFont val="Calibri"/>
        <family val="2"/>
      </rPr>
      <t>sales</t>
    </r>
    <r>
      <rPr>
        <sz val="11"/>
        <color theme="1"/>
        <rFont val="DengXian"/>
        <family val="2"/>
        <charset val="134"/>
      </rPr>
      <t>（135行、136行）计算</t>
    </r>
    <phoneticPr fontId="5" type="noConversion"/>
  </si>
  <si>
    <r>
      <rPr>
        <sz val="11"/>
        <color theme="1"/>
        <rFont val="DengXian"/>
        <family val="2"/>
        <charset val="134"/>
      </rPr>
      <t>主机厂不同项目门店销量（132行、133行）*不同项目总服务费率（</t>
    </r>
    <r>
      <rPr>
        <sz val="11"/>
        <color theme="1"/>
        <rFont val="Calibri"/>
        <family val="2"/>
      </rPr>
      <t>q</t>
    </r>
    <r>
      <rPr>
        <sz val="11"/>
        <color theme="1"/>
        <rFont val="DengXian"/>
        <family val="2"/>
        <charset val="134"/>
      </rPr>
      <t>列）</t>
    </r>
    <r>
      <rPr>
        <sz val="11"/>
        <color theme="1"/>
        <rFont val="Calibri"/>
        <family val="2"/>
        <charset val="134"/>
      </rPr>
      <t>+MSO PPG</t>
    </r>
    <r>
      <rPr>
        <sz val="11"/>
        <color theme="1"/>
        <rFont val="DengXian"/>
        <family val="2"/>
        <charset val="134"/>
      </rPr>
      <t>结算销量（140行）*</t>
    </r>
    <r>
      <rPr>
        <sz val="11"/>
        <color theme="1"/>
        <rFont val="Calibri"/>
        <family val="2"/>
        <charset val="134"/>
      </rPr>
      <t>MSO</t>
    </r>
    <r>
      <rPr>
        <sz val="11"/>
        <color theme="1"/>
        <rFont val="DengXian"/>
        <family val="2"/>
        <charset val="134"/>
      </rPr>
      <t>总服务费率（</t>
    </r>
    <r>
      <rPr>
        <sz val="11"/>
        <color theme="1"/>
        <rFont val="Calibri"/>
        <family val="2"/>
      </rPr>
      <t>o</t>
    </r>
    <r>
      <rPr>
        <sz val="11"/>
        <color theme="1"/>
        <rFont val="DengXian"/>
        <family val="2"/>
        <charset val="134"/>
      </rPr>
      <t>列）</t>
    </r>
    <r>
      <rPr>
        <sz val="11"/>
        <color theme="1"/>
        <rFont val="Calibri"/>
        <family val="2"/>
        <charset val="134"/>
      </rPr>
      <t>+</t>
    </r>
    <r>
      <rPr>
        <sz val="11"/>
        <color theme="1"/>
        <rFont val="DengXian"/>
        <family val="3"/>
        <charset val="134"/>
      </rPr>
      <t>经销商渠道门店销量（142行）*</t>
    </r>
    <r>
      <rPr>
        <sz val="11"/>
        <color theme="1"/>
        <rFont val="Calibri"/>
        <family val="3"/>
      </rPr>
      <t>MSO</t>
    </r>
    <r>
      <rPr>
        <sz val="11"/>
        <color theme="1"/>
        <rFont val="DengXian"/>
        <family val="3"/>
        <charset val="134"/>
      </rPr>
      <t>项目经销商渠道总服务费率（</t>
    </r>
    <r>
      <rPr>
        <sz val="11"/>
        <color theme="1"/>
        <rFont val="Calibri"/>
        <family val="2"/>
        <charset val="134"/>
      </rPr>
      <t>p</t>
    </r>
    <r>
      <rPr>
        <sz val="11"/>
        <color theme="1"/>
        <rFont val="DengXian"/>
        <family val="3"/>
        <charset val="134"/>
      </rPr>
      <t>列）</t>
    </r>
    <phoneticPr fontId="5" type="noConversion"/>
  </si>
  <si>
    <r>
      <t>145</t>
    </r>
    <r>
      <rPr>
        <sz val="11"/>
        <color theme="1"/>
        <rFont val="DengXian"/>
        <family val="2"/>
        <charset val="134"/>
      </rPr>
      <t>行——186行只给财务看</t>
    </r>
    <phoneticPr fontId="5" type="noConversion"/>
  </si>
  <si>
    <r>
      <t>192</t>
    </r>
    <r>
      <rPr>
        <sz val="11"/>
        <color theme="1"/>
        <rFont val="DengXian"/>
        <family val="2"/>
        <charset val="134"/>
      </rPr>
      <t>行——212行的</t>
    </r>
    <r>
      <rPr>
        <sz val="11"/>
        <color theme="1"/>
        <rFont val="Calibri"/>
        <family val="2"/>
      </rPr>
      <t>result</t>
    </r>
    <r>
      <rPr>
        <sz val="11"/>
        <color theme="1"/>
        <rFont val="DengXian"/>
        <family val="2"/>
        <charset val="134"/>
      </rPr>
      <t>给销售、财务看</t>
    </r>
    <phoneticPr fontId="5" type="noConversion"/>
  </si>
  <si>
    <t>&gt;=25%</t>
    <phoneticPr fontId="5" type="noConversion"/>
  </si>
  <si>
    <r>
      <t>&gt;=100000</t>
    </r>
    <r>
      <rPr>
        <sz val="11"/>
        <color theme="1"/>
        <rFont val="DengXian"/>
        <family val="2"/>
        <charset val="134"/>
      </rPr>
      <t>美金</t>
    </r>
    <phoneticPr fontId="5" type="noConversion"/>
  </si>
  <si>
    <r>
      <t>&gt;=250000</t>
    </r>
    <r>
      <rPr>
        <sz val="11"/>
        <color theme="1"/>
        <rFont val="DengXian"/>
        <family val="2"/>
        <charset val="134"/>
      </rPr>
      <t>美金</t>
    </r>
    <phoneticPr fontId="5" type="noConversion"/>
  </si>
  <si>
    <t>PORSCHE</t>
  </si>
  <si>
    <t>PORSCHE</t>
    <phoneticPr fontId="5" type="noConversion"/>
  </si>
  <si>
    <t>XPENG</t>
  </si>
  <si>
    <t>XPENG</t>
    <phoneticPr fontId="5" type="noConversion"/>
  </si>
  <si>
    <t>mapping</t>
    <phoneticPr fontId="5" type="noConversion"/>
  </si>
  <si>
    <t>Distributor</t>
  </si>
  <si>
    <t>易养车SGM</t>
  </si>
  <si>
    <t>易养车SVW</t>
  </si>
  <si>
    <t>易养车DF Honda</t>
  </si>
  <si>
    <t>中升SGM</t>
  </si>
  <si>
    <t>中升SVW</t>
  </si>
  <si>
    <t>中升LYNK&amp;CO</t>
  </si>
  <si>
    <t>中升SMART</t>
  </si>
  <si>
    <t>中升TOYOTA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</si>
</sst>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_(* #,##0_);_(* \(#,##0\);_(* &quot;-&quot;??_);_(@_)"/>
    <numFmt numFmtId="177" formatCode="0.0&quot;Yrs&quot;"/>
    <numFmt numFmtId="178" formatCode="0.0%"/>
    <numFmt numFmtId="179" formatCode="#,##0_ "/>
    <numFmt numFmtId="180" formatCode="_(* #,##0_);_(* \(#,##0\);_(* &quot;-&quot;?_);_(@_)"/>
    <numFmt numFmtId="181" formatCode="0.0&quot;MMCNY&quot;"/>
    <numFmt numFmtId="182" formatCode="0.0&quot;yrs&quot;"/>
  </numFmts>
  <fonts count="6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DengXian"/>
      <family val="2"/>
      <charset val="134"/>
    </font>
    <font>
      <b/>
      <sz val="11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color theme="1"/>
      <name val="Calibri"/>
      <family val="2"/>
      <charset val="134"/>
    </font>
    <font>
      <b/>
      <sz val="10"/>
      <color theme="1"/>
      <name val="Calibri"/>
      <family val="2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</font>
    <font>
      <b/>
      <u/>
      <sz val="11"/>
      <color theme="1"/>
      <name val="Calibri"/>
      <family val="2"/>
    </font>
    <font>
      <sz val="11"/>
      <color theme="1"/>
      <name val="等线"/>
      <family val="2"/>
    </font>
    <font>
      <b/>
      <sz val="16"/>
      <name val="等线"/>
      <family val="3"/>
      <charset val="134"/>
      <scheme val="minor"/>
    </font>
    <font>
      <b/>
      <sz val="10"/>
      <color theme="1"/>
      <name val="华文中宋"/>
      <family val="3"/>
      <charset val="134"/>
    </font>
    <font>
      <b/>
      <sz val="10"/>
      <name val="华文中宋"/>
      <family val="3"/>
      <charset val="134"/>
    </font>
    <font>
      <sz val="9"/>
      <color theme="1"/>
      <name val="华文中宋"/>
      <family val="3"/>
      <charset val="134"/>
    </font>
    <font>
      <sz val="9"/>
      <color theme="1"/>
      <name val="等线"/>
      <family val="2"/>
      <scheme val="minor"/>
    </font>
    <font>
      <sz val="12"/>
      <name val="宋体"/>
      <family val="3"/>
      <charset val="134"/>
    </font>
    <font>
      <sz val="12"/>
      <name val="Arial"/>
      <family val="2"/>
    </font>
    <font>
      <b/>
      <sz val="17"/>
      <name val="宋体"/>
      <family val="3"/>
      <charset val="134"/>
    </font>
    <font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等线"/>
      <family val="2"/>
      <scheme val="minor"/>
    </font>
    <font>
      <sz val="10"/>
      <name val="宋体"/>
      <family val="3"/>
      <charset val="134"/>
    </font>
    <font>
      <b/>
      <sz val="12"/>
      <color indexed="12"/>
      <name val="Arial"/>
      <family val="2"/>
    </font>
    <font>
      <sz val="12"/>
      <name val="DengXian"/>
      <family val="2"/>
      <charset val="134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color theme="0" tint="-0.249977111117893"/>
      <name val="Calibri"/>
      <family val="2"/>
    </font>
    <font>
      <b/>
      <sz val="8"/>
      <color theme="0"/>
      <name val="Tahoma"/>
      <family val="2"/>
    </font>
    <font>
      <b/>
      <sz val="8"/>
      <color theme="0"/>
      <name val="Microsoft YaHei UI"/>
      <family val="2"/>
      <charset val="134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8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color theme="0"/>
      <name val="宋体"/>
      <family val="2"/>
      <charset val="134"/>
    </font>
    <font>
      <b/>
      <sz val="8"/>
      <color theme="0"/>
      <name val="Tahoma"/>
      <family val="2"/>
      <charset val="134"/>
    </font>
    <font>
      <sz val="11"/>
      <color theme="1"/>
      <name val="宋体"/>
      <family val="2"/>
      <charset val="134"/>
    </font>
    <font>
      <b/>
      <sz val="8"/>
      <color theme="0"/>
      <name val="DengXian"/>
      <family val="2"/>
      <charset val="134"/>
    </font>
    <font>
      <b/>
      <strike/>
      <sz val="11"/>
      <color theme="1"/>
      <name val="Calibri"/>
      <family val="2"/>
    </font>
    <font>
      <strike/>
      <sz val="11"/>
      <color theme="1"/>
      <name val="Calibri"/>
      <family val="2"/>
    </font>
    <font>
      <b/>
      <strike/>
      <u/>
      <sz val="11"/>
      <color theme="1"/>
      <name val="Calibri"/>
      <family val="2"/>
    </font>
    <font>
      <strike/>
      <sz val="11"/>
      <name val="Calibri"/>
      <family val="2"/>
    </font>
    <font>
      <strike/>
      <sz val="11"/>
      <color rgb="FFFF0000"/>
      <name val="Calibri"/>
      <family val="2"/>
    </font>
    <font>
      <sz val="11"/>
      <color theme="1"/>
      <name val="DengXian"/>
      <family val="3"/>
      <charset val="134"/>
    </font>
    <font>
      <sz val="11"/>
      <color theme="1"/>
      <name val="Calibri"/>
      <family val="3"/>
    </font>
    <font>
      <sz val="12"/>
      <name val="Arial"/>
      <family val="2"/>
      <charset val="134"/>
    </font>
    <font>
      <sz val="11"/>
      <name val="DengXian"/>
      <family val="2"/>
      <charset val="134"/>
    </font>
    <font>
      <sz val="8"/>
      <color rgb="FFFF0000"/>
      <name val="Tahoma"/>
      <family val="2"/>
    </font>
    <font>
      <b/>
      <sz val="8"/>
      <color rgb="FFFF0000"/>
      <name val="Tahoma"/>
      <family val="2"/>
      <charset val="134"/>
    </font>
    <font>
      <b/>
      <sz val="8"/>
      <color rgb="FFFF0000"/>
      <name val="Microsoft YaHei UI"/>
      <family val="2"/>
      <charset val="134"/>
    </font>
    <font>
      <b/>
      <sz val="8"/>
      <color rgb="FFFF0000"/>
      <name val="宋体"/>
      <family val="2"/>
      <charset val="134"/>
    </font>
    <font>
      <b/>
      <sz val="8"/>
      <color rgb="FFFF0000"/>
      <name val="Tahoma"/>
      <family val="2"/>
    </font>
    <font>
      <b/>
      <sz val="8"/>
      <color rgb="FFFF0000"/>
      <name val="DengXian"/>
      <family val="2"/>
      <charset val="134"/>
    </font>
    <font>
      <b/>
      <sz val="8"/>
      <color theme="1"/>
      <name val="DengXian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8" tint="0.39997558519241921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3" fillId="0" borderId="0"/>
    <xf numFmtId="0" fontId="8" fillId="0" borderId="0"/>
    <xf numFmtId="9" fontId="8" fillId="0" borderId="0" applyFont="0" applyFill="0" applyBorder="0" applyAlignment="0" applyProtection="0"/>
  </cellStyleXfs>
  <cellXfs count="347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 applyAlignment="1"/>
    <xf numFmtId="0" fontId="6" fillId="0" borderId="0" xfId="0" applyFont="1" applyAlignment="1"/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 applyAlignment="1"/>
    <xf numFmtId="0" fontId="6" fillId="2" borderId="10" xfId="0" applyFont="1" applyFill="1" applyBorder="1" applyAlignment="1">
      <alignment horizontal="center"/>
    </xf>
    <xf numFmtId="176" fontId="6" fillId="0" borderId="0" xfId="1" applyNumberFormat="1" applyFont="1" applyFill="1" applyAlignment="1"/>
    <xf numFmtId="14" fontId="6" fillId="2" borderId="11" xfId="0" applyNumberFormat="1" applyFont="1" applyFill="1" applyBorder="1" applyAlignment="1">
      <alignment horizontal="right"/>
    </xf>
    <xf numFmtId="14" fontId="6" fillId="2" borderId="12" xfId="0" applyNumberFormat="1" applyFont="1" applyFill="1" applyBorder="1" applyAlignment="1">
      <alignment horizontal="right"/>
    </xf>
    <xf numFmtId="177" fontId="6" fillId="0" borderId="9" xfId="0" applyNumberFormat="1" applyFont="1" applyBorder="1" applyAlignment="1"/>
    <xf numFmtId="0" fontId="6" fillId="2" borderId="8" xfId="0" applyFont="1" applyFill="1" applyBorder="1" applyAlignment="1">
      <alignment horizontal="center" vertical="center"/>
    </xf>
    <xf numFmtId="0" fontId="3" fillId="3" borderId="18" xfId="0" applyFont="1" applyFill="1" applyBorder="1">
      <alignment vertical="center"/>
    </xf>
    <xf numFmtId="0" fontId="3" fillId="3" borderId="19" xfId="0" applyFont="1" applyFill="1" applyBorder="1">
      <alignment vertical="center"/>
    </xf>
    <xf numFmtId="0" fontId="10" fillId="3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0" fillId="2" borderId="2" xfId="0" applyFill="1" applyBorder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1" xfId="0" applyBorder="1">
      <alignment vertical="center"/>
    </xf>
    <xf numFmtId="9" fontId="0" fillId="2" borderId="3" xfId="0" applyNumberFormat="1" applyFill="1" applyBorder="1">
      <alignment vertical="center"/>
    </xf>
    <xf numFmtId="0" fontId="0" fillId="0" borderId="4" xfId="0" applyBorder="1">
      <alignment vertical="center"/>
    </xf>
    <xf numFmtId="9" fontId="0" fillId="4" borderId="5" xfId="0" applyNumberFormat="1" applyFill="1" applyBorder="1">
      <alignment vertical="center"/>
    </xf>
    <xf numFmtId="0" fontId="0" fillId="2" borderId="5" xfId="0" applyFill="1" applyBorder="1">
      <alignment vertical="center"/>
    </xf>
    <xf numFmtId="9" fontId="10" fillId="0" borderId="10" xfId="2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9" fontId="6" fillId="0" borderId="4" xfId="2" applyFont="1" applyBorder="1" applyAlignment="1">
      <alignment vertical="center"/>
    </xf>
    <xf numFmtId="176" fontId="6" fillId="0" borderId="14" xfId="1" applyNumberFormat="1" applyFont="1" applyBorder="1" applyAlignment="1"/>
    <xf numFmtId="176" fontId="6" fillId="2" borderId="15" xfId="1" applyNumberFormat="1" applyFont="1" applyFill="1" applyBorder="1" applyAlignment="1"/>
    <xf numFmtId="176" fontId="6" fillId="2" borderId="24" xfId="1" applyNumberFormat="1" applyFont="1" applyFill="1" applyBorder="1" applyAlignment="1"/>
    <xf numFmtId="176" fontId="6" fillId="2" borderId="5" xfId="1" applyNumberFormat="1" applyFont="1" applyFill="1" applyBorder="1" applyAlignment="1"/>
    <xf numFmtId="0" fontId="6" fillId="2" borderId="0" xfId="0" applyFont="1" applyFill="1">
      <alignment vertical="center"/>
    </xf>
    <xf numFmtId="9" fontId="6" fillId="0" borderId="4" xfId="2" applyFont="1" applyBorder="1" applyAlignment="1"/>
    <xf numFmtId="9" fontId="6" fillId="0" borderId="6" xfId="2" applyFont="1" applyBorder="1" applyAlignment="1"/>
    <xf numFmtId="176" fontId="6" fillId="0" borderId="16" xfId="1" applyNumberFormat="1" applyFont="1" applyBorder="1" applyAlignment="1"/>
    <xf numFmtId="176" fontId="6" fillId="0" borderId="17" xfId="1" applyNumberFormat="1" applyFont="1" applyBorder="1" applyAlignment="1"/>
    <xf numFmtId="176" fontId="6" fillId="0" borderId="25" xfId="1" applyNumberFormat="1" applyFont="1" applyBorder="1" applyAlignment="1"/>
    <xf numFmtId="176" fontId="6" fillId="0" borderId="8" xfId="1" applyNumberFormat="1" applyFont="1" applyBorder="1" applyAlignment="1"/>
    <xf numFmtId="0" fontId="6" fillId="2" borderId="0" xfId="0" applyFont="1" applyFill="1" applyAlignment="1"/>
    <xf numFmtId="49" fontId="0" fillId="0" borderId="0" xfId="0" applyNumberFormat="1">
      <alignment vertical="center"/>
    </xf>
    <xf numFmtId="176" fontId="6" fillId="4" borderId="15" xfId="1" applyNumberFormat="1" applyFont="1" applyFill="1" applyBorder="1" applyAlignment="1"/>
    <xf numFmtId="0" fontId="14" fillId="0" borderId="4" xfId="0" applyFont="1" applyBorder="1">
      <alignment vertical="center"/>
    </xf>
    <xf numFmtId="0" fontId="14" fillId="2" borderId="5" xfId="0" applyFont="1" applyFill="1" applyBorder="1">
      <alignment vertical="center"/>
    </xf>
    <xf numFmtId="0" fontId="10" fillId="0" borderId="21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76" fontId="6" fillId="0" borderId="13" xfId="0" applyNumberFormat="1" applyFont="1" applyBorder="1" applyAlignment="1"/>
    <xf numFmtId="176" fontId="6" fillId="0" borderId="23" xfId="0" applyNumberFormat="1" applyFont="1" applyBorder="1" applyAlignment="1"/>
    <xf numFmtId="176" fontId="6" fillId="0" borderId="3" xfId="0" applyNumberFormat="1" applyFont="1" applyBorder="1" applyAlignment="1"/>
    <xf numFmtId="9" fontId="6" fillId="0" borderId="24" xfId="2" applyFont="1" applyFill="1" applyBorder="1" applyAlignment="1"/>
    <xf numFmtId="9" fontId="6" fillId="0" borderId="5" xfId="0" applyNumberFormat="1" applyFont="1" applyBorder="1" applyAlignment="1"/>
    <xf numFmtId="9" fontId="6" fillId="0" borderId="0" xfId="2" applyFont="1" applyFill="1" applyAlignment="1"/>
    <xf numFmtId="0" fontId="16" fillId="0" borderId="0" xfId="0" applyFont="1" applyAlignment="1">
      <alignment horizontal="left"/>
    </xf>
    <xf numFmtId="176" fontId="10" fillId="0" borderId="14" xfId="0" applyNumberFormat="1" applyFont="1" applyBorder="1" applyAlignment="1"/>
    <xf numFmtId="176" fontId="10" fillId="0" borderId="24" xfId="0" applyNumberFormat="1" applyFont="1" applyBorder="1" applyAlignment="1"/>
    <xf numFmtId="176" fontId="10" fillId="0" borderId="5" xfId="0" applyNumberFormat="1" applyFont="1" applyBorder="1" applyAlignment="1"/>
    <xf numFmtId="176" fontId="6" fillId="0" borderId="14" xfId="0" applyNumberFormat="1" applyFont="1" applyBorder="1" applyAlignment="1"/>
    <xf numFmtId="176" fontId="6" fillId="0" borderId="24" xfId="0" applyNumberFormat="1" applyFont="1" applyBorder="1" applyAlignment="1"/>
    <xf numFmtId="176" fontId="6" fillId="0" borderId="5" xfId="0" applyNumberFormat="1" applyFont="1" applyBorder="1" applyAlignment="1"/>
    <xf numFmtId="9" fontId="6" fillId="0" borderId="5" xfId="2" applyFont="1" applyFill="1" applyBorder="1" applyAlignment="1"/>
    <xf numFmtId="176" fontId="6" fillId="2" borderId="24" xfId="0" applyNumberFormat="1" applyFont="1" applyFill="1" applyBorder="1" applyAlignment="1"/>
    <xf numFmtId="176" fontId="6" fillId="2" borderId="5" xfId="0" applyNumberFormat="1" applyFont="1" applyFill="1" applyBorder="1" applyAlignment="1"/>
    <xf numFmtId="9" fontId="6" fillId="0" borderId="25" xfId="2" applyFont="1" applyFill="1" applyBorder="1" applyAlignment="1"/>
    <xf numFmtId="9" fontId="6" fillId="0" borderId="8" xfId="2" applyFont="1" applyFill="1" applyBorder="1" applyAlignment="1"/>
    <xf numFmtId="0" fontId="18" fillId="0" borderId="0" xfId="0" applyFont="1" applyAlignment="1"/>
    <xf numFmtId="0" fontId="0" fillId="0" borderId="0" xfId="0" applyAlignment="1"/>
    <xf numFmtId="176" fontId="0" fillId="0" borderId="0" xfId="0" applyNumberFormat="1" applyAlignment="1"/>
    <xf numFmtId="43" fontId="0" fillId="0" borderId="0" xfId="1" applyFont="1" applyAlignment="1" applyProtection="1">
      <protection hidden="1"/>
    </xf>
    <xf numFmtId="0" fontId="0" fillId="0" borderId="0" xfId="1" applyNumberFormat="1" applyFont="1" applyAlignment="1" applyProtection="1">
      <protection hidden="1"/>
    </xf>
    <xf numFmtId="0" fontId="0" fillId="0" borderId="0" xfId="0" applyAlignment="1" applyProtection="1">
      <protection hidden="1"/>
    </xf>
    <xf numFmtId="0" fontId="19" fillId="5" borderId="29" xfId="0" applyFont="1" applyFill="1" applyBorder="1" applyAlignment="1">
      <alignment horizontal="center" vertical="center"/>
    </xf>
    <xf numFmtId="0" fontId="21" fillId="2" borderId="29" xfId="0" applyFont="1" applyFill="1" applyBorder="1" applyAlignment="1" applyProtection="1">
      <alignment horizontal="center" vertical="center"/>
      <protection locked="0"/>
    </xf>
    <xf numFmtId="0" fontId="22" fillId="2" borderId="29" xfId="0" applyFont="1" applyFill="1" applyBorder="1" applyAlignment="1" applyProtection="1">
      <alignment horizontal="left" vertical="center"/>
      <protection locked="0"/>
    </xf>
    <xf numFmtId="0" fontId="22" fillId="2" borderId="29" xfId="0" applyFont="1" applyFill="1" applyBorder="1" applyAlignment="1" applyProtection="1">
      <alignment horizontal="center" vertical="center"/>
      <protection locked="0"/>
    </xf>
    <xf numFmtId="0" fontId="22" fillId="0" borderId="29" xfId="0" applyFont="1" applyBorder="1" applyAlignment="1" applyProtection="1">
      <alignment horizontal="center" vertical="center"/>
      <protection locked="0"/>
    </xf>
    <xf numFmtId="176" fontId="22" fillId="2" borderId="29" xfId="1" applyNumberFormat="1" applyFont="1" applyFill="1" applyBorder="1" applyAlignment="1" applyProtection="1">
      <alignment horizontal="center" vertical="center"/>
      <protection locked="0"/>
    </xf>
    <xf numFmtId="176" fontId="22" fillId="0" borderId="29" xfId="1" applyNumberFormat="1" applyFont="1" applyBorder="1" applyAlignment="1" applyProtection="1">
      <alignment horizontal="center" vertical="center"/>
      <protection locked="0"/>
    </xf>
    <xf numFmtId="43" fontId="0" fillId="0" borderId="0" xfId="1" applyFont="1" applyFill="1" applyAlignment="1" applyProtection="1">
      <protection hidden="1"/>
    </xf>
    <xf numFmtId="43" fontId="22" fillId="2" borderId="29" xfId="1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center" vertical="center"/>
      <protection locked="0"/>
    </xf>
    <xf numFmtId="0" fontId="21" fillId="4" borderId="29" xfId="0" applyFont="1" applyFill="1" applyBorder="1" applyAlignment="1" applyProtection="1">
      <alignment horizontal="center" vertical="center"/>
      <protection locked="0"/>
    </xf>
    <xf numFmtId="0" fontId="24" fillId="0" borderId="0" xfId="3" applyFont="1" applyAlignment="1">
      <alignment vertical="center"/>
    </xf>
    <xf numFmtId="49" fontId="24" fillId="0" borderId="0" xfId="3" applyNumberFormat="1" applyFont="1" applyAlignment="1">
      <alignment vertical="center"/>
    </xf>
    <xf numFmtId="49" fontId="2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0" fontId="24" fillId="0" borderId="0" xfId="3" applyFont="1"/>
    <xf numFmtId="0" fontId="27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49" fontId="28" fillId="0" borderId="0" xfId="3" applyNumberFormat="1" applyFont="1" applyAlignment="1">
      <alignment vertical="center"/>
    </xf>
    <xf numFmtId="0" fontId="28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49" fontId="27" fillId="0" borderId="0" xfId="3" applyNumberFormat="1" applyFont="1" applyAlignment="1">
      <alignment vertical="center"/>
    </xf>
    <xf numFmtId="0" fontId="27" fillId="0" borderId="32" xfId="3" applyFont="1" applyBorder="1" applyAlignment="1">
      <alignment horizontal="center" vertical="center" wrapText="1"/>
    </xf>
    <xf numFmtId="49" fontId="27" fillId="0" borderId="32" xfId="3" applyNumberFormat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 wrapText="1"/>
    </xf>
    <xf numFmtId="0" fontId="30" fillId="2" borderId="32" xfId="3" applyFont="1" applyFill="1" applyBorder="1" applyAlignment="1">
      <alignment horizontal="center" vertical="center"/>
    </xf>
    <xf numFmtId="0" fontId="31" fillId="2" borderId="32" xfId="3" applyFont="1" applyFill="1" applyBorder="1" applyAlignment="1">
      <alignment horizontal="center" vertical="center"/>
    </xf>
    <xf numFmtId="0" fontId="33" fillId="2" borderId="32" xfId="0" applyFont="1" applyFill="1" applyBorder="1" applyAlignment="1" applyProtection="1">
      <alignment horizontal="center" vertical="center"/>
      <protection locked="0"/>
    </xf>
    <xf numFmtId="0" fontId="31" fillId="2" borderId="33" xfId="3" applyFont="1" applyFill="1" applyBorder="1" applyAlignment="1">
      <alignment horizontal="center" vertical="center"/>
    </xf>
    <xf numFmtId="0" fontId="31" fillId="2" borderId="32" xfId="3" applyFont="1" applyFill="1" applyBorder="1" applyAlignment="1">
      <alignment vertical="center"/>
    </xf>
    <xf numFmtId="0" fontId="27" fillId="0" borderId="0" xfId="3" applyFont="1" applyAlignment="1">
      <alignment horizontal="left" vertical="center" wrapText="1"/>
    </xf>
    <xf numFmtId="0" fontId="34" fillId="0" borderId="0" xfId="3" applyFont="1" applyAlignment="1">
      <alignment vertical="center"/>
    </xf>
    <xf numFmtId="0" fontId="23" fillId="0" borderId="0" xfId="3" applyAlignment="1">
      <alignment vertical="center"/>
    </xf>
    <xf numFmtId="0" fontId="35" fillId="0" borderId="0" xfId="3" applyFont="1" applyAlignment="1">
      <alignment vertical="center"/>
    </xf>
    <xf numFmtId="0" fontId="28" fillId="0" borderId="0" xfId="3" applyFont="1" applyAlignment="1">
      <alignment horizontal="center" vertical="center"/>
    </xf>
    <xf numFmtId="49" fontId="24" fillId="0" borderId="0" xfId="3" applyNumberFormat="1" applyFont="1" applyAlignment="1">
      <alignment horizontal="left" vertical="center"/>
    </xf>
    <xf numFmtId="176" fontId="32" fillId="4" borderId="32" xfId="3" applyNumberFormat="1" applyFont="1" applyFill="1" applyBorder="1" applyAlignment="1">
      <alignment horizontal="center" vertical="center"/>
    </xf>
    <xf numFmtId="0" fontId="24" fillId="0" borderId="32" xfId="3" applyFont="1" applyBorder="1" applyAlignment="1">
      <alignment horizontal="center" vertical="center" wrapText="1"/>
    </xf>
    <xf numFmtId="176" fontId="6" fillId="4" borderId="24" xfId="0" applyNumberFormat="1" applyFont="1" applyFill="1" applyBorder="1" applyAlignment="1"/>
    <xf numFmtId="9" fontId="6" fillId="0" borderId="14" xfId="2" applyFont="1" applyFill="1" applyBorder="1" applyAlignment="1"/>
    <xf numFmtId="176" fontId="6" fillId="0" borderId="24" xfId="1" applyNumberFormat="1" applyFont="1" applyFill="1" applyBorder="1" applyAlignment="1"/>
    <xf numFmtId="43" fontId="6" fillId="0" borderId="0" xfId="0" applyNumberFormat="1" applyFont="1" applyAlignment="1"/>
    <xf numFmtId="9" fontId="6" fillId="2" borderId="16" xfId="0" applyNumberFormat="1" applyFont="1" applyFill="1" applyBorder="1" applyAlignment="1"/>
    <xf numFmtId="9" fontId="6" fillId="0" borderId="0" xfId="0" applyNumberFormat="1" applyFont="1" applyAlignment="1"/>
    <xf numFmtId="0" fontId="40" fillId="0" borderId="0" xfId="0" applyFont="1" applyAlignment="1"/>
    <xf numFmtId="179" fontId="41" fillId="0" borderId="0" xfId="0" applyNumberFormat="1" applyFont="1" applyAlignment="1"/>
    <xf numFmtId="176" fontId="6" fillId="0" borderId="0" xfId="0" applyNumberFormat="1" applyFont="1" applyAlignment="1"/>
    <xf numFmtId="0" fontId="10" fillId="7" borderId="0" xfId="0" applyFont="1" applyFill="1" applyAlignment="1">
      <alignment horizontal="center"/>
    </xf>
    <xf numFmtId="0" fontId="6" fillId="8" borderId="0" xfId="0" applyFont="1" applyFill="1" applyAlignment="1"/>
    <xf numFmtId="176" fontId="6" fillId="0" borderId="0" xfId="1" applyNumberFormat="1" applyFont="1" applyAlignment="1"/>
    <xf numFmtId="0" fontId="37" fillId="0" borderId="0" xfId="0" applyFont="1" applyAlignment="1"/>
    <xf numFmtId="176" fontId="10" fillId="0" borderId="0" xfId="1" applyNumberFormat="1" applyFont="1" applyAlignment="1"/>
    <xf numFmtId="180" fontId="6" fillId="0" borderId="0" xfId="0" applyNumberFormat="1" applyFont="1" applyAlignment="1"/>
    <xf numFmtId="180" fontId="10" fillId="0" borderId="0" xfId="0" applyNumberFormat="1" applyFont="1" applyAlignment="1"/>
    <xf numFmtId="176" fontId="6" fillId="0" borderId="0" xfId="1" applyNumberFormat="1" applyFont="1" applyFill="1" applyBorder="1" applyAlignment="1"/>
    <xf numFmtId="9" fontId="6" fillId="0" borderId="0" xfId="2" applyFont="1" applyAlignment="1"/>
    <xf numFmtId="176" fontId="10" fillId="0" borderId="0" xfId="0" applyNumberFormat="1" applyFont="1" applyAlignment="1"/>
    <xf numFmtId="9" fontId="10" fillId="0" borderId="0" xfId="0" applyNumberFormat="1" applyFont="1" applyAlignment="1"/>
    <xf numFmtId="176" fontId="6" fillId="0" borderId="41" xfId="1" applyNumberFormat="1" applyFont="1" applyBorder="1" applyAlignment="1"/>
    <xf numFmtId="0" fontId="6" fillId="0" borderId="40" xfId="0" applyFont="1" applyBorder="1" applyAlignment="1"/>
    <xf numFmtId="176" fontId="6" fillId="0" borderId="40" xfId="0" applyNumberFormat="1" applyFont="1" applyBorder="1" applyAlignment="1"/>
    <xf numFmtId="9" fontId="10" fillId="0" borderId="0" xfId="2" applyFont="1" applyBorder="1" applyAlignment="1"/>
    <xf numFmtId="176" fontId="6" fillId="0" borderId="0" xfId="1" applyNumberFormat="1" applyFont="1" applyBorder="1" applyAlignment="1"/>
    <xf numFmtId="0" fontId="10" fillId="0" borderId="40" xfId="0" applyFont="1" applyBorder="1" applyAlignment="1"/>
    <xf numFmtId="9" fontId="10" fillId="0" borderId="40" xfId="2" applyFont="1" applyBorder="1" applyAlignment="1"/>
    <xf numFmtId="0" fontId="6" fillId="0" borderId="0" xfId="1" applyNumberFormat="1" applyFont="1" applyAlignment="1"/>
    <xf numFmtId="43" fontId="6" fillId="0" borderId="0" xfId="1" applyFont="1" applyAlignment="1"/>
    <xf numFmtId="0" fontId="6" fillId="0" borderId="1" xfId="0" applyFont="1" applyBorder="1" applyAlignment="1"/>
    <xf numFmtId="177" fontId="6" fillId="0" borderId="3" xfId="0" applyNumberFormat="1" applyFont="1" applyBorder="1" applyAlignment="1"/>
    <xf numFmtId="0" fontId="6" fillId="0" borderId="4" xfId="0" applyFont="1" applyBorder="1" applyAlignment="1"/>
    <xf numFmtId="181" fontId="6" fillId="0" borderId="5" xfId="1" applyNumberFormat="1" applyFont="1" applyFill="1" applyBorder="1" applyAlignment="1"/>
    <xf numFmtId="178" fontId="6" fillId="0" borderId="5" xfId="0" applyNumberFormat="1" applyFont="1" applyBorder="1" applyAlignment="1"/>
    <xf numFmtId="0" fontId="6" fillId="0" borderId="6" xfId="0" applyFont="1" applyBorder="1" applyAlignment="1"/>
    <xf numFmtId="182" fontId="6" fillId="0" borderId="8" xfId="0" applyNumberFormat="1" applyFont="1" applyBorder="1" applyAlignment="1"/>
    <xf numFmtId="0" fontId="6" fillId="0" borderId="42" xfId="0" applyFont="1" applyBorder="1">
      <alignment vertical="center"/>
    </xf>
    <xf numFmtId="0" fontId="6" fillId="0" borderId="43" xfId="0" applyFont="1" applyBorder="1" applyAlignment="1">
      <alignment horizontal="right" vertical="center"/>
    </xf>
    <xf numFmtId="0" fontId="6" fillId="0" borderId="44" xfId="0" applyFont="1" applyBorder="1">
      <alignment vertical="center"/>
    </xf>
    <xf numFmtId="0" fontId="6" fillId="0" borderId="45" xfId="0" applyFont="1" applyBorder="1" applyAlignment="1">
      <alignment horizontal="right" vertical="center"/>
    </xf>
    <xf numFmtId="177" fontId="6" fillId="0" borderId="46" xfId="0" applyNumberFormat="1" applyFont="1" applyBorder="1" applyAlignment="1"/>
    <xf numFmtId="2" fontId="6" fillId="0" borderId="46" xfId="1" applyNumberFormat="1" applyFont="1" applyFill="1" applyBorder="1" applyAlignment="1"/>
    <xf numFmtId="178" fontId="6" fillId="0" borderId="46" xfId="2" applyNumberFormat="1" applyFont="1" applyFill="1" applyBorder="1" applyAlignment="1">
      <alignment vertical="center"/>
    </xf>
    <xf numFmtId="182" fontId="6" fillId="0" borderId="46" xfId="0" applyNumberFormat="1" applyFont="1" applyBorder="1" applyAlignment="1"/>
    <xf numFmtId="0" fontId="6" fillId="0" borderId="48" xfId="0" applyFont="1" applyBorder="1">
      <alignment vertical="center"/>
    </xf>
    <xf numFmtId="2" fontId="6" fillId="0" borderId="49" xfId="1" applyNumberFormat="1" applyFont="1" applyFill="1" applyBorder="1" applyAlignment="1"/>
    <xf numFmtId="0" fontId="0" fillId="4" borderId="1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  <xf numFmtId="9" fontId="6" fillId="0" borderId="0" xfId="2" applyFont="1" applyFill="1" applyBorder="1" applyAlignment="1"/>
    <xf numFmtId="176" fontId="6" fillId="0" borderId="50" xfId="0" applyNumberFormat="1" applyFont="1" applyBorder="1" applyAlignment="1"/>
    <xf numFmtId="176" fontId="6" fillId="4" borderId="50" xfId="0" applyNumberFormat="1" applyFont="1" applyFill="1" applyBorder="1" applyAlignment="1"/>
    <xf numFmtId="9" fontId="6" fillId="0" borderId="14" xfId="2" applyFont="1" applyBorder="1" applyAlignment="1"/>
    <xf numFmtId="9" fontId="6" fillId="0" borderId="4" xfId="2" applyFont="1" applyFill="1" applyBorder="1" applyAlignment="1"/>
    <xf numFmtId="9" fontId="6" fillId="0" borderId="16" xfId="0" applyNumberFormat="1" applyFont="1" applyBorder="1" applyAlignment="1"/>
    <xf numFmtId="0" fontId="44" fillId="0" borderId="52" xfId="4" applyFont="1" applyBorder="1" applyAlignment="1" applyProtection="1">
      <alignment horizontal="center" vertical="center"/>
      <protection hidden="1"/>
    </xf>
    <xf numFmtId="9" fontId="45" fillId="0" borderId="32" xfId="2" applyFont="1" applyBorder="1" applyAlignment="1" applyProtection="1">
      <alignment horizontal="center" vertical="center"/>
      <protection hidden="1"/>
    </xf>
    <xf numFmtId="9" fontId="45" fillId="0" borderId="53" xfId="2" applyFont="1" applyBorder="1" applyAlignment="1" applyProtection="1">
      <alignment horizontal="center" vertical="center"/>
      <protection hidden="1"/>
    </xf>
    <xf numFmtId="0" fontId="46" fillId="0" borderId="52" xfId="4" applyFont="1" applyBorder="1" applyAlignment="1" applyProtection="1">
      <alignment horizontal="center" vertical="center"/>
      <protection hidden="1"/>
    </xf>
    <xf numFmtId="0" fontId="46" fillId="9" borderId="54" xfId="4" applyFont="1" applyFill="1" applyBorder="1" applyAlignment="1" applyProtection="1">
      <alignment horizontal="center" vertical="center"/>
      <protection hidden="1"/>
    </xf>
    <xf numFmtId="0" fontId="46" fillId="0" borderId="36" xfId="4" applyFont="1" applyBorder="1" applyAlignment="1" applyProtection="1">
      <alignment horizontal="center" vertical="center"/>
      <protection hidden="1"/>
    </xf>
    <xf numFmtId="9" fontId="45" fillId="0" borderId="35" xfId="2" applyFont="1" applyBorder="1" applyAlignment="1" applyProtection="1">
      <alignment horizontal="center" vertical="center"/>
      <protection hidden="1"/>
    </xf>
    <xf numFmtId="0" fontId="0" fillId="0" borderId="0" xfId="2" applyNumberFormat="1" applyFont="1" applyAlignment="1" applyProtection="1">
      <protection hidden="1"/>
    </xf>
    <xf numFmtId="9" fontId="0" fillId="0" borderId="0" xfId="2" applyFont="1" applyAlignment="1" applyProtection="1">
      <protection hidden="1"/>
    </xf>
    <xf numFmtId="0" fontId="45" fillId="0" borderId="32" xfId="2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 wrapText="1"/>
    </xf>
    <xf numFmtId="0" fontId="30" fillId="4" borderId="32" xfId="3" applyFont="1" applyFill="1" applyBorder="1" applyAlignment="1">
      <alignment horizontal="center" vertical="center" wrapText="1"/>
    </xf>
    <xf numFmtId="0" fontId="31" fillId="4" borderId="32" xfId="3" applyFont="1" applyFill="1" applyBorder="1" applyAlignment="1">
      <alignment horizontal="center" vertical="center"/>
    </xf>
    <xf numFmtId="0" fontId="31" fillId="4" borderId="33" xfId="3" applyFont="1" applyFill="1" applyBorder="1" applyAlignment="1">
      <alignment horizontal="center" vertical="center"/>
    </xf>
    <xf numFmtId="43" fontId="0" fillId="0" borderId="0" xfId="1" applyFont="1">
      <alignment vertical="center"/>
    </xf>
    <xf numFmtId="43" fontId="0" fillId="2" borderId="0" xfId="1" applyFont="1" applyFill="1">
      <alignment vertical="center"/>
    </xf>
    <xf numFmtId="180" fontId="6" fillId="10" borderId="0" xfId="0" applyNumberFormat="1" applyFont="1" applyFill="1" applyAlignment="1"/>
    <xf numFmtId="176" fontId="38" fillId="10" borderId="0" xfId="1" applyNumberFormat="1" applyFont="1" applyFill="1" applyAlignment="1"/>
    <xf numFmtId="0" fontId="6" fillId="10" borderId="0" xfId="0" applyFont="1" applyFill="1" applyAlignment="1"/>
    <xf numFmtId="43" fontId="0" fillId="0" borderId="0" xfId="0" applyNumberFormat="1">
      <alignment vertical="center"/>
    </xf>
    <xf numFmtId="9" fontId="45" fillId="0" borderId="51" xfId="2" applyFont="1" applyBorder="1" applyAlignment="1" applyProtection="1">
      <alignment horizontal="center" vertical="center"/>
      <protection hidden="1"/>
    </xf>
    <xf numFmtId="9" fontId="46" fillId="0" borderId="32" xfId="2" applyFont="1" applyBorder="1" applyAlignment="1" applyProtection="1">
      <alignment horizontal="center" vertical="center"/>
      <protection hidden="1"/>
    </xf>
    <xf numFmtId="178" fontId="45" fillId="0" borderId="32" xfId="2" applyNumberFormat="1" applyFont="1" applyBorder="1" applyAlignment="1" applyProtection="1">
      <alignment horizontal="center" vertical="center"/>
      <protection hidden="1"/>
    </xf>
    <xf numFmtId="178" fontId="45" fillId="0" borderId="33" xfId="2" applyNumberFormat="1" applyFont="1" applyBorder="1" applyAlignment="1" applyProtection="1">
      <alignment horizontal="center" vertical="center"/>
      <protection hidden="1"/>
    </xf>
    <xf numFmtId="178" fontId="45" fillId="0" borderId="51" xfId="2" applyNumberFormat="1" applyFont="1" applyBorder="1" applyAlignment="1" applyProtection="1">
      <alignment horizontal="center" vertical="center"/>
      <protection hidden="1"/>
    </xf>
    <xf numFmtId="9" fontId="45" fillId="0" borderId="38" xfId="2" applyFont="1" applyBorder="1" applyAlignment="1" applyProtection="1">
      <alignment horizontal="center" vertical="center"/>
      <protection hidden="1"/>
    </xf>
    <xf numFmtId="9" fontId="50" fillId="0" borderId="38" xfId="2" applyFont="1" applyBorder="1" applyAlignment="1" applyProtection="1">
      <alignment horizontal="center" vertical="center" wrapText="1"/>
      <protection hidden="1"/>
    </xf>
    <xf numFmtId="0" fontId="6" fillId="11" borderId="0" xfId="0" applyFont="1" applyFill="1" applyAlignment="1"/>
    <xf numFmtId="0" fontId="6" fillId="0" borderId="0" xfId="1" applyNumberFormat="1" applyFont="1" applyBorder="1" applyAlignment="1"/>
    <xf numFmtId="9" fontId="52" fillId="0" borderId="38" xfId="2" applyFont="1" applyBorder="1" applyAlignment="1" applyProtection="1">
      <alignment horizontal="center" vertical="center" wrapText="1"/>
      <protection hidden="1"/>
    </xf>
    <xf numFmtId="0" fontId="46" fillId="9" borderId="36" xfId="4" applyFont="1" applyFill="1" applyBorder="1" applyAlignment="1" applyProtection="1">
      <alignment horizontal="center" vertical="center"/>
      <protection hidden="1"/>
    </xf>
    <xf numFmtId="0" fontId="46" fillId="2" borderId="52" xfId="4" applyFont="1" applyFill="1" applyBorder="1" applyAlignment="1" applyProtection="1">
      <alignment horizontal="center" vertical="center"/>
      <protection hidden="1"/>
    </xf>
    <xf numFmtId="9" fontId="45" fillId="2" borderId="32" xfId="2" applyFont="1" applyFill="1" applyBorder="1" applyAlignment="1" applyProtection="1">
      <alignment horizontal="center" vertical="center"/>
      <protection hidden="1"/>
    </xf>
    <xf numFmtId="9" fontId="45" fillId="2" borderId="53" xfId="2" applyFont="1" applyFill="1" applyBorder="1" applyAlignment="1" applyProtection="1">
      <alignment horizontal="center" vertical="center"/>
      <protection hidden="1"/>
    </xf>
    <xf numFmtId="0" fontId="45" fillId="2" borderId="32" xfId="2" applyNumberFormat="1" applyFont="1" applyFill="1" applyBorder="1" applyAlignment="1" applyProtection="1">
      <alignment horizontal="center" vertical="center"/>
      <protection hidden="1"/>
    </xf>
    <xf numFmtId="9" fontId="45" fillId="2" borderId="51" xfId="2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protection hidden="1"/>
    </xf>
    <xf numFmtId="9" fontId="50" fillId="12" borderId="53" xfId="2" applyFont="1" applyFill="1" applyBorder="1" applyAlignment="1">
      <alignment horizontal="center" vertical="center" wrapText="1"/>
    </xf>
    <xf numFmtId="9" fontId="50" fillId="13" borderId="38" xfId="2" applyFont="1" applyFill="1" applyBorder="1" applyAlignment="1" applyProtection="1">
      <alignment horizontal="center" vertical="center" wrapText="1"/>
      <protection hidden="1"/>
    </xf>
    <xf numFmtId="0" fontId="0" fillId="4" borderId="0" xfId="0" applyFill="1">
      <alignment vertical="center"/>
    </xf>
    <xf numFmtId="9" fontId="0" fillId="2" borderId="5" xfId="0" applyNumberFormat="1" applyFill="1" applyBorder="1">
      <alignment vertical="center"/>
    </xf>
    <xf numFmtId="0" fontId="0" fillId="2" borderId="8" xfId="0" applyFill="1" applyBorder="1">
      <alignment vertical="center"/>
    </xf>
    <xf numFmtId="0" fontId="0" fillId="11" borderId="0" xfId="0" applyFill="1">
      <alignment vertical="center"/>
    </xf>
    <xf numFmtId="9" fontId="37" fillId="5" borderId="0" xfId="2" applyFont="1" applyFill="1" applyAlignment="1"/>
    <xf numFmtId="9" fontId="6" fillId="5" borderId="0" xfId="0" applyNumberFormat="1" applyFont="1" applyFill="1" applyAlignment="1"/>
    <xf numFmtId="9" fontId="6" fillId="5" borderId="0" xfId="2" applyFont="1" applyFill="1" applyAlignment="1"/>
    <xf numFmtId="0" fontId="6" fillId="5" borderId="0" xfId="0" applyFont="1" applyFill="1" applyAlignment="1"/>
    <xf numFmtId="0" fontId="53" fillId="5" borderId="0" xfId="0" applyFont="1" applyFill="1" applyAlignment="1"/>
    <xf numFmtId="0" fontId="54" fillId="5" borderId="0" xfId="0" applyFont="1" applyFill="1" applyAlignment="1"/>
    <xf numFmtId="9" fontId="54" fillId="5" borderId="0" xfId="0" applyNumberFormat="1" applyFont="1" applyFill="1" applyAlignment="1"/>
    <xf numFmtId="9" fontId="54" fillId="5" borderId="0" xfId="2" applyFont="1" applyFill="1" applyAlignment="1"/>
    <xf numFmtId="0" fontId="55" fillId="5" borderId="0" xfId="0" applyFont="1" applyFill="1" applyAlignment="1">
      <alignment horizontal="left"/>
    </xf>
    <xf numFmtId="9" fontId="53" fillId="5" borderId="42" xfId="2" applyFont="1" applyFill="1" applyBorder="1" applyAlignment="1">
      <alignment horizontal="center"/>
    </xf>
    <xf numFmtId="43" fontId="53" fillId="5" borderId="43" xfId="1" applyFont="1" applyFill="1" applyBorder="1" applyAlignment="1">
      <alignment horizontal="center"/>
    </xf>
    <xf numFmtId="43" fontId="53" fillId="5" borderId="0" xfId="1" applyFont="1" applyFill="1" applyBorder="1" applyAlignment="1">
      <alignment horizontal="center"/>
    </xf>
    <xf numFmtId="9" fontId="53" fillId="5" borderId="48" xfId="2" applyFont="1" applyFill="1" applyBorder="1" applyAlignment="1">
      <alignment horizontal="center"/>
    </xf>
    <xf numFmtId="9" fontId="53" fillId="5" borderId="49" xfId="2" applyFont="1" applyFill="1" applyBorder="1" applyAlignment="1">
      <alignment horizontal="center"/>
    </xf>
    <xf numFmtId="9" fontId="53" fillId="5" borderId="0" xfId="2" applyFont="1" applyFill="1" applyBorder="1" applyAlignment="1">
      <alignment horizontal="center"/>
    </xf>
    <xf numFmtId="0" fontId="55" fillId="5" borderId="0" xfId="0" applyFont="1" applyFill="1" applyAlignment="1"/>
    <xf numFmtId="0" fontId="53" fillId="5" borderId="18" xfId="0" applyFont="1" applyFill="1" applyBorder="1" applyAlignment="1">
      <alignment horizontal="center"/>
    </xf>
    <xf numFmtId="0" fontId="53" fillId="5" borderId="21" xfId="0" applyFont="1" applyFill="1" applyBorder="1" applyAlignment="1">
      <alignment horizontal="center"/>
    </xf>
    <xf numFmtId="0" fontId="53" fillId="5" borderId="34" xfId="0" applyFont="1" applyFill="1" applyBorder="1" applyAlignment="1">
      <alignment horizontal="center"/>
    </xf>
    <xf numFmtId="0" fontId="53" fillId="5" borderId="22" xfId="0" applyFont="1" applyFill="1" applyBorder="1" applyAlignment="1">
      <alignment horizontal="center"/>
    </xf>
    <xf numFmtId="0" fontId="53" fillId="5" borderId="26" xfId="0" applyFont="1" applyFill="1" applyBorder="1" applyAlignment="1">
      <alignment horizontal="center"/>
    </xf>
    <xf numFmtId="0" fontId="53" fillId="5" borderId="20" xfId="0" applyFont="1" applyFill="1" applyBorder="1" applyAlignment="1">
      <alignment horizontal="center"/>
    </xf>
    <xf numFmtId="0" fontId="56" fillId="5" borderId="0" xfId="0" applyFont="1" applyFill="1" applyAlignment="1"/>
    <xf numFmtId="9" fontId="54" fillId="5" borderId="14" xfId="2" applyFont="1" applyFill="1" applyBorder="1" applyAlignment="1"/>
    <xf numFmtId="9" fontId="54" fillId="5" borderId="24" xfId="2" applyFont="1" applyFill="1" applyBorder="1" applyAlignment="1"/>
    <xf numFmtId="9" fontId="54" fillId="5" borderId="5" xfId="2" applyFont="1" applyFill="1" applyBorder="1" applyAlignment="1"/>
    <xf numFmtId="0" fontId="54" fillId="5" borderId="14" xfId="0" applyFont="1" applyFill="1" applyBorder="1" applyAlignment="1"/>
    <xf numFmtId="0" fontId="12" fillId="5" borderId="0" xfId="0" applyFont="1" applyFill="1" applyAlignment="1"/>
    <xf numFmtId="9" fontId="54" fillId="5" borderId="16" xfId="2" applyFont="1" applyFill="1" applyBorder="1" applyAlignment="1"/>
    <xf numFmtId="9" fontId="54" fillId="5" borderId="25" xfId="2" applyFont="1" applyFill="1" applyBorder="1" applyAlignment="1"/>
    <xf numFmtId="9" fontId="54" fillId="5" borderId="8" xfId="2" applyFont="1" applyFill="1" applyBorder="1" applyAlignment="1"/>
    <xf numFmtId="0" fontId="0" fillId="5" borderId="0" xfId="0" applyFill="1">
      <alignment vertical="center"/>
    </xf>
    <xf numFmtId="0" fontId="39" fillId="5" borderId="0" xfId="0" applyFont="1" applyFill="1" applyAlignment="1"/>
    <xf numFmtId="0" fontId="57" fillId="5" borderId="35" xfId="0" applyFont="1" applyFill="1" applyBorder="1" applyAlignment="1"/>
    <xf numFmtId="9" fontId="54" fillId="5" borderId="36" xfId="0" applyNumberFormat="1" applyFont="1" applyFill="1" applyBorder="1" applyAlignment="1"/>
    <xf numFmtId="0" fontId="57" fillId="5" borderId="37" xfId="0" applyFont="1" applyFill="1" applyBorder="1" applyAlignment="1"/>
    <xf numFmtId="9" fontId="54" fillId="5" borderId="15" xfId="0" applyNumberFormat="1" applyFont="1" applyFill="1" applyBorder="1" applyAlignment="1"/>
    <xf numFmtId="0" fontId="40" fillId="5" borderId="37" xfId="0" applyFont="1" applyFill="1" applyBorder="1" applyAlignment="1"/>
    <xf numFmtId="9" fontId="6" fillId="5" borderId="15" xfId="0" applyNumberFormat="1" applyFont="1" applyFill="1" applyBorder="1" applyAlignment="1"/>
    <xf numFmtId="0" fontId="57" fillId="5" borderId="38" xfId="0" applyFont="1" applyFill="1" applyBorder="1" applyAlignment="1"/>
    <xf numFmtId="9" fontId="54" fillId="5" borderId="39" xfId="0" applyNumberFormat="1" applyFont="1" applyFill="1" applyBorder="1" applyAlignment="1"/>
    <xf numFmtId="10" fontId="6" fillId="0" borderId="46" xfId="2" applyNumberFormat="1" applyFont="1" applyFill="1" applyBorder="1" applyAlignment="1"/>
    <xf numFmtId="0" fontId="0" fillId="6" borderId="0" xfId="0" applyFill="1">
      <alignment vertical="center"/>
    </xf>
    <xf numFmtId="0" fontId="6" fillId="6" borderId="0" xfId="0" applyFont="1" applyFill="1" applyAlignment="1"/>
    <xf numFmtId="0" fontId="0" fillId="14" borderId="0" xfId="0" applyFill="1">
      <alignment vertical="center"/>
    </xf>
    <xf numFmtId="0" fontId="6" fillId="5" borderId="35" xfId="0" applyFont="1" applyFill="1" applyBorder="1" applyAlignment="1"/>
    <xf numFmtId="9" fontId="9" fillId="5" borderId="40" xfId="2" applyFont="1" applyFill="1" applyBorder="1" applyAlignment="1">
      <alignment horizontal="center"/>
    </xf>
    <xf numFmtId="0" fontId="9" fillId="5" borderId="36" xfId="0" applyFont="1" applyFill="1" applyBorder="1" applyAlignment="1">
      <alignment horizontal="center"/>
    </xf>
    <xf numFmtId="0" fontId="6" fillId="5" borderId="38" xfId="0" applyFont="1" applyFill="1" applyBorder="1" applyAlignment="1"/>
    <xf numFmtId="9" fontId="6" fillId="5" borderId="41" xfId="2" applyFont="1" applyFill="1" applyBorder="1" applyAlignment="1">
      <alignment horizontal="center"/>
    </xf>
    <xf numFmtId="9" fontId="6" fillId="5" borderId="39" xfId="0" applyNumberFormat="1" applyFont="1" applyFill="1" applyBorder="1" applyAlignment="1">
      <alignment horizontal="center"/>
    </xf>
    <xf numFmtId="0" fontId="0" fillId="10" borderId="0" xfId="0" applyFill="1">
      <alignment vertical="center"/>
    </xf>
    <xf numFmtId="176" fontId="9" fillId="14" borderId="0" xfId="1" applyNumberFormat="1" applyFont="1" applyFill="1" applyAlignment="1"/>
    <xf numFmtId="0" fontId="6" fillId="14" borderId="0" xfId="0" applyFont="1" applyFill="1" applyAlignment="1"/>
    <xf numFmtId="9" fontId="51" fillId="14" borderId="0" xfId="0" applyNumberFormat="1" applyFont="1" applyFill="1" applyAlignment="1"/>
    <xf numFmtId="176" fontId="51" fillId="14" borderId="0" xfId="1" applyNumberFormat="1" applyFont="1" applyFill="1" applyAlignment="1"/>
    <xf numFmtId="9" fontId="51" fillId="14" borderId="0" xfId="2" applyFont="1" applyFill="1" applyAlignment="1"/>
    <xf numFmtId="176" fontId="40" fillId="0" borderId="0" xfId="1" applyNumberFormat="1" applyFont="1" applyFill="1" applyAlignment="1"/>
    <xf numFmtId="176" fontId="24" fillId="2" borderId="32" xfId="3" applyNumberFormat="1" applyFont="1" applyFill="1" applyBorder="1" applyAlignment="1">
      <alignment vertical="center"/>
    </xf>
    <xf numFmtId="176" fontId="12" fillId="14" borderId="0" xfId="0" applyNumberFormat="1" applyFont="1" applyFill="1" applyAlignment="1"/>
    <xf numFmtId="0" fontId="9" fillId="0" borderId="0" xfId="0" applyFont="1" applyAlignment="1"/>
    <xf numFmtId="9" fontId="12" fillId="14" borderId="0" xfId="0" applyNumberFormat="1" applyFont="1" applyFill="1" applyAlignment="1"/>
    <xf numFmtId="176" fontId="40" fillId="0" borderId="0" xfId="1" applyNumberFormat="1" applyFont="1" applyAlignment="1"/>
    <xf numFmtId="180" fontId="38" fillId="0" borderId="0" xfId="0" applyNumberFormat="1" applyFont="1" applyAlignment="1"/>
    <xf numFmtId="178" fontId="0" fillId="0" borderId="0" xfId="2" applyNumberFormat="1" applyFont="1">
      <alignment vertical="center"/>
    </xf>
    <xf numFmtId="0" fontId="0" fillId="0" borderId="0" xfId="2" applyNumberFormat="1" applyFont="1">
      <alignment vertical="center"/>
    </xf>
    <xf numFmtId="0" fontId="60" fillId="11" borderId="0" xfId="3" applyFont="1" applyFill="1" applyAlignment="1">
      <alignment vertical="center"/>
    </xf>
    <xf numFmtId="4" fontId="31" fillId="4" borderId="32" xfId="3" applyNumberFormat="1" applyFont="1" applyFill="1" applyBorder="1" applyAlignment="1">
      <alignment horizontal="center" vertical="center"/>
    </xf>
    <xf numFmtId="49" fontId="61" fillId="0" borderId="32" xfId="3" applyNumberFormat="1" applyFont="1" applyBorder="1" applyAlignment="1">
      <alignment horizontal="center" vertical="center" wrapText="1"/>
    </xf>
    <xf numFmtId="49" fontId="60" fillId="11" borderId="0" xfId="3" applyNumberFormat="1" applyFont="1" applyFill="1" applyAlignment="1">
      <alignment vertical="center"/>
    </xf>
    <xf numFmtId="178" fontId="6" fillId="10" borderId="47" xfId="2" applyNumberFormat="1" applyFont="1" applyFill="1" applyBorder="1" applyAlignment="1">
      <alignment vertical="center"/>
    </xf>
    <xf numFmtId="9" fontId="62" fillId="0" borderId="53" xfId="2" applyFont="1" applyBorder="1" applyAlignment="1" applyProtection="1">
      <alignment horizontal="center" vertical="center"/>
      <protection hidden="1"/>
    </xf>
    <xf numFmtId="9" fontId="63" fillId="13" borderId="38" xfId="2" applyFont="1" applyFill="1" applyBorder="1" applyAlignment="1" applyProtection="1">
      <alignment horizontal="center" vertical="center" wrapText="1"/>
      <protection hidden="1"/>
    </xf>
    <xf numFmtId="9" fontId="63" fillId="0" borderId="38" xfId="2" applyFont="1" applyBorder="1" applyAlignment="1" applyProtection="1">
      <alignment horizontal="center" vertical="center" wrapText="1"/>
      <protection hidden="1"/>
    </xf>
    <xf numFmtId="9" fontId="67" fillId="0" borderId="38" xfId="2" applyFont="1" applyBorder="1" applyAlignment="1" applyProtection="1">
      <alignment horizontal="center" vertical="center" wrapText="1"/>
      <protection hidden="1"/>
    </xf>
    <xf numFmtId="0" fontId="10" fillId="5" borderId="0" xfId="0" applyFont="1" applyFill="1">
      <alignment vertical="center"/>
    </xf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12" fillId="5" borderId="0" xfId="0" applyFont="1" applyFill="1">
      <alignment vertical="center"/>
    </xf>
    <xf numFmtId="9" fontId="6" fillId="5" borderId="0" xfId="2" applyFont="1" applyFill="1" applyAlignment="1">
      <alignment horizontal="right"/>
    </xf>
    <xf numFmtId="0" fontId="6" fillId="5" borderId="0" xfId="0" applyFont="1" applyFill="1">
      <alignment vertical="center"/>
    </xf>
    <xf numFmtId="9" fontId="6" fillId="5" borderId="13" xfId="2" applyFont="1" applyFill="1" applyBorder="1" applyAlignment="1">
      <alignment horizontal="right"/>
    </xf>
    <xf numFmtId="9" fontId="6" fillId="5" borderId="23" xfId="2" applyFont="1" applyFill="1" applyBorder="1" applyAlignment="1">
      <alignment horizontal="right"/>
    </xf>
    <xf numFmtId="9" fontId="6" fillId="5" borderId="3" xfId="2" applyFont="1" applyFill="1" applyBorder="1" applyAlignment="1">
      <alignment horizontal="right"/>
    </xf>
    <xf numFmtId="9" fontId="6" fillId="5" borderId="14" xfId="2" applyFont="1" applyFill="1" applyBorder="1" applyAlignment="1">
      <alignment horizontal="right"/>
    </xf>
    <xf numFmtId="9" fontId="6" fillId="5" borderId="24" xfId="2" applyFont="1" applyFill="1" applyBorder="1" applyAlignment="1">
      <alignment horizontal="right"/>
    </xf>
    <xf numFmtId="9" fontId="6" fillId="5" borderId="5" xfId="2" applyFont="1" applyFill="1" applyBorder="1" applyAlignment="1">
      <alignment horizontal="right"/>
    </xf>
    <xf numFmtId="9" fontId="6" fillId="5" borderId="16" xfId="2" applyFont="1" applyFill="1" applyBorder="1" applyAlignment="1">
      <alignment horizontal="right"/>
    </xf>
    <xf numFmtId="9" fontId="6" fillId="5" borderId="25" xfId="2" applyFont="1" applyFill="1" applyBorder="1" applyAlignment="1">
      <alignment horizontal="right"/>
    </xf>
    <xf numFmtId="9" fontId="6" fillId="5" borderId="8" xfId="2" applyFont="1" applyFill="1" applyBorder="1" applyAlignment="1">
      <alignment horizontal="right"/>
    </xf>
    <xf numFmtId="0" fontId="9" fillId="5" borderId="0" xfId="0" applyFont="1" applyFill="1">
      <alignment vertical="center"/>
    </xf>
    <xf numFmtId="9" fontId="0" fillId="5" borderId="0" xfId="0" applyNumberFormat="1" applyFill="1">
      <alignment vertical="center"/>
    </xf>
    <xf numFmtId="9" fontId="0" fillId="5" borderId="0" xfId="2" applyFont="1" applyFill="1">
      <alignment vertical="center"/>
    </xf>
    <xf numFmtId="0" fontId="0" fillId="15" borderId="0" xfId="0" applyFill="1">
      <alignment vertical="center"/>
    </xf>
    <xf numFmtId="176" fontId="6" fillId="10" borderId="0" xfId="1" applyNumberFormat="1" applyFont="1" applyFill="1" applyAlignment="1"/>
    <xf numFmtId="176" fontId="6" fillId="10" borderId="0" xfId="0" applyNumberFormat="1" applyFont="1" applyFill="1" applyAlignment="1"/>
    <xf numFmtId="2" fontId="6" fillId="0" borderId="0" xfId="0" applyNumberFormat="1" applyFont="1" applyAlignment="1"/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5" borderId="29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 wrapText="1"/>
    </xf>
    <xf numFmtId="0" fontId="20" fillId="5" borderId="27" xfId="0" applyFont="1" applyFill="1" applyBorder="1" applyAlignment="1">
      <alignment horizontal="center" vertical="center" wrapText="1"/>
    </xf>
    <xf numFmtId="0" fontId="20" fillId="5" borderId="29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7" fillId="0" borderId="0" xfId="3" applyFont="1" applyAlignment="1">
      <alignment horizontal="left" vertical="center" wrapText="1"/>
    </xf>
    <xf numFmtId="0" fontId="34" fillId="0" borderId="0" xfId="3" applyFont="1" applyAlignment="1">
      <alignment vertical="center" wrapText="1"/>
    </xf>
    <xf numFmtId="0" fontId="46" fillId="0" borderId="52" xfId="4" applyNumberFormat="1" applyFont="1" applyBorder="1" applyAlignment="1" applyProtection="1">
      <alignment horizontal="center" vertical="center"/>
      <protection hidden="1"/>
    </xf>
    <xf numFmtId="0" fontId="46" fillId="0" borderId="52" xfId="4" applyFont="1" applyFill="1" applyBorder="1" applyAlignment="1" applyProtection="1">
      <alignment horizontal="center" vertical="center"/>
      <protection hidden="1"/>
    </xf>
    <xf numFmtId="0" fontId="68" fillId="0" borderId="52" xfId="4" applyFont="1" applyBorder="1" applyAlignment="1" applyProtection="1">
      <alignment horizontal="center" vertical="center"/>
      <protection hidden="1"/>
    </xf>
    <xf numFmtId="0" fontId="0" fillId="0" borderId="0" xfId="0" applyNumberFormat="1" applyProtection="1">
      <alignment vertical="center"/>
      <protection hidden="1"/>
    </xf>
    <xf numFmtId="0" fontId="0" fillId="2" borderId="0" xfId="0" applyNumberFormat="1" applyFill="1" applyProtection="1">
      <alignment vertical="center"/>
      <protection hidden="1"/>
    </xf>
    <xf numFmtId="0" fontId="42" fillId="0" borderId="51" xfId="0" applyNumberFormat="1" applyFont="1" applyBorder="1" applyAlignment="1" applyProtection="1">
      <alignment horizontal="center" vertical="center"/>
      <protection hidden="1"/>
    </xf>
  </cellXfs>
  <cellStyles count="6">
    <cellStyle name="百分比" xfId="2" builtinId="5"/>
    <cellStyle name="百分比 2 2" xfId="5" xr:uid="{63CF02F6-AA66-4B19-AA4D-5C2B7DEF234F}"/>
    <cellStyle name="常规" xfId="0" builtinId="0"/>
    <cellStyle name="常规 2 2" xfId="4" xr:uid="{5878F65A-F0BC-4E2D-A048-874CE54710CE}"/>
    <cellStyle name="常规 3" xfId="3" xr:uid="{7EF3FD7E-C442-48FA-B177-736E0F301356}"/>
    <cellStyle name="千位分隔" xfId="1" builtinId="3"/>
  </cellStyles>
  <dxfs count="23">
    <dxf>
      <numFmt numFmtId="0" formatCode="General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protection locked="1" hidden="1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6</xdr:row>
      <xdr:rowOff>9525</xdr:rowOff>
    </xdr:from>
    <xdr:to>
      <xdr:col>3</xdr:col>
      <xdr:colOff>133350</xdr:colOff>
      <xdr:row>6</xdr:row>
      <xdr:rowOff>9525</xdr:rowOff>
    </xdr:to>
    <xdr:sp macro="" textlink="">
      <xdr:nvSpPr>
        <xdr:cNvPr id="2" name="Line 11">
          <a:extLst>
            <a:ext uri="{FF2B5EF4-FFF2-40B4-BE49-F238E27FC236}">
              <a16:creationId xmlns:a16="http://schemas.microsoft.com/office/drawing/2014/main" id="{8AC56AF4-182B-4691-A2CE-EC0658B418CA}"/>
            </a:ext>
          </a:extLst>
        </xdr:cNvPr>
        <xdr:cNvSpPr>
          <a:spLocks noChangeShapeType="1"/>
        </xdr:cNvSpPr>
      </xdr:nvSpPr>
      <xdr:spPr bwMode="auto">
        <a:xfrm>
          <a:off x="971550" y="1635125"/>
          <a:ext cx="386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933450</xdr:colOff>
      <xdr:row>7</xdr:row>
      <xdr:rowOff>19050</xdr:rowOff>
    </xdr:from>
    <xdr:to>
      <xdr:col>3</xdr:col>
      <xdr:colOff>161925</xdr:colOff>
      <xdr:row>7</xdr:row>
      <xdr:rowOff>19050</xdr:rowOff>
    </xdr:to>
    <xdr:sp macro="" textlink="">
      <xdr:nvSpPr>
        <xdr:cNvPr id="3" name="Line 12">
          <a:extLst>
            <a:ext uri="{FF2B5EF4-FFF2-40B4-BE49-F238E27FC236}">
              <a16:creationId xmlns:a16="http://schemas.microsoft.com/office/drawing/2014/main" id="{7859283D-64B8-4268-BC83-F21B2669EF6A}"/>
            </a:ext>
          </a:extLst>
        </xdr:cNvPr>
        <xdr:cNvSpPr>
          <a:spLocks noChangeShapeType="1"/>
        </xdr:cNvSpPr>
      </xdr:nvSpPr>
      <xdr:spPr bwMode="auto">
        <a:xfrm>
          <a:off x="933450" y="2082800"/>
          <a:ext cx="3927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6</xdr:row>
      <xdr:rowOff>0</xdr:rowOff>
    </xdr:from>
    <xdr:to>
      <xdr:col>4</xdr:col>
      <xdr:colOff>1209675</xdr:colOff>
      <xdr:row>6</xdr:row>
      <xdr:rowOff>0</xdr:rowOff>
    </xdr:to>
    <xdr:sp macro="" textlink="">
      <xdr:nvSpPr>
        <xdr:cNvPr id="4" name="Line 13">
          <a:extLst>
            <a:ext uri="{FF2B5EF4-FFF2-40B4-BE49-F238E27FC236}">
              <a16:creationId xmlns:a16="http://schemas.microsoft.com/office/drawing/2014/main" id="{17B93A4B-2CA4-432B-AE21-D2981CDA8745}"/>
            </a:ext>
          </a:extLst>
        </xdr:cNvPr>
        <xdr:cNvSpPr>
          <a:spLocks noChangeShapeType="1"/>
        </xdr:cNvSpPr>
      </xdr:nvSpPr>
      <xdr:spPr bwMode="auto">
        <a:xfrm>
          <a:off x="6048375" y="1625600"/>
          <a:ext cx="1200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7</xdr:row>
      <xdr:rowOff>9525</xdr:rowOff>
    </xdr:from>
    <xdr:to>
      <xdr:col>4</xdr:col>
      <xdr:colOff>1219200</xdr:colOff>
      <xdr:row>7</xdr:row>
      <xdr:rowOff>9525</xdr:rowOff>
    </xdr:to>
    <xdr:sp macro="" textlink="">
      <xdr:nvSpPr>
        <xdr:cNvPr id="5" name="Line 14">
          <a:extLst>
            <a:ext uri="{FF2B5EF4-FFF2-40B4-BE49-F238E27FC236}">
              <a16:creationId xmlns:a16="http://schemas.microsoft.com/office/drawing/2014/main" id="{1FC327D8-4986-44AE-A08E-D087606AEC62}"/>
            </a:ext>
          </a:extLst>
        </xdr:cNvPr>
        <xdr:cNvSpPr>
          <a:spLocks noChangeShapeType="1"/>
        </xdr:cNvSpPr>
      </xdr:nvSpPr>
      <xdr:spPr bwMode="auto">
        <a:xfrm>
          <a:off x="6057900" y="2073275"/>
          <a:ext cx="1200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25</xdr:row>
      <xdr:rowOff>9525</xdr:rowOff>
    </xdr:from>
    <xdr:to>
      <xdr:col>5</xdr:col>
      <xdr:colOff>0</xdr:colOff>
      <xdr:row>25</xdr:row>
      <xdr:rowOff>9525</xdr:rowOff>
    </xdr:to>
    <xdr:sp macro="" textlink="">
      <xdr:nvSpPr>
        <xdr:cNvPr id="6" name="Line 15">
          <a:extLst>
            <a:ext uri="{FF2B5EF4-FFF2-40B4-BE49-F238E27FC236}">
              <a16:creationId xmlns:a16="http://schemas.microsoft.com/office/drawing/2014/main" id="{DDCA9C21-D30D-4D41-B73C-0C1AAE425A5A}"/>
            </a:ext>
          </a:extLst>
        </xdr:cNvPr>
        <xdr:cNvSpPr>
          <a:spLocks noChangeShapeType="1"/>
        </xdr:cNvSpPr>
      </xdr:nvSpPr>
      <xdr:spPr bwMode="auto">
        <a:xfrm>
          <a:off x="2035175" y="7337425"/>
          <a:ext cx="545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2019300</xdr:colOff>
      <xdr:row>26</xdr:row>
      <xdr:rowOff>9525</xdr:rowOff>
    </xdr:from>
    <xdr:to>
      <xdr:col>5</xdr:col>
      <xdr:colOff>0</xdr:colOff>
      <xdr:row>26</xdr:row>
      <xdr:rowOff>9525</xdr:rowOff>
    </xdr:to>
    <xdr:sp macro="" textlink="">
      <xdr:nvSpPr>
        <xdr:cNvPr id="7" name="Line 16">
          <a:extLst>
            <a:ext uri="{FF2B5EF4-FFF2-40B4-BE49-F238E27FC236}">
              <a16:creationId xmlns:a16="http://schemas.microsoft.com/office/drawing/2014/main" id="{817B0577-DACC-4CC3-8517-C62CB800B96B}"/>
            </a:ext>
          </a:extLst>
        </xdr:cNvPr>
        <xdr:cNvSpPr>
          <a:spLocks noChangeShapeType="1"/>
        </xdr:cNvSpPr>
      </xdr:nvSpPr>
      <xdr:spPr bwMode="auto">
        <a:xfrm>
          <a:off x="2019300" y="7667625"/>
          <a:ext cx="5467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27</xdr:row>
      <xdr:rowOff>323850</xdr:rowOff>
    </xdr:from>
    <xdr:to>
      <xdr:col>5</xdr:col>
      <xdr:colOff>0</xdr:colOff>
      <xdr:row>27</xdr:row>
      <xdr:rowOff>323850</xdr:rowOff>
    </xdr:to>
    <xdr:sp macro="" textlink="">
      <xdr:nvSpPr>
        <xdr:cNvPr id="8" name="Line 36">
          <a:extLst>
            <a:ext uri="{FF2B5EF4-FFF2-40B4-BE49-F238E27FC236}">
              <a16:creationId xmlns:a16="http://schemas.microsoft.com/office/drawing/2014/main" id="{4A4A9E83-16C4-4EBD-9EC9-6DB7D4B047C3}"/>
            </a:ext>
          </a:extLst>
        </xdr:cNvPr>
        <xdr:cNvSpPr>
          <a:spLocks noChangeShapeType="1"/>
        </xdr:cNvSpPr>
      </xdr:nvSpPr>
      <xdr:spPr bwMode="auto">
        <a:xfrm>
          <a:off x="6038850" y="8178800"/>
          <a:ext cx="144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0</xdr:rowOff>
    </xdr:from>
    <xdr:to>
      <xdr:col>3</xdr:col>
      <xdr:colOff>381000</xdr:colOff>
      <xdr:row>28</xdr:row>
      <xdr:rowOff>0</xdr:rowOff>
    </xdr:to>
    <xdr:sp macro="" textlink="">
      <xdr:nvSpPr>
        <xdr:cNvPr id="9" name="Line 40">
          <a:extLst>
            <a:ext uri="{FF2B5EF4-FFF2-40B4-BE49-F238E27FC236}">
              <a16:creationId xmlns:a16="http://schemas.microsoft.com/office/drawing/2014/main" id="{F15A5DA9-84E4-4B4E-B34C-DEFBF81C6AB9}"/>
            </a:ext>
          </a:extLst>
        </xdr:cNvPr>
        <xdr:cNvSpPr>
          <a:spLocks noChangeShapeType="1"/>
        </xdr:cNvSpPr>
      </xdr:nvSpPr>
      <xdr:spPr bwMode="auto">
        <a:xfrm>
          <a:off x="2035175" y="8248650"/>
          <a:ext cx="304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10" name="Line 44">
          <a:extLst>
            <a:ext uri="{FF2B5EF4-FFF2-40B4-BE49-F238E27FC236}">
              <a16:creationId xmlns:a16="http://schemas.microsoft.com/office/drawing/2014/main" id="{4B3FF7A7-C31D-42F0-9608-F5EC7DA7CF73}"/>
            </a:ext>
          </a:extLst>
        </xdr:cNvPr>
        <xdr:cNvSpPr>
          <a:spLocks noChangeShapeType="1"/>
        </xdr:cNvSpPr>
      </xdr:nvSpPr>
      <xdr:spPr bwMode="auto">
        <a:xfrm>
          <a:off x="2035175" y="6610350"/>
          <a:ext cx="545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2019300</xdr:colOff>
      <xdr:row>23</xdr:row>
      <xdr:rowOff>57150</xdr:rowOff>
    </xdr:from>
    <xdr:to>
      <xdr:col>5</xdr:col>
      <xdr:colOff>0</xdr:colOff>
      <xdr:row>23</xdr:row>
      <xdr:rowOff>57150</xdr:rowOff>
    </xdr:to>
    <xdr:sp macro="" textlink="">
      <xdr:nvSpPr>
        <xdr:cNvPr id="11" name="Line 46">
          <a:extLst>
            <a:ext uri="{FF2B5EF4-FFF2-40B4-BE49-F238E27FC236}">
              <a16:creationId xmlns:a16="http://schemas.microsoft.com/office/drawing/2014/main" id="{2B4AB027-2FF3-4919-80C2-7B9E1E9D8AB7}"/>
            </a:ext>
          </a:extLst>
        </xdr:cNvPr>
        <xdr:cNvSpPr>
          <a:spLocks noChangeShapeType="1"/>
        </xdr:cNvSpPr>
      </xdr:nvSpPr>
      <xdr:spPr bwMode="auto">
        <a:xfrm>
          <a:off x="2019300" y="6896100"/>
          <a:ext cx="5467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28</xdr:row>
      <xdr:rowOff>409575</xdr:rowOff>
    </xdr:from>
    <xdr:to>
      <xdr:col>4</xdr:col>
      <xdr:colOff>1428750</xdr:colOff>
      <xdr:row>28</xdr:row>
      <xdr:rowOff>409575</xdr:rowOff>
    </xdr:to>
    <xdr:sp macro="" textlink="">
      <xdr:nvSpPr>
        <xdr:cNvPr id="12" name="Line 47">
          <a:extLst>
            <a:ext uri="{FF2B5EF4-FFF2-40B4-BE49-F238E27FC236}">
              <a16:creationId xmlns:a16="http://schemas.microsoft.com/office/drawing/2014/main" id="{557B965B-89A4-4E8D-8D8D-AD0B394E42BB}"/>
            </a:ext>
          </a:extLst>
        </xdr:cNvPr>
        <xdr:cNvSpPr>
          <a:spLocks noChangeShapeType="1"/>
        </xdr:cNvSpPr>
      </xdr:nvSpPr>
      <xdr:spPr bwMode="auto">
        <a:xfrm>
          <a:off x="6038850" y="8607425"/>
          <a:ext cx="1428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1323975</xdr:colOff>
      <xdr:row>30</xdr:row>
      <xdr:rowOff>0</xdr:rowOff>
    </xdr:from>
    <xdr:to>
      <xdr:col>4</xdr:col>
      <xdr:colOff>1428750</xdr:colOff>
      <xdr:row>30</xdr:row>
      <xdr:rowOff>0</xdr:rowOff>
    </xdr:to>
    <xdr:sp macro="" textlink="">
      <xdr:nvSpPr>
        <xdr:cNvPr id="13" name="Line 48">
          <a:extLst>
            <a:ext uri="{FF2B5EF4-FFF2-40B4-BE49-F238E27FC236}">
              <a16:creationId xmlns:a16="http://schemas.microsoft.com/office/drawing/2014/main" id="{CDF596C3-D165-4BD9-96B4-D5AF99E555DC}"/>
            </a:ext>
          </a:extLst>
        </xdr:cNvPr>
        <xdr:cNvSpPr>
          <a:spLocks noChangeShapeType="1"/>
        </xdr:cNvSpPr>
      </xdr:nvSpPr>
      <xdr:spPr bwMode="auto">
        <a:xfrm>
          <a:off x="6022975" y="8972550"/>
          <a:ext cx="1444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30</xdr:row>
      <xdr:rowOff>390525</xdr:rowOff>
    </xdr:from>
    <xdr:to>
      <xdr:col>5</xdr:col>
      <xdr:colOff>9525</xdr:colOff>
      <xdr:row>30</xdr:row>
      <xdr:rowOff>390525</xdr:rowOff>
    </xdr:to>
    <xdr:sp macro="" textlink="">
      <xdr:nvSpPr>
        <xdr:cNvPr id="14" name="Line 49">
          <a:extLst>
            <a:ext uri="{FF2B5EF4-FFF2-40B4-BE49-F238E27FC236}">
              <a16:creationId xmlns:a16="http://schemas.microsoft.com/office/drawing/2014/main" id="{3B2C2D70-C68D-4230-9147-E3EC9CA2DDAC}"/>
            </a:ext>
          </a:extLst>
        </xdr:cNvPr>
        <xdr:cNvSpPr>
          <a:spLocks noChangeShapeType="1"/>
        </xdr:cNvSpPr>
      </xdr:nvSpPr>
      <xdr:spPr bwMode="auto">
        <a:xfrm>
          <a:off x="6038850" y="9331325"/>
          <a:ext cx="1457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304800</xdr:colOff>
      <xdr:row>65</xdr:row>
      <xdr:rowOff>104775</xdr:rowOff>
    </xdr:from>
    <xdr:to>
      <xdr:col>13</xdr:col>
      <xdr:colOff>381000</xdr:colOff>
      <xdr:row>65</xdr:row>
      <xdr:rowOff>104775</xdr:rowOff>
    </xdr:to>
    <xdr:sp macro="" textlink="">
      <xdr:nvSpPr>
        <xdr:cNvPr id="15" name="Line 50">
          <a:extLst>
            <a:ext uri="{FF2B5EF4-FFF2-40B4-BE49-F238E27FC236}">
              <a16:creationId xmlns:a16="http://schemas.microsoft.com/office/drawing/2014/main" id="{FC7F9730-8E79-46CD-94D5-F833C4AF0841}"/>
            </a:ext>
          </a:extLst>
        </xdr:cNvPr>
        <xdr:cNvSpPr>
          <a:spLocks noChangeShapeType="1"/>
        </xdr:cNvSpPr>
      </xdr:nvSpPr>
      <xdr:spPr bwMode="auto">
        <a:xfrm>
          <a:off x="14109700" y="16132175"/>
          <a:ext cx="144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428625</xdr:colOff>
      <xdr:row>65</xdr:row>
      <xdr:rowOff>104775</xdr:rowOff>
    </xdr:from>
    <xdr:to>
      <xdr:col>14</xdr:col>
      <xdr:colOff>504825</xdr:colOff>
      <xdr:row>65</xdr:row>
      <xdr:rowOff>104775</xdr:rowOff>
    </xdr:to>
    <xdr:sp macro="" textlink="">
      <xdr:nvSpPr>
        <xdr:cNvPr id="16" name="Line 51">
          <a:extLst>
            <a:ext uri="{FF2B5EF4-FFF2-40B4-BE49-F238E27FC236}">
              <a16:creationId xmlns:a16="http://schemas.microsoft.com/office/drawing/2014/main" id="{F4447882-30DA-45C8-B17A-0637307BC633}"/>
            </a:ext>
          </a:extLst>
        </xdr:cNvPr>
        <xdr:cNvSpPr>
          <a:spLocks noChangeShapeType="1"/>
        </xdr:cNvSpPr>
      </xdr:nvSpPr>
      <xdr:spPr bwMode="auto">
        <a:xfrm>
          <a:off x="14919325" y="16132175"/>
          <a:ext cx="144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495300</xdr:colOff>
      <xdr:row>0</xdr:row>
      <xdr:rowOff>142875</xdr:rowOff>
    </xdr:from>
    <xdr:to>
      <xdr:col>0</xdr:col>
      <xdr:colOff>1242060</xdr:colOff>
      <xdr:row>4</xdr:row>
      <xdr:rowOff>15240</xdr:rowOff>
    </xdr:to>
    <xdr:pic>
      <xdr:nvPicPr>
        <xdr:cNvPr id="17" name="Picture 1">
          <a:extLst>
            <a:ext uri="{FF2B5EF4-FFF2-40B4-BE49-F238E27FC236}">
              <a16:creationId xmlns:a16="http://schemas.microsoft.com/office/drawing/2014/main" id="{C9F694B1-C8E9-4E2A-B617-C10FAE8333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42875"/>
          <a:ext cx="7429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466725</xdr:colOff>
      <xdr:row>0</xdr:row>
      <xdr:rowOff>190500</xdr:rowOff>
    </xdr:from>
    <xdr:to>
      <xdr:col>4</xdr:col>
      <xdr:colOff>1165860</xdr:colOff>
      <xdr:row>3</xdr:row>
      <xdr:rowOff>88265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C28CB782-DABC-47E0-8168-2F301445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5725" y="190500"/>
          <a:ext cx="20351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2019300</xdr:colOff>
      <xdr:row>29</xdr:row>
      <xdr:rowOff>9525</xdr:rowOff>
    </xdr:from>
    <xdr:to>
      <xdr:col>3</xdr:col>
      <xdr:colOff>361950</xdr:colOff>
      <xdr:row>29</xdr:row>
      <xdr:rowOff>9525</xdr:rowOff>
    </xdr:to>
    <xdr:sp macro="" textlink="">
      <xdr:nvSpPr>
        <xdr:cNvPr id="19" name="Line 40">
          <a:extLst>
            <a:ext uri="{FF2B5EF4-FFF2-40B4-BE49-F238E27FC236}">
              <a16:creationId xmlns:a16="http://schemas.microsoft.com/office/drawing/2014/main" id="{7CE9F2D7-20DA-4B90-9362-ECDC034D0FCA}"/>
            </a:ext>
          </a:extLst>
        </xdr:cNvPr>
        <xdr:cNvSpPr>
          <a:spLocks noChangeShapeType="1"/>
        </xdr:cNvSpPr>
      </xdr:nvSpPr>
      <xdr:spPr bwMode="auto">
        <a:xfrm>
          <a:off x="2019300" y="8620125"/>
          <a:ext cx="3041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29</xdr:row>
      <xdr:rowOff>352425</xdr:rowOff>
    </xdr:from>
    <xdr:to>
      <xdr:col>3</xdr:col>
      <xdr:colOff>371475</xdr:colOff>
      <xdr:row>29</xdr:row>
      <xdr:rowOff>352425</xdr:rowOff>
    </xdr:to>
    <xdr:sp macro="" textlink="">
      <xdr:nvSpPr>
        <xdr:cNvPr id="20" name="Line 40">
          <a:extLst>
            <a:ext uri="{FF2B5EF4-FFF2-40B4-BE49-F238E27FC236}">
              <a16:creationId xmlns:a16="http://schemas.microsoft.com/office/drawing/2014/main" id="{5F221E01-E323-43F1-8ECE-016D3F6A1A3B}"/>
            </a:ext>
          </a:extLst>
        </xdr:cNvPr>
        <xdr:cNvSpPr>
          <a:spLocks noChangeShapeType="1"/>
        </xdr:cNvSpPr>
      </xdr:nvSpPr>
      <xdr:spPr bwMode="auto">
        <a:xfrm>
          <a:off x="2025650" y="8963025"/>
          <a:ext cx="304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352425</xdr:rowOff>
    </xdr:from>
    <xdr:to>
      <xdr:col>3</xdr:col>
      <xdr:colOff>371475</xdr:colOff>
      <xdr:row>30</xdr:row>
      <xdr:rowOff>352425</xdr:rowOff>
    </xdr:to>
    <xdr:sp macro="" textlink="">
      <xdr:nvSpPr>
        <xdr:cNvPr id="21" name="Line 40">
          <a:extLst>
            <a:ext uri="{FF2B5EF4-FFF2-40B4-BE49-F238E27FC236}">
              <a16:creationId xmlns:a16="http://schemas.microsoft.com/office/drawing/2014/main" id="{6D5C7472-A6E5-408C-861E-DAA070BC4F66}"/>
            </a:ext>
          </a:extLst>
        </xdr:cNvPr>
        <xdr:cNvSpPr>
          <a:spLocks noChangeShapeType="1"/>
        </xdr:cNvSpPr>
      </xdr:nvSpPr>
      <xdr:spPr bwMode="auto">
        <a:xfrm>
          <a:off x="2025650" y="9324975"/>
          <a:ext cx="304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4789E-5F85-4E03-AEDC-77072F0001AE}" name="Table135" displayName="Table135" ref="B1:S40" totalsRowShown="0" headerRowDxfId="22" dataDxfId="20" headerRowBorderDxfId="21" tableBorderDxfId="19" totalsRowBorderDxfId="18">
  <tableColumns count="18">
    <tableColumn id="1" xr3:uid="{B98876F9-7A0D-486E-B1EC-E8C6B1765EA3}" name="项目" dataDxfId="17"/>
    <tableColumn id="7" xr3:uid="{C872082F-522D-4D60-985F-48A2302F18E0}" name="Customer code" dataDxfId="16" dataCellStyle="常规 2 2"/>
    <tableColumn id="24" xr3:uid="{651F7D40-1BE0-41CF-9914-39A3BD330732}" name="集团下的主机厂项目" dataDxfId="15" dataCellStyle="常规 2 2"/>
    <tableColumn id="15" xr3:uid="{20365F53-278D-40DB-9723-DCB1E00F5F1A}" name="服务费率 基于经销商价" dataDxfId="14" dataCellStyle="百分比"/>
    <tableColumn id="23" xr3:uid="{CCE01203-D9EA-49AB-AA12-CCE39AA655E3}" name="服务费率 基于项目价" dataDxfId="13" dataCellStyle="百分比"/>
    <tableColumn id="3" xr3:uid="{3C12AF94-5473-4327-931B-43150202169C}" name="PPG结算sales vs 门店sales_x000a_加价率" dataDxfId="12" dataCellStyle="百分比"/>
    <tableColumn id="2" xr3:uid="{7712079F-7AB4-4E72-B02D-C6BBC777FDDD}" name="主机厂优质服务季度奖励金率 水性  " dataDxfId="11" dataCellStyle="百分比"/>
    <tableColumn id="4" xr3:uid="{74805AE6-0CF8-4B1C-B0A3-21CD01A5A87A}" name="主机厂优质服务季度奖励金率 油性" dataDxfId="10" dataCellStyle="百分比"/>
    <tableColumn id="22" xr3:uid="{B851F7FE-E1E8-4047-BA34-8E1BCBA8F1D3}" name="主机厂返利率" dataDxfId="9" dataCellStyle="百分比"/>
    <tableColumn id="14" xr3:uid="{298359F3-34D5-4107-B967-4019B9E59480}" name="集团项目返利率 基于项目价" dataDxfId="8" dataCellStyle="百分比"/>
    <tableColumn id="19" xr3:uid="{33BBF259-0770-4B5D-BEDF-A1280F917F5A}" name="集团项目返利率 基于经销商渠道的门店价格" dataDxfId="7" dataCellStyle="百分比"/>
    <tableColumn id="18" xr3:uid="{C37F8677-9925-42EC-AD4D-966F04102B0D}" name="集团项目返利率 基于(主机厂门店价)" dataDxfId="6" dataCellStyle="百分比"/>
    <tableColumn id="5" xr3:uid="{D799BC3A-AD98-4350-8B74-0893E34B45C1}" name="总服务商服务费 基于项目价" dataDxfId="5" dataCellStyle="百分比"/>
    <tableColumn id="21" xr3:uid="{454424E8-48D9-4991-8211-75820C9CFD65}" name="总服务商服务费 基于经销商到店价" dataDxfId="4" dataCellStyle="百分比"/>
    <tableColumn id="10" xr3:uid="{D5DE00E2-3241-42E9-A5AF-2926BC7A43D5}" name="总服务商服务费 基于(MM1到店价)" dataDxfId="3" dataCellStyle="百分比"/>
    <tableColumn id="6" xr3:uid="{D0219242-42D6-47FD-BBF4-8DFED9644A3B}" name="项目结算价/经销商价" dataDxfId="2" dataCellStyle="百分比"/>
    <tableColumn id="9" xr3:uid="{0D90AC7F-15E8-4D42-8C48-47897317AE00}" name="Customer PC%" dataDxfId="1" dataCellStyle="百分比"/>
    <tableColumn id="8" xr3:uid="{95C76147-A355-4380-BC2F-E0864043583C}" name="mapping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F631-2E75-4A75-BC78-972AA702ECC6}">
  <dimension ref="A1:O221"/>
  <sheetViews>
    <sheetView tabSelected="1" zoomScale="98" zoomScaleNormal="98" workbookViewId="0">
      <selection activeCell="I14" sqref="I14"/>
    </sheetView>
  </sheetViews>
  <sheetFormatPr defaultRowHeight="13.8" outlineLevelRow="1"/>
  <cols>
    <col min="1" max="1" width="52.33203125" bestFit="1" customWidth="1"/>
    <col min="2" max="2" width="17.109375" bestFit="1" customWidth="1"/>
    <col min="3" max="3" width="12.77734375" bestFit="1" customWidth="1"/>
    <col min="4" max="4" width="16.21875" bestFit="1" customWidth="1"/>
    <col min="5" max="5" width="16.33203125" bestFit="1" customWidth="1"/>
  </cols>
  <sheetData>
    <row r="1" spans="1:15">
      <c r="A1" t="s">
        <v>1</v>
      </c>
      <c r="B1" t="s">
        <v>0</v>
      </c>
      <c r="C1" t="s">
        <v>268</v>
      </c>
      <c r="N1" s="1"/>
      <c r="O1" t="s">
        <v>530</v>
      </c>
    </row>
    <row r="2" spans="1:15">
      <c r="A2" t="s">
        <v>2</v>
      </c>
      <c r="B2" s="1"/>
      <c r="N2" s="269"/>
      <c r="O2" t="s">
        <v>531</v>
      </c>
    </row>
    <row r="3" spans="1:15">
      <c r="A3" t="s">
        <v>520</v>
      </c>
      <c r="B3" s="1" t="s">
        <v>522</v>
      </c>
      <c r="N3" s="217"/>
      <c r="O3" t="s">
        <v>542</v>
      </c>
    </row>
    <row r="4" spans="1:15">
      <c r="N4" s="260"/>
      <c r="O4" t="s">
        <v>525</v>
      </c>
    </row>
    <row r="5" spans="1:15">
      <c r="A5" t="s">
        <v>3</v>
      </c>
      <c r="B5" s="1"/>
      <c r="C5" t="s">
        <v>269</v>
      </c>
      <c r="N5" s="262"/>
      <c r="O5" t="s">
        <v>527</v>
      </c>
    </row>
    <row r="6" spans="1:15" ht="15" thickBot="1">
      <c r="A6" s="2" t="s">
        <v>4</v>
      </c>
      <c r="B6" s="3"/>
      <c r="C6" s="4"/>
      <c r="D6" s="4"/>
      <c r="E6" s="5"/>
      <c r="F6" s="5"/>
      <c r="N6" s="312"/>
      <c r="O6" t="s">
        <v>558</v>
      </c>
    </row>
    <row r="7" spans="1:15">
      <c r="A7" s="6" t="s">
        <v>5</v>
      </c>
      <c r="B7" s="322"/>
      <c r="C7" s="323"/>
      <c r="D7" s="323"/>
      <c r="E7" s="323"/>
      <c r="F7" s="324"/>
    </row>
    <row r="8" spans="1:15">
      <c r="A8" s="6" t="s">
        <v>6</v>
      </c>
      <c r="B8" s="316"/>
      <c r="C8" s="317"/>
      <c r="D8" s="317"/>
      <c r="E8" s="317"/>
      <c r="F8" s="318"/>
    </row>
    <row r="9" spans="1:15">
      <c r="A9" s="6" t="s">
        <v>7</v>
      </c>
      <c r="B9" s="316"/>
      <c r="C9" s="317"/>
      <c r="D9" s="317"/>
      <c r="E9" s="317"/>
      <c r="F9" s="318"/>
    </row>
    <row r="10" spans="1:15">
      <c r="A10" s="6" t="s">
        <v>8</v>
      </c>
      <c r="B10" s="316"/>
      <c r="C10" s="317"/>
      <c r="D10" s="317"/>
      <c r="E10" s="317"/>
      <c r="F10" s="318"/>
    </row>
    <row r="11" spans="1:15" ht="14.4">
      <c r="A11" s="2" t="s">
        <v>9</v>
      </c>
      <c r="B11" s="316"/>
      <c r="C11" s="317"/>
      <c r="D11" s="317"/>
      <c r="E11" s="317"/>
      <c r="F11" s="318"/>
    </row>
    <row r="12" spans="1:15">
      <c r="A12" s="6" t="s">
        <v>10</v>
      </c>
      <c r="B12" s="325"/>
      <c r="C12" s="326"/>
      <c r="D12" s="326"/>
      <c r="E12" s="326"/>
      <c r="F12" s="327"/>
    </row>
    <row r="13" spans="1:15">
      <c r="A13" s="6" t="s">
        <v>11</v>
      </c>
      <c r="B13" s="316"/>
      <c r="C13" s="317"/>
      <c r="D13" s="317"/>
      <c r="E13" s="317"/>
      <c r="F13" s="318"/>
    </row>
    <row r="14" spans="1:15" ht="14.4" thickBot="1">
      <c r="A14" s="6" t="s">
        <v>12</v>
      </c>
      <c r="B14" s="319"/>
      <c r="C14" s="320"/>
      <c r="D14" s="320"/>
      <c r="E14" s="320"/>
      <c r="F14" s="321"/>
    </row>
    <row r="15" spans="1:15" ht="14.4" thickBot="1"/>
    <row r="16" spans="1:15" ht="15" thickBot="1">
      <c r="A16" s="7" t="s">
        <v>562</v>
      </c>
      <c r="B16" s="8"/>
    </row>
    <row r="17" spans="1:5" ht="15" thickBot="1">
      <c r="A17" s="7" t="s">
        <v>16</v>
      </c>
      <c r="B17" s="9"/>
    </row>
    <row r="18" spans="1:5" ht="14.4">
      <c r="A18" s="4" t="s">
        <v>563</v>
      </c>
      <c r="B18" s="10">
        <v>44835</v>
      </c>
    </row>
    <row r="19" spans="1:5" ht="14.4">
      <c r="A19" s="4" t="s">
        <v>564</v>
      </c>
      <c r="B19" s="11">
        <v>45930</v>
      </c>
    </row>
    <row r="20" spans="1:5" ht="15.6" thickBot="1">
      <c r="A20" s="4" t="s">
        <v>17</v>
      </c>
      <c r="B20" s="12">
        <f>ROUND((B19-B18)/365,1)</f>
        <v>3</v>
      </c>
      <c r="C20" s="202" t="s">
        <v>557</v>
      </c>
    </row>
    <row r="23" spans="1:5" ht="15" thickBot="1">
      <c r="A23" s="7" t="s">
        <v>33</v>
      </c>
      <c r="C23" s="217" t="s">
        <v>552</v>
      </c>
      <c r="D23" s="217" t="s">
        <v>510</v>
      </c>
    </row>
    <row r="24" spans="1:5" ht="15" thickBot="1">
      <c r="A24" s="14" t="s">
        <v>25</v>
      </c>
      <c r="B24" s="15" t="s">
        <v>26</v>
      </c>
      <c r="C24" s="16" t="s">
        <v>18</v>
      </c>
      <c r="D24" s="16" t="s">
        <v>19</v>
      </c>
      <c r="E24" s="17" t="s">
        <v>20</v>
      </c>
    </row>
    <row r="25" spans="1:5" ht="14.4">
      <c r="A25" s="166" t="s">
        <v>21</v>
      </c>
      <c r="B25" s="18" t="s">
        <v>27</v>
      </c>
      <c r="C25" s="19" t="s">
        <v>22</v>
      </c>
      <c r="D25" s="19" t="s">
        <v>72</v>
      </c>
      <c r="E25" s="20" t="s">
        <v>23</v>
      </c>
    </row>
    <row r="26" spans="1:5" ht="14.4">
      <c r="A26" s="167" t="s">
        <v>24</v>
      </c>
      <c r="B26" s="1" t="s">
        <v>28</v>
      </c>
      <c r="C26" s="21" t="s">
        <v>37</v>
      </c>
      <c r="D26" s="22"/>
      <c r="E26" s="23"/>
    </row>
    <row r="27" spans="1:5" ht="14.4">
      <c r="A27" s="167" t="s">
        <v>29</v>
      </c>
      <c r="B27" s="1" t="s">
        <v>30</v>
      </c>
      <c r="C27" s="21"/>
      <c r="D27" s="22"/>
      <c r="E27" s="23"/>
    </row>
    <row r="28" spans="1:5" ht="15" thickBot="1">
      <c r="A28" s="168" t="s">
        <v>31</v>
      </c>
      <c r="B28" s="24" t="s">
        <v>32</v>
      </c>
      <c r="C28" s="25"/>
      <c r="D28" s="26"/>
      <c r="E28" s="13"/>
    </row>
    <row r="29" spans="1:5" ht="14.4" thickBot="1"/>
    <row r="30" spans="1:5">
      <c r="A30" s="28" t="s">
        <v>565</v>
      </c>
      <c r="B30" s="29">
        <v>0.8</v>
      </c>
    </row>
    <row r="31" spans="1:5">
      <c r="A31" s="30" t="s">
        <v>103</v>
      </c>
      <c r="B31" s="31">
        <f>1-B30</f>
        <v>0.19999999999999996</v>
      </c>
    </row>
    <row r="32" spans="1:5">
      <c r="A32" s="30" t="s">
        <v>104</v>
      </c>
      <c r="B32" s="32"/>
      <c r="C32" s="217" t="s">
        <v>559</v>
      </c>
    </row>
    <row r="33" spans="1:5">
      <c r="A33" s="53" t="s">
        <v>566</v>
      </c>
      <c r="B33" s="54" t="s">
        <v>107</v>
      </c>
    </row>
    <row r="34" spans="1:5">
      <c r="A34" s="30" t="s">
        <v>567</v>
      </c>
      <c r="B34" s="215">
        <v>0.2</v>
      </c>
    </row>
    <row r="35" spans="1:5" ht="14.4" thickBot="1">
      <c r="A35" s="168" t="s">
        <v>568</v>
      </c>
      <c r="B35" s="216" t="s">
        <v>513</v>
      </c>
      <c r="C35" s="214"/>
    </row>
    <row r="37" spans="1:5" ht="14.4" thickBot="1"/>
    <row r="38" spans="1:5" ht="15" thickBot="1">
      <c r="A38" s="293" t="s">
        <v>78</v>
      </c>
      <c r="B38" s="294" t="s">
        <v>85</v>
      </c>
      <c r="C38" s="295" t="s">
        <v>86</v>
      </c>
      <c r="D38" s="296" t="s">
        <v>87</v>
      </c>
      <c r="E38" s="249"/>
    </row>
    <row r="39" spans="1:5" ht="15" thickBot="1">
      <c r="A39" s="297" t="s">
        <v>99</v>
      </c>
      <c r="B39" s="298"/>
      <c r="C39" s="298"/>
      <c r="D39" s="298"/>
      <c r="E39" s="249"/>
    </row>
    <row r="40" spans="1:5" ht="14.4">
      <c r="A40" s="299" t="s">
        <v>79</v>
      </c>
      <c r="B40" s="300" t="s">
        <v>91</v>
      </c>
      <c r="C40" s="301"/>
      <c r="D40" s="302"/>
      <c r="E40" s="249"/>
    </row>
    <row r="41" spans="1:5" ht="14.4">
      <c r="A41" s="299" t="s">
        <v>81</v>
      </c>
      <c r="B41" s="303" t="s">
        <v>80</v>
      </c>
      <c r="C41" s="304"/>
      <c r="D41" s="305"/>
      <c r="E41" s="249"/>
    </row>
    <row r="42" spans="1:5" ht="14.4">
      <c r="A42" s="299" t="s">
        <v>82</v>
      </c>
      <c r="B42" s="303"/>
      <c r="C42" s="304"/>
      <c r="D42" s="305"/>
      <c r="E42" s="249"/>
    </row>
    <row r="43" spans="1:5" ht="15" thickBot="1">
      <c r="A43" s="299" t="s">
        <v>83</v>
      </c>
      <c r="B43" s="306"/>
      <c r="C43" s="307"/>
      <c r="D43" s="308"/>
      <c r="E43" s="249"/>
    </row>
    <row r="44" spans="1:5" ht="15" thickBot="1">
      <c r="A44" s="297" t="s">
        <v>100</v>
      </c>
      <c r="B44" s="298"/>
      <c r="C44" s="298"/>
      <c r="D44" s="298"/>
      <c r="E44" s="249"/>
    </row>
    <row r="45" spans="1:5" ht="14.4">
      <c r="A45" s="299" t="s">
        <v>84</v>
      </c>
      <c r="B45" s="300"/>
      <c r="C45" s="301"/>
      <c r="D45" s="302"/>
      <c r="E45" s="249"/>
    </row>
    <row r="46" spans="1:5" ht="14.4">
      <c r="A46" s="299" t="s">
        <v>81</v>
      </c>
      <c r="B46" s="303"/>
      <c r="C46" s="304"/>
      <c r="D46" s="305"/>
      <c r="E46" s="249"/>
    </row>
    <row r="47" spans="1:5" ht="14.4">
      <c r="A47" s="299" t="s">
        <v>82</v>
      </c>
      <c r="B47" s="303"/>
      <c r="C47" s="304"/>
      <c r="D47" s="305"/>
      <c r="E47" s="249"/>
    </row>
    <row r="48" spans="1:5" ht="15" thickBot="1">
      <c r="A48" s="299" t="s">
        <v>83</v>
      </c>
      <c r="B48" s="306"/>
      <c r="C48" s="307"/>
      <c r="D48" s="308"/>
      <c r="E48" s="249"/>
    </row>
    <row r="49" spans="1:9" ht="15" thickBot="1">
      <c r="A49" s="309" t="s">
        <v>101</v>
      </c>
      <c r="B49" s="298"/>
      <c r="C49" s="298"/>
      <c r="D49" s="298"/>
      <c r="E49" s="249"/>
    </row>
    <row r="50" spans="1:9" ht="14.4">
      <c r="A50" s="299" t="s">
        <v>84</v>
      </c>
      <c r="B50" s="300"/>
      <c r="C50" s="301"/>
      <c r="D50" s="302"/>
      <c r="E50" s="249"/>
    </row>
    <row r="51" spans="1:9" ht="14.4">
      <c r="A51" s="299" t="s">
        <v>81</v>
      </c>
      <c r="B51" s="303"/>
      <c r="C51" s="304"/>
      <c r="D51" s="305"/>
      <c r="E51" s="249"/>
    </row>
    <row r="52" spans="1:9" ht="14.4">
      <c r="A52" s="299" t="s">
        <v>82</v>
      </c>
      <c r="B52" s="303"/>
      <c r="C52" s="304"/>
      <c r="D52" s="305"/>
      <c r="E52" s="249"/>
    </row>
    <row r="53" spans="1:9" ht="15" thickBot="1">
      <c r="A53" s="299" t="s">
        <v>83</v>
      </c>
      <c r="B53" s="306"/>
      <c r="C53" s="307"/>
      <c r="D53" s="308"/>
      <c r="E53" s="249"/>
    </row>
    <row r="54" spans="1:9" ht="15" thickBot="1">
      <c r="A54" s="299" t="s">
        <v>102</v>
      </c>
      <c r="B54" s="310">
        <f>1-B39-B44-B49</f>
        <v>1</v>
      </c>
      <c r="C54" s="311">
        <f t="shared" ref="C54:D54" si="0">1-C39-C44-C49</f>
        <v>1</v>
      </c>
      <c r="D54" s="311">
        <f t="shared" si="0"/>
        <v>1</v>
      </c>
      <c r="E54" s="249"/>
    </row>
    <row r="55" spans="1:9" ht="14.4">
      <c r="A55" s="299" t="s">
        <v>84</v>
      </c>
      <c r="B55" s="300"/>
      <c r="C55" s="301"/>
      <c r="D55" s="302"/>
      <c r="E55" s="249"/>
    </row>
    <row r="56" spans="1:9" ht="14.4">
      <c r="A56" s="299" t="s">
        <v>81</v>
      </c>
      <c r="B56" s="303"/>
      <c r="C56" s="304"/>
      <c r="D56" s="305"/>
      <c r="E56" s="249"/>
    </row>
    <row r="57" spans="1:9" ht="14.4">
      <c r="A57" s="299" t="s">
        <v>82</v>
      </c>
      <c r="B57" s="303"/>
      <c r="C57" s="304"/>
      <c r="D57" s="305"/>
      <c r="E57" s="249"/>
    </row>
    <row r="58" spans="1:9" ht="15" thickBot="1">
      <c r="A58" s="299" t="s">
        <v>83</v>
      </c>
      <c r="B58" s="306"/>
      <c r="C58" s="307"/>
      <c r="D58" s="308"/>
      <c r="E58" s="249"/>
    </row>
    <row r="60" spans="1:9" ht="15" thickBot="1">
      <c r="A60" s="299" t="s">
        <v>570</v>
      </c>
    </row>
    <row r="61" spans="1:9" ht="15" thickBot="1">
      <c r="A61" s="27" t="s">
        <v>122</v>
      </c>
      <c r="B61" s="27" t="s">
        <v>109</v>
      </c>
      <c r="C61" s="33" t="s">
        <v>110</v>
      </c>
      <c r="D61" s="34" t="s">
        <v>111</v>
      </c>
      <c r="E61" s="35" t="s">
        <v>112</v>
      </c>
      <c r="F61" s="36" t="s">
        <v>113</v>
      </c>
      <c r="G61" s="36" t="s">
        <v>114</v>
      </c>
      <c r="H61" s="36" t="s">
        <v>115</v>
      </c>
      <c r="I61" s="37" t="s">
        <v>116</v>
      </c>
    </row>
    <row r="62" spans="1:9" ht="14.4">
      <c r="A62" s="2" t="s">
        <v>117</v>
      </c>
      <c r="B62" s="2"/>
      <c r="C62" s="38">
        <f>100%</f>
        <v>1</v>
      </c>
      <c r="D62" s="39">
        <f>SUM(E62:I62)</f>
        <v>100000</v>
      </c>
      <c r="E62" s="40">
        <v>100000</v>
      </c>
      <c r="F62" s="41"/>
      <c r="G62" s="41"/>
      <c r="H62" s="41">
        <v>0</v>
      </c>
      <c r="I62" s="42">
        <v>0</v>
      </c>
    </row>
    <row r="63" spans="1:9" ht="14.4">
      <c r="A63" s="2" t="s">
        <v>118</v>
      </c>
      <c r="B63" s="43" t="s">
        <v>569</v>
      </c>
      <c r="C63" s="38">
        <f>IF(D62=0,0,D63/D62)</f>
        <v>0.2</v>
      </c>
      <c r="D63" s="39">
        <f t="shared" ref="D63:D65" si="1">SUM(E63:I63)</f>
        <v>20000</v>
      </c>
      <c r="E63" s="52">
        <f>E64+E65</f>
        <v>20000</v>
      </c>
      <c r="F63" s="52">
        <f t="shared" ref="F63:I63" si="2">F64+F65</f>
        <v>0</v>
      </c>
      <c r="G63" s="52">
        <f t="shared" si="2"/>
        <v>0</v>
      </c>
      <c r="H63" s="52">
        <f t="shared" si="2"/>
        <v>0</v>
      </c>
      <c r="I63" s="52">
        <f t="shared" si="2"/>
        <v>0</v>
      </c>
    </row>
    <row r="64" spans="1:9" ht="14.4">
      <c r="A64" s="2" t="str">
        <f>C25</f>
        <v>SGM</v>
      </c>
      <c r="C64" s="38"/>
      <c r="D64" s="39">
        <f t="shared" si="1"/>
        <v>10000</v>
      </c>
      <c r="E64" s="40">
        <v>10000</v>
      </c>
      <c r="F64" s="40">
        <v>0</v>
      </c>
      <c r="G64" s="40">
        <v>0</v>
      </c>
      <c r="H64" s="41">
        <v>0</v>
      </c>
      <c r="I64" s="42">
        <v>0</v>
      </c>
    </row>
    <row r="65" spans="1:9" ht="14.4">
      <c r="A65" s="2" t="str">
        <f>C26</f>
        <v>SVW</v>
      </c>
      <c r="C65" s="38"/>
      <c r="D65" s="39">
        <f t="shared" si="1"/>
        <v>10000</v>
      </c>
      <c r="E65" s="40">
        <v>10000</v>
      </c>
      <c r="F65" s="40">
        <v>0</v>
      </c>
      <c r="G65" s="40">
        <v>0</v>
      </c>
      <c r="H65" s="41">
        <v>0</v>
      </c>
      <c r="I65" s="42">
        <v>0</v>
      </c>
    </row>
    <row r="66" spans="1:9" ht="14.4">
      <c r="A66" s="4" t="s">
        <v>120</v>
      </c>
      <c r="B66" s="50" t="s">
        <v>119</v>
      </c>
      <c r="C66" s="44">
        <f>IF(D62=0,0,D66/D62)</f>
        <v>0.2</v>
      </c>
      <c r="D66" s="39">
        <f t="shared" ref="D66:D67" si="3">SUM(E66:I66)</f>
        <v>20000</v>
      </c>
      <c r="E66" s="40">
        <v>20000</v>
      </c>
      <c r="F66" s="40">
        <v>0</v>
      </c>
      <c r="G66" s="41">
        <v>0</v>
      </c>
      <c r="H66" s="41">
        <v>0</v>
      </c>
      <c r="I66" s="42">
        <v>0</v>
      </c>
    </row>
    <row r="67" spans="1:9" ht="15" thickBot="1">
      <c r="A67" s="2" t="s">
        <v>121</v>
      </c>
      <c r="B67" s="43" t="s">
        <v>119</v>
      </c>
      <c r="C67" s="45">
        <f>IF(D62=0,0,D67/D62)</f>
        <v>0.6</v>
      </c>
      <c r="D67" s="46">
        <f t="shared" si="3"/>
        <v>60000</v>
      </c>
      <c r="E67" s="47">
        <f>E62-E63-E66</f>
        <v>60000</v>
      </c>
      <c r="F67" s="48">
        <f>F62-F63-F66</f>
        <v>0</v>
      </c>
      <c r="G67" s="48">
        <f>G62-G63-G66</f>
        <v>0</v>
      </c>
      <c r="H67" s="48">
        <f>H62-H63-H66</f>
        <v>0</v>
      </c>
      <c r="I67" s="49">
        <f>I62-I63-I66</f>
        <v>0</v>
      </c>
    </row>
    <row r="70" spans="1:9" ht="14.4" thickBot="1"/>
    <row r="71" spans="1:9" ht="15" thickBot="1">
      <c r="A71" s="4"/>
      <c r="B71" s="55" t="s">
        <v>111</v>
      </c>
      <c r="C71" s="56" t="s">
        <v>112</v>
      </c>
      <c r="D71" s="56" t="s">
        <v>113</v>
      </c>
      <c r="E71" s="56" t="s">
        <v>114</v>
      </c>
      <c r="F71" s="56" t="s">
        <v>115</v>
      </c>
      <c r="G71" s="57" t="s">
        <v>116</v>
      </c>
      <c r="H71" s="4"/>
    </row>
    <row r="72" spans="1:9" ht="14.4">
      <c r="A72" s="7" t="s">
        <v>139</v>
      </c>
      <c r="B72" s="58">
        <f>B75+B83+B79+B91</f>
        <v>53141.008086548682</v>
      </c>
      <c r="C72" s="59">
        <f>C75+C83+C79+C91</f>
        <v>53141.008086548682</v>
      </c>
      <c r="D72" s="59">
        <f t="shared" ref="D72:G72" si="4">D75+D83+D79+D91</f>
        <v>0</v>
      </c>
      <c r="E72" s="59">
        <f t="shared" si="4"/>
        <v>0</v>
      </c>
      <c r="F72" s="59">
        <f t="shared" si="4"/>
        <v>0</v>
      </c>
      <c r="G72" s="60">
        <f t="shared" si="4"/>
        <v>0</v>
      </c>
      <c r="H72" s="4"/>
    </row>
    <row r="73" spans="1:9" ht="14.4">
      <c r="A73" s="64" t="s">
        <v>140</v>
      </c>
      <c r="B73" s="65">
        <f>B74+B82+B78</f>
        <v>94766.846579999998</v>
      </c>
      <c r="C73" s="66">
        <f>C74+C82+C78</f>
        <v>94766.846579999998</v>
      </c>
      <c r="D73" s="66">
        <f>D74+D82+D78</f>
        <v>0</v>
      </c>
      <c r="E73" s="66">
        <f t="shared" ref="E73:G73" si="5">E74+E82+E78</f>
        <v>0</v>
      </c>
      <c r="F73" s="66">
        <f t="shared" si="5"/>
        <v>0</v>
      </c>
      <c r="G73" s="67">
        <f t="shared" si="5"/>
        <v>0</v>
      </c>
      <c r="H73" s="4"/>
    </row>
    <row r="74" spans="1:9" ht="14.4">
      <c r="A74" s="4" t="s">
        <v>141</v>
      </c>
      <c r="B74" s="68">
        <f>SUM(C74:G74)</f>
        <v>92766.846579999998</v>
      </c>
      <c r="C74" s="69">
        <f>C75+C76</f>
        <v>92766.846579999998</v>
      </c>
      <c r="D74" s="69"/>
      <c r="E74" s="69"/>
      <c r="F74" s="69"/>
      <c r="G74" s="70"/>
      <c r="H74" s="4"/>
    </row>
    <row r="75" spans="1:9" ht="14.4">
      <c r="A75" s="4" t="s">
        <v>142</v>
      </c>
      <c r="B75" s="68">
        <f>SUM(C75:G75)</f>
        <v>42521.539060000003</v>
      </c>
      <c r="C75" s="69">
        <f>SUM(设备借用分摊明细!H:H)</f>
        <v>42521.539060000003</v>
      </c>
      <c r="D75" s="69"/>
      <c r="E75" s="69"/>
      <c r="F75" s="69"/>
      <c r="G75" s="170"/>
      <c r="H75" s="4"/>
    </row>
    <row r="76" spans="1:9" ht="14.4">
      <c r="A76" s="4" t="s">
        <v>143</v>
      </c>
      <c r="B76" s="68">
        <f>SUM(C76:G76)</f>
        <v>50245.307519999995</v>
      </c>
      <c r="C76" s="69">
        <f>SUM(设备借用分摊明细!I:I)</f>
        <v>50245.307519999995</v>
      </c>
      <c r="D76" s="69"/>
      <c r="E76" s="69"/>
      <c r="F76" s="69"/>
      <c r="G76" s="170"/>
      <c r="H76" s="4"/>
    </row>
    <row r="77" spans="1:9" ht="14.4">
      <c r="A77" s="4" t="s">
        <v>144</v>
      </c>
      <c r="B77" s="172">
        <f>IF(B74=0,0,B76/B74)</f>
        <v>0.5416300043859914</v>
      </c>
      <c r="C77" s="61">
        <f>IF(C74=0,0,C76/C74)</f>
        <v>0.5416300043859914</v>
      </c>
      <c r="D77" s="61"/>
      <c r="E77" s="61"/>
      <c r="F77" s="61"/>
      <c r="G77" s="71"/>
      <c r="H77" s="4"/>
    </row>
    <row r="78" spans="1:9" ht="14.4">
      <c r="A78" s="4" t="s">
        <v>270</v>
      </c>
      <c r="B78" s="68">
        <f>SUM(C78:G78)</f>
        <v>0</v>
      </c>
      <c r="C78" s="69">
        <f>C79+C80</f>
        <v>0</v>
      </c>
      <c r="D78" s="69"/>
      <c r="E78" s="69"/>
      <c r="F78" s="69"/>
      <c r="G78" s="70"/>
      <c r="H78" s="4"/>
    </row>
    <row r="79" spans="1:9" ht="14.4">
      <c r="A79" s="4" t="s">
        <v>145</v>
      </c>
      <c r="B79" s="68">
        <f t="shared" ref="B79:B80" si="6">SUM(C79:G79)</f>
        <v>0</v>
      </c>
      <c r="C79" s="69">
        <f>SUM(免费物料申请表!G:G)</f>
        <v>0</v>
      </c>
      <c r="D79" s="69"/>
      <c r="E79" s="69"/>
      <c r="F79" s="69"/>
      <c r="G79" s="170"/>
      <c r="H79" s="4"/>
    </row>
    <row r="80" spans="1:9" ht="14.4">
      <c r="A80" s="4" t="s">
        <v>146</v>
      </c>
      <c r="B80" s="68">
        <f t="shared" si="6"/>
        <v>0</v>
      </c>
      <c r="C80" s="72"/>
      <c r="D80" s="120"/>
      <c r="E80" s="120"/>
      <c r="F80" s="120"/>
      <c r="G80" s="171"/>
      <c r="H80" s="4"/>
    </row>
    <row r="81" spans="1:8" ht="14.4">
      <c r="A81" s="4" t="s">
        <v>144</v>
      </c>
      <c r="B81" s="173">
        <f>IF(B78=0,0,B80/B78)</f>
        <v>0</v>
      </c>
      <c r="C81" s="169">
        <f>IF(C78=0,0,C80/C78)</f>
        <v>0</v>
      </c>
      <c r="D81" s="169"/>
      <c r="E81" s="169"/>
      <c r="F81" s="169"/>
      <c r="G81" s="71"/>
      <c r="H81" s="4"/>
    </row>
    <row r="82" spans="1:8" ht="14.4">
      <c r="A82" s="4" t="s">
        <v>271</v>
      </c>
      <c r="B82" s="68">
        <f>SUM(C82:G82)</f>
        <v>2000</v>
      </c>
      <c r="C82" s="69">
        <f>C83+C84</f>
        <v>2000</v>
      </c>
      <c r="D82" s="69">
        <f t="shared" ref="D82:G82" si="7">D83+D84</f>
        <v>0</v>
      </c>
      <c r="E82" s="69">
        <f t="shared" si="7"/>
        <v>0</v>
      </c>
      <c r="F82" s="69">
        <f t="shared" si="7"/>
        <v>0</v>
      </c>
      <c r="G82" s="70">
        <f t="shared" si="7"/>
        <v>0</v>
      </c>
      <c r="H82" s="4"/>
    </row>
    <row r="83" spans="1:8" ht="14.4">
      <c r="A83" s="4" t="s">
        <v>145</v>
      </c>
      <c r="B83" s="68">
        <f t="shared" ref="B83:B84" si="8">SUM(C83:G83)</f>
        <v>2000</v>
      </c>
      <c r="C83" s="72">
        <v>2000</v>
      </c>
      <c r="D83" s="72"/>
      <c r="E83" s="72"/>
      <c r="F83" s="72"/>
      <c r="G83" s="73"/>
      <c r="H83" s="4"/>
    </row>
    <row r="84" spans="1:8" ht="14.4">
      <c r="A84" s="4" t="s">
        <v>146</v>
      </c>
      <c r="B84" s="68">
        <f t="shared" si="8"/>
        <v>0</v>
      </c>
      <c r="C84" s="72"/>
      <c r="D84" s="72"/>
      <c r="E84" s="72"/>
      <c r="F84" s="72"/>
      <c r="G84" s="73"/>
      <c r="H84" s="4"/>
    </row>
    <row r="85" spans="1:8" ht="15" thickBot="1">
      <c r="A85" s="4" t="s">
        <v>144</v>
      </c>
      <c r="B85" s="174">
        <f>IF(B82=0,0,B84/B82)</f>
        <v>0</v>
      </c>
      <c r="C85" s="74">
        <f>IF(C82=0,0,C84/C82)</f>
        <v>0</v>
      </c>
      <c r="D85" s="74">
        <f t="shared" ref="D85:G85" si="9">IF(D82=0,0,D84/D82)</f>
        <v>0</v>
      </c>
      <c r="E85" s="74">
        <f t="shared" si="9"/>
        <v>0</v>
      </c>
      <c r="F85" s="74">
        <f t="shared" si="9"/>
        <v>0</v>
      </c>
      <c r="G85" s="75">
        <f t="shared" si="9"/>
        <v>0</v>
      </c>
      <c r="H85" s="4"/>
    </row>
    <row r="87" spans="1:8" ht="14.4" thickBot="1"/>
    <row r="88" spans="1:8" ht="15" thickBot="1">
      <c r="A88" s="64" t="s">
        <v>190</v>
      </c>
      <c r="B88" s="55" t="s">
        <v>111</v>
      </c>
      <c r="C88" s="56" t="s">
        <v>112</v>
      </c>
      <c r="D88" s="56" t="s">
        <v>113</v>
      </c>
      <c r="E88" s="56" t="s">
        <v>114</v>
      </c>
      <c r="F88" s="56" t="s">
        <v>115</v>
      </c>
      <c r="G88" s="57" t="s">
        <v>116</v>
      </c>
      <c r="H88" s="4"/>
    </row>
    <row r="89" spans="1:8" ht="14.4">
      <c r="A89" s="7" t="s">
        <v>191</v>
      </c>
      <c r="B89" s="121"/>
      <c r="C89" s="61"/>
      <c r="D89" s="61"/>
      <c r="E89" s="61"/>
      <c r="F89" s="61"/>
      <c r="G89" s="71"/>
      <c r="H89" s="63"/>
    </row>
    <row r="90" spans="1:8" ht="14.4">
      <c r="A90" s="4" t="s">
        <v>111</v>
      </c>
      <c r="B90" s="68">
        <f>SUM(C90:G90)</f>
        <v>15699.115044247792</v>
      </c>
      <c r="C90" s="122">
        <f>E62/1.13*$B$34-C82</f>
        <v>15699.115044247792</v>
      </c>
      <c r="D90" s="122">
        <f t="shared" ref="D90:G90" si="10">F62/1.13*$B$34-D82</f>
        <v>0</v>
      </c>
      <c r="E90" s="122">
        <f t="shared" si="10"/>
        <v>0</v>
      </c>
      <c r="F90" s="122">
        <f t="shared" si="10"/>
        <v>0</v>
      </c>
      <c r="G90" s="122">
        <f t="shared" si="10"/>
        <v>0</v>
      </c>
      <c r="H90" s="123"/>
    </row>
    <row r="91" spans="1:8" ht="14.4">
      <c r="A91" s="4" t="s">
        <v>145</v>
      </c>
      <c r="B91" s="68">
        <f t="shared" ref="B91" si="11">SUM(C91:G91)</f>
        <v>8619.4690265486752</v>
      </c>
      <c r="C91" s="122">
        <f>E62/1.13*$B$34*(1-C93)-C83</f>
        <v>8619.4690265486752</v>
      </c>
      <c r="D91" s="122">
        <f t="shared" ref="D91:G91" si="12">F62/1.13*$B$34*(1-D93)-D83</f>
        <v>0</v>
      </c>
      <c r="E91" s="122">
        <f t="shared" si="12"/>
        <v>0</v>
      </c>
      <c r="F91" s="122">
        <f t="shared" si="12"/>
        <v>0</v>
      </c>
      <c r="G91" s="122">
        <f t="shared" si="12"/>
        <v>0</v>
      </c>
      <c r="H91" s="4"/>
    </row>
    <row r="92" spans="1:8" ht="14.4">
      <c r="A92" s="4" t="s">
        <v>146</v>
      </c>
      <c r="B92" s="68">
        <f>SUM(C92:G92)</f>
        <v>7079.6460176991168</v>
      </c>
      <c r="C92" s="122">
        <f>E62/1.13*$B$34*C93-C84</f>
        <v>7079.6460176991168</v>
      </c>
      <c r="D92" s="122">
        <f t="shared" ref="D92:G92" si="13">F62/1.13*$B$34*D93-D84</f>
        <v>0</v>
      </c>
      <c r="E92" s="122">
        <f t="shared" si="13"/>
        <v>0</v>
      </c>
      <c r="F92" s="122">
        <f t="shared" si="13"/>
        <v>0</v>
      </c>
      <c r="G92" s="122">
        <f t="shared" si="13"/>
        <v>0</v>
      </c>
      <c r="H92" s="4"/>
    </row>
    <row r="93" spans="1:8" ht="15" thickBot="1">
      <c r="A93" s="4" t="s">
        <v>144</v>
      </c>
      <c r="B93" s="124">
        <v>0.4</v>
      </c>
      <c r="C93" s="74">
        <f>$B$93</f>
        <v>0.4</v>
      </c>
      <c r="D93" s="74">
        <f t="shared" ref="D93:G93" si="14">$B$93</f>
        <v>0.4</v>
      </c>
      <c r="E93" s="74">
        <f t="shared" si="14"/>
        <v>0.4</v>
      </c>
      <c r="F93" s="74">
        <f t="shared" si="14"/>
        <v>0.4</v>
      </c>
      <c r="G93" s="75">
        <f t="shared" si="14"/>
        <v>0.4</v>
      </c>
      <c r="H93" s="261" t="s">
        <v>526</v>
      </c>
    </row>
    <row r="94" spans="1:8" ht="14.4">
      <c r="A94" s="4"/>
      <c r="B94" s="125"/>
      <c r="C94" s="125"/>
      <c r="D94" s="125"/>
      <c r="E94" s="125"/>
      <c r="F94" s="125"/>
      <c r="G94" s="63"/>
      <c r="H94" s="4"/>
    </row>
    <row r="95" spans="1:8" ht="14.4">
      <c r="A95" s="4"/>
      <c r="B95" s="125"/>
      <c r="C95" s="125"/>
      <c r="D95" s="125"/>
      <c r="E95" s="125"/>
      <c r="F95" s="125"/>
      <c r="G95" s="63"/>
      <c r="H95" s="4"/>
    </row>
    <row r="96" spans="1:8" ht="14.4">
      <c r="A96" s="4" t="s">
        <v>111</v>
      </c>
      <c r="B96" s="9">
        <f>B73+B90</f>
        <v>110465.96162424779</v>
      </c>
      <c r="C96" s="9">
        <f>C73+C90</f>
        <v>110465.96162424779</v>
      </c>
      <c r="D96" s="9">
        <f t="shared" ref="D96:G96" si="15">D74+D90</f>
        <v>0</v>
      </c>
      <c r="E96" s="9">
        <f t="shared" si="15"/>
        <v>0</v>
      </c>
      <c r="F96" s="9">
        <f t="shared" si="15"/>
        <v>0</v>
      </c>
      <c r="G96" s="9">
        <f t="shared" si="15"/>
        <v>0</v>
      </c>
      <c r="H96" s="4"/>
    </row>
    <row r="97" spans="1:8" ht="14.4">
      <c r="A97" s="4" t="s">
        <v>145</v>
      </c>
      <c r="B97" s="9">
        <f>B75+B79+B83+B91</f>
        <v>53141.008086548682</v>
      </c>
      <c r="C97" s="9">
        <f>C75+C79+C83+C91</f>
        <v>53141.008086548682</v>
      </c>
      <c r="D97" s="9">
        <f t="shared" ref="D97:G98" si="16">D75+D79+D83+D91</f>
        <v>0</v>
      </c>
      <c r="E97" s="9">
        <f t="shared" si="16"/>
        <v>0</v>
      </c>
      <c r="F97" s="9">
        <f t="shared" si="16"/>
        <v>0</v>
      </c>
      <c r="G97" s="9">
        <f t="shared" si="16"/>
        <v>0</v>
      </c>
      <c r="H97" s="4"/>
    </row>
    <row r="98" spans="1:8" ht="14.4">
      <c r="A98" s="4" t="s">
        <v>146</v>
      </c>
      <c r="B98" s="9">
        <f>B76+B80+B84+B92</f>
        <v>57324.953537699112</v>
      </c>
      <c r="C98" s="9">
        <f>C76+C80+C84+C92</f>
        <v>57324.953537699112</v>
      </c>
      <c r="D98" s="9">
        <f t="shared" si="16"/>
        <v>0</v>
      </c>
      <c r="E98" s="9">
        <f t="shared" si="16"/>
        <v>0</v>
      </c>
      <c r="F98" s="9">
        <f t="shared" si="16"/>
        <v>0</v>
      </c>
      <c r="G98" s="9">
        <f t="shared" si="16"/>
        <v>0</v>
      </c>
      <c r="H98" s="4"/>
    </row>
    <row r="99" spans="1:8" ht="15">
      <c r="A99" s="4" t="s">
        <v>144</v>
      </c>
      <c r="B99" s="63">
        <f>IF(B96&gt;0,B98/B96,0)</f>
        <v>0.51893771343512218</v>
      </c>
      <c r="C99" s="63">
        <f>IF(C96&gt;0,C98/C96,0)</f>
        <v>0.51893771343512218</v>
      </c>
      <c r="D99" s="63">
        <f t="shared" ref="D99:G99" si="17">IF(D96&gt;0,D98/D96,0)</f>
        <v>0</v>
      </c>
      <c r="E99" s="63">
        <f t="shared" si="17"/>
        <v>0</v>
      </c>
      <c r="F99" s="63">
        <f t="shared" si="17"/>
        <v>0</v>
      </c>
      <c r="G99" s="63">
        <f t="shared" si="17"/>
        <v>0</v>
      </c>
      <c r="H99" s="202" t="s">
        <v>571</v>
      </c>
    </row>
    <row r="101" spans="1:8" s="4" customFormat="1" ht="14.4">
      <c r="A101" s="218" t="s">
        <v>192</v>
      </c>
      <c r="B101" s="219"/>
      <c r="C101" s="219"/>
      <c r="D101" s="219"/>
      <c r="E101" s="219"/>
      <c r="F101" s="219"/>
      <c r="G101" s="220"/>
      <c r="H101" s="221"/>
    </row>
    <row r="102" spans="1:8" s="4" customFormat="1" ht="15" thickBot="1">
      <c r="A102" s="222" t="s">
        <v>193</v>
      </c>
      <c r="B102" s="223"/>
      <c r="C102" s="224"/>
      <c r="D102" s="225"/>
      <c r="E102" s="224"/>
      <c r="F102" s="224"/>
      <c r="G102" s="225"/>
      <c r="H102" s="221"/>
    </row>
    <row r="103" spans="1:8" s="4" customFormat="1" ht="14.4">
      <c r="A103" s="226" t="s">
        <v>194</v>
      </c>
      <c r="B103" s="227" t="str">
        <f>C25</f>
        <v>SGM</v>
      </c>
      <c r="C103" s="228" t="str">
        <f>C26</f>
        <v>SVW</v>
      </c>
      <c r="D103" s="229"/>
      <c r="E103" s="225"/>
      <c r="F103" s="223"/>
      <c r="G103" s="223"/>
      <c r="H103" s="221"/>
    </row>
    <row r="104" spans="1:8" s="4" customFormat="1" ht="15" thickBot="1">
      <c r="A104" s="226" t="s">
        <v>414</v>
      </c>
      <c r="B104" s="230">
        <f>VLOOKUP(B103,'MM&amp;MSO项目信息'!B:H,6,0)</f>
        <v>0.84</v>
      </c>
      <c r="C104" s="231">
        <f>VLOOKUP(C103,'MM&amp;MSO项目信息'!B:H,6,0)</f>
        <v>0.74</v>
      </c>
      <c r="D104" s="232"/>
      <c r="E104" s="225"/>
      <c r="F104" s="223"/>
      <c r="G104" s="223"/>
      <c r="H104" s="221"/>
    </row>
    <row r="105" spans="1:8" s="4" customFormat="1" ht="15" thickBot="1">
      <c r="A105" s="233" t="s">
        <v>195</v>
      </c>
      <c r="B105" s="234" t="s">
        <v>111</v>
      </c>
      <c r="C105" s="235" t="s">
        <v>112</v>
      </c>
      <c r="D105" s="236" t="s">
        <v>113</v>
      </c>
      <c r="E105" s="237" t="s">
        <v>114</v>
      </c>
      <c r="F105" s="238" t="s">
        <v>115</v>
      </c>
      <c r="G105" s="239" t="s">
        <v>116</v>
      </c>
      <c r="H105" s="221"/>
    </row>
    <row r="106" spans="1:8" s="4" customFormat="1" ht="14.4">
      <c r="A106" s="240" t="s">
        <v>257</v>
      </c>
      <c r="B106" s="241"/>
      <c r="C106" s="242"/>
      <c r="D106" s="242"/>
      <c r="E106" s="242"/>
      <c r="F106" s="242"/>
      <c r="G106" s="243"/>
      <c r="H106" s="221"/>
    </row>
    <row r="107" spans="1:8" s="4" customFormat="1" ht="14.4">
      <c r="A107" s="240" t="str">
        <f>C25</f>
        <v>SGM</v>
      </c>
      <c r="B107" s="241">
        <f>VLOOKUP(A107,'MM&amp;MSO项目信息'!B:E,4,0)</f>
        <v>9.1399999999999995E-2</v>
      </c>
      <c r="C107" s="242">
        <f>$B$107</f>
        <v>9.1399999999999995E-2</v>
      </c>
      <c r="D107" s="242">
        <f t="shared" ref="D107:G107" si="18">$B$107</f>
        <v>9.1399999999999995E-2</v>
      </c>
      <c r="E107" s="242">
        <f t="shared" si="18"/>
        <v>9.1399999999999995E-2</v>
      </c>
      <c r="F107" s="242">
        <f t="shared" si="18"/>
        <v>9.1399999999999995E-2</v>
      </c>
      <c r="G107" s="243">
        <f t="shared" si="18"/>
        <v>9.1399999999999995E-2</v>
      </c>
      <c r="H107" s="221"/>
    </row>
    <row r="108" spans="1:8" s="4" customFormat="1" ht="14.4">
      <c r="A108" s="240" t="str">
        <f>C26</f>
        <v>SVW</v>
      </c>
      <c r="B108" s="241">
        <f>VLOOKUP(A108,'MM&amp;MSO项目信息'!B:E,4,0)</f>
        <v>9.1399999999999995E-2</v>
      </c>
      <c r="C108" s="242">
        <f>$B$108</f>
        <v>9.1399999999999995E-2</v>
      </c>
      <c r="D108" s="242">
        <f t="shared" ref="D108:G108" si="19">$B$108</f>
        <v>9.1399999999999995E-2</v>
      </c>
      <c r="E108" s="242">
        <f t="shared" si="19"/>
        <v>9.1399999999999995E-2</v>
      </c>
      <c r="F108" s="242">
        <f t="shared" si="19"/>
        <v>9.1399999999999995E-2</v>
      </c>
      <c r="G108" s="243">
        <f t="shared" si="19"/>
        <v>9.1399999999999995E-2</v>
      </c>
      <c r="H108" s="221"/>
    </row>
    <row r="109" spans="1:8" s="4" customFormat="1" ht="14.4">
      <c r="A109" s="240" t="s">
        <v>258</v>
      </c>
      <c r="B109" s="244"/>
      <c r="C109" s="242">
        <f>$B109</f>
        <v>0</v>
      </c>
      <c r="D109" s="242">
        <f t="shared" ref="D109:G114" si="20">$B109</f>
        <v>0</v>
      </c>
      <c r="E109" s="242">
        <f t="shared" si="20"/>
        <v>0</v>
      </c>
      <c r="F109" s="242">
        <f t="shared" si="20"/>
        <v>0</v>
      </c>
      <c r="G109" s="243">
        <f t="shared" si="20"/>
        <v>0</v>
      </c>
      <c r="H109" s="221"/>
    </row>
    <row r="110" spans="1:8" s="4" customFormat="1" ht="14.4">
      <c r="A110" s="240" t="s">
        <v>259</v>
      </c>
      <c r="B110" s="241">
        <v>0</v>
      </c>
      <c r="C110" s="242">
        <f t="shared" ref="C110:C114" si="21">$B110</f>
        <v>0</v>
      </c>
      <c r="D110" s="242">
        <f t="shared" si="20"/>
        <v>0</v>
      </c>
      <c r="E110" s="242">
        <f t="shared" si="20"/>
        <v>0</v>
      </c>
      <c r="F110" s="242">
        <f t="shared" si="20"/>
        <v>0</v>
      </c>
      <c r="G110" s="243">
        <f t="shared" si="20"/>
        <v>0</v>
      </c>
      <c r="H110" s="245"/>
    </row>
    <row r="111" spans="1:8" s="4" customFormat="1" ht="14.4">
      <c r="A111" s="240" t="str">
        <f>C25</f>
        <v>SGM</v>
      </c>
      <c r="B111" s="241">
        <f>VLOOKUP(A111,'MM&amp;MSO项目信息'!B:L,8,0)</f>
        <v>0</v>
      </c>
      <c r="C111" s="242">
        <f>$B$111</f>
        <v>0</v>
      </c>
      <c r="D111" s="242">
        <f t="shared" ref="D111:G111" si="22">$B$111</f>
        <v>0</v>
      </c>
      <c r="E111" s="242">
        <f t="shared" si="22"/>
        <v>0</v>
      </c>
      <c r="F111" s="242">
        <f t="shared" si="22"/>
        <v>0</v>
      </c>
      <c r="G111" s="243">
        <f t="shared" si="22"/>
        <v>0</v>
      </c>
      <c r="H111" s="221"/>
    </row>
    <row r="112" spans="1:8" s="4" customFormat="1" ht="14.4">
      <c r="A112" s="240" t="str">
        <f>C26</f>
        <v>SVW</v>
      </c>
      <c r="B112" s="241">
        <f>VLOOKUP(A112,'MM&amp;MSO项目信息'!B:L,8,0)</f>
        <v>0</v>
      </c>
      <c r="C112" s="242">
        <f>$B$112</f>
        <v>0</v>
      </c>
      <c r="D112" s="242">
        <f t="shared" ref="D112:G112" si="23">$B$112</f>
        <v>0</v>
      </c>
      <c r="E112" s="242">
        <f t="shared" si="23"/>
        <v>0</v>
      </c>
      <c r="F112" s="242">
        <f t="shared" si="23"/>
        <v>0</v>
      </c>
      <c r="G112" s="243">
        <f t="shared" si="23"/>
        <v>0</v>
      </c>
      <c r="H112" s="221"/>
    </row>
    <row r="113" spans="1:8" s="4" customFormat="1" ht="14.4">
      <c r="A113" s="240" t="s">
        <v>260</v>
      </c>
      <c r="B113" s="241"/>
      <c r="C113" s="242">
        <f t="shared" si="21"/>
        <v>0</v>
      </c>
      <c r="D113" s="242">
        <f t="shared" si="20"/>
        <v>0</v>
      </c>
      <c r="E113" s="242">
        <f t="shared" si="20"/>
        <v>0</v>
      </c>
      <c r="F113" s="242">
        <f t="shared" si="20"/>
        <v>0</v>
      </c>
      <c r="G113" s="243">
        <f t="shared" si="20"/>
        <v>0</v>
      </c>
      <c r="H113" s="245"/>
    </row>
    <row r="114" spans="1:8" s="4" customFormat="1" ht="15" thickBot="1">
      <c r="A114" s="240" t="s">
        <v>261</v>
      </c>
      <c r="B114" s="246"/>
      <c r="C114" s="247">
        <f t="shared" si="21"/>
        <v>0</v>
      </c>
      <c r="D114" s="247">
        <f t="shared" si="20"/>
        <v>0</v>
      </c>
      <c r="E114" s="247">
        <f t="shared" si="20"/>
        <v>0</v>
      </c>
      <c r="F114" s="247">
        <f t="shared" si="20"/>
        <v>0</v>
      </c>
      <c r="G114" s="248">
        <f t="shared" si="20"/>
        <v>0</v>
      </c>
      <c r="H114" s="245"/>
    </row>
    <row r="115" spans="1:8">
      <c r="A115" s="249"/>
      <c r="B115" s="249"/>
      <c r="C115" s="249"/>
      <c r="D115" s="249"/>
      <c r="E115" s="249"/>
      <c r="F115" s="249"/>
      <c r="G115" s="249"/>
      <c r="H115" s="249"/>
    </row>
    <row r="117" spans="1:8" ht="14.4">
      <c r="A117" s="250" t="s">
        <v>196</v>
      </c>
      <c r="B117" s="221"/>
      <c r="C117" s="221"/>
      <c r="D117" s="63"/>
    </row>
    <row r="118" spans="1:8" ht="14.4">
      <c r="A118" s="251" t="s">
        <v>197</v>
      </c>
      <c r="B118" s="252">
        <v>0</v>
      </c>
      <c r="C118" s="221"/>
      <c r="D118" s="63"/>
    </row>
    <row r="119" spans="1:8" ht="14.4">
      <c r="A119" s="253" t="s">
        <v>198</v>
      </c>
      <c r="B119" s="254">
        <v>0</v>
      </c>
      <c r="C119" s="221"/>
      <c r="D119" s="63"/>
    </row>
    <row r="120" spans="1:8" ht="14.4">
      <c r="A120" s="255" t="s">
        <v>199</v>
      </c>
      <c r="B120" s="256">
        <v>0.2</v>
      </c>
      <c r="C120" s="221"/>
      <c r="D120" s="63"/>
    </row>
    <row r="121" spans="1:8" ht="14.4">
      <c r="A121" s="253" t="s">
        <v>200</v>
      </c>
      <c r="B121" s="254">
        <v>0</v>
      </c>
      <c r="C121" s="221"/>
      <c r="D121" s="4"/>
    </row>
    <row r="122" spans="1:8" ht="14.4">
      <c r="A122" s="253" t="s">
        <v>201</v>
      </c>
      <c r="B122" s="254">
        <v>0</v>
      </c>
      <c r="C122" s="221"/>
      <c r="D122" s="4"/>
    </row>
    <row r="123" spans="1:8" ht="14.4">
      <c r="A123" s="257" t="s">
        <v>202</v>
      </c>
      <c r="B123" s="258">
        <v>0.6</v>
      </c>
      <c r="C123" s="221"/>
      <c r="D123" s="4"/>
    </row>
    <row r="124" spans="1:8" ht="14.4">
      <c r="A124" s="4"/>
      <c r="B124" s="4"/>
      <c r="C124" s="4"/>
      <c r="D124" s="126"/>
    </row>
    <row r="125" spans="1:8" ht="14.4">
      <c r="A125" s="263"/>
      <c r="B125" s="264" t="s">
        <v>204</v>
      </c>
      <c r="C125" s="264" t="s">
        <v>205</v>
      </c>
      <c r="D125" s="264" t="s">
        <v>206</v>
      </c>
      <c r="E125" s="265" t="s">
        <v>207</v>
      </c>
      <c r="F125" s="126"/>
    </row>
    <row r="126" spans="1:8" ht="14.4">
      <c r="A126" s="266" t="s">
        <v>203</v>
      </c>
      <c r="B126" s="267">
        <v>0.08</v>
      </c>
      <c r="C126" s="267">
        <v>0.06</v>
      </c>
      <c r="D126" s="267">
        <v>0.04</v>
      </c>
      <c r="E126" s="268">
        <v>0.03</v>
      </c>
      <c r="F126" s="126"/>
    </row>
    <row r="128" spans="1:8" s="4" customFormat="1" ht="14.4">
      <c r="B128" s="127">
        <f>C58</f>
        <v>0</v>
      </c>
      <c r="C128" s="127">
        <f>D58</f>
        <v>0</v>
      </c>
      <c r="D128" s="127">
        <f>E58</f>
        <v>0</v>
      </c>
      <c r="E128" s="127">
        <f>F58</f>
        <v>0</v>
      </c>
      <c r="F128" s="127">
        <f>G58</f>
        <v>0</v>
      </c>
      <c r="G128" s="128"/>
    </row>
    <row r="129" spans="1:10" s="4" customFormat="1" ht="14.4">
      <c r="B129" s="129" t="s">
        <v>208</v>
      </c>
      <c r="C129" s="129" t="s">
        <v>209</v>
      </c>
      <c r="D129" s="129" t="s">
        <v>210</v>
      </c>
      <c r="E129" s="129" t="s">
        <v>211</v>
      </c>
      <c r="F129" s="129" t="s">
        <v>212</v>
      </c>
      <c r="G129" s="129" t="s">
        <v>111</v>
      </c>
    </row>
    <row r="130" spans="1:10" s="4" customFormat="1" ht="14.4">
      <c r="A130" s="130" t="s">
        <v>411</v>
      </c>
      <c r="B130" s="131">
        <f>B131*1.13</f>
        <v>20000</v>
      </c>
      <c r="C130" s="131">
        <f t="shared" ref="C130:F130" si="24">C131*1.13</f>
        <v>0</v>
      </c>
      <c r="D130" s="131">
        <f t="shared" si="24"/>
        <v>0</v>
      </c>
      <c r="E130" s="131">
        <f t="shared" si="24"/>
        <v>0</v>
      </c>
      <c r="F130" s="131">
        <f t="shared" si="24"/>
        <v>0</v>
      </c>
      <c r="G130" s="131">
        <f>SUM(B130:F130)</f>
        <v>20000</v>
      </c>
      <c r="H130" s="131"/>
    </row>
    <row r="131" spans="1:10" s="4" customFormat="1" ht="14.4">
      <c r="A131" s="4" t="s">
        <v>262</v>
      </c>
      <c r="B131" s="131">
        <f>IF($B$63="PPG Sales",(E64*(1+VLOOKUP($A$64,'MM&amp;MSO项目信息'!$B:$G,5,0))+Template!E65*(1+VLOOKUP(Template!$A$65,'MM&amp;MSO项目信息'!$B:$G,5,0)))/1.13,Template!E63/1.13)</f>
        <v>17699.115044247788</v>
      </c>
      <c r="C131" s="131">
        <f>IF($B$63="PPG Sales",(F64*(1+VLOOKUP($A$64,'MM&amp;MSO项目信息'!$B:$G,5,0))+Template!F65*(1+VLOOKUP(Template!$A$65,'MM&amp;MSO项目信息'!$B:$G,5,0)))/1.13,Template!F63/1.13)</f>
        <v>0</v>
      </c>
      <c r="D131" s="131">
        <f>IF($B$63="PPG Sales",(G64*(1+VLOOKUP($A$64,'MM&amp;MSO项目信息'!$B:$G,5,0))+Template!G65*(1+VLOOKUP(Template!$A$65,'MM&amp;MSO项目信息'!$B:$G,5,0)))/1.13,Template!G63/1.13)</f>
        <v>0</v>
      </c>
      <c r="E131" s="131">
        <f>IF($B$63="PPG Sales",(H64*(1+VLOOKUP($A$64,'MM&amp;MSO项目信息'!$B:$G,5,0))+Template!H65*(1+VLOOKUP(Template!$A$65,'MM&amp;MSO项目信息'!$B:$G,5,0)))/1.13,Template!H63/1.13)</f>
        <v>0</v>
      </c>
      <c r="F131" s="131">
        <f>IF($B$63="PPG Sales",(I64*(1+VLOOKUP($A$64,'MM&amp;MSO项目信息'!$B:$G,5,0))+Template!I65*(1+VLOOKUP(Template!$A$65,'MM&amp;MSO项目信息'!$B:$G,5,0)))/1.13,Template!I63/1.13)</f>
        <v>0</v>
      </c>
      <c r="G131" s="131">
        <f>SUM(B131:F131)</f>
        <v>17699.115044247788</v>
      </c>
      <c r="H131" s="131"/>
    </row>
    <row r="132" spans="1:10" s="4" customFormat="1" ht="14.4">
      <c r="A132" s="4" t="str">
        <f>A64</f>
        <v>SGM</v>
      </c>
      <c r="B132" s="131">
        <f>IF($B$63="PPG Sales",(E64*(1+VLOOKUP($A$64,'MM&amp;MSO项目信息'!$B:$G,5,0)))/1.13,Template!E64/1.13)</f>
        <v>8849.5575221238942</v>
      </c>
      <c r="C132" s="131">
        <f>IF($B$63="PPG Sales",(F64*(1+VLOOKUP($A$64,'MM&amp;MSO项目信息'!$B:$G,5,0)))/1.13,Template!F64/1.13)</f>
        <v>0</v>
      </c>
      <c r="D132" s="131">
        <f>IF($B$63="PPG Sales",(G64*(1+VLOOKUP($A$64,'MM&amp;MSO项目信息'!$B:$G,5,0)))/1.13,Template!G64/1.13)</f>
        <v>0</v>
      </c>
      <c r="E132" s="131">
        <f>IF($B$63="PPG Sales",(H64*(1+VLOOKUP($A$64,'MM&amp;MSO项目信息'!$B:$G,5,0)))/1.13,Template!H64/1.13)</f>
        <v>0</v>
      </c>
      <c r="F132" s="131">
        <f>IF($B$63="PPG Sales",(I64*(1+VLOOKUP($A$64,'MM&amp;MSO项目信息'!$B:$G,5,0)))/1.13,Template!I64/1.13)</f>
        <v>0</v>
      </c>
      <c r="G132" s="131">
        <f t="shared" ref="G132:G133" si="25">SUM(B132:F132)</f>
        <v>8849.5575221238942</v>
      </c>
      <c r="H132" s="270" t="s">
        <v>528</v>
      </c>
    </row>
    <row r="133" spans="1:10" s="4" customFormat="1" ht="14.4">
      <c r="A133" s="4" t="str">
        <f>A65</f>
        <v>SVW</v>
      </c>
      <c r="B133" s="131">
        <f>IF($B$63="PPG Sales",(Template!E65*(1+VLOOKUP(Template!$A$65,'MM&amp;MSO项目信息'!$B:$G,5,0)))/1.13,Template!E65/1.13)</f>
        <v>8849.5575221238942</v>
      </c>
      <c r="C133" s="131">
        <f>IF($B$63="PPG Sales",(Template!F65*(1+VLOOKUP(Template!$A$65,'MM&amp;MSO项目信息'!$B:$G,5,0)))/1.13,Template!F65/1.13)</f>
        <v>0</v>
      </c>
      <c r="D133" s="131">
        <f>IF($B$63="PPG Sales",(Template!G65*(1+VLOOKUP(Template!$A$65,'MM&amp;MSO项目信息'!$B:$G,5,0)))/1.13,Template!G65/1.13)</f>
        <v>0</v>
      </c>
      <c r="E133" s="131">
        <f>IF($B$63="PPG Sales",(Template!H65*(1+VLOOKUP(Template!$A$65,'MM&amp;MSO项目信息'!$B:$G,5,0)))/1.13,Template!H65/1.13)</f>
        <v>0</v>
      </c>
      <c r="F133" s="131">
        <f>IF($B$63="PPG Sales",(Template!I65*(1+VLOOKUP(Template!$A$65,'MM&amp;MSO项目信息'!$B:$G,5,0)))/1.13,Template!I65/1.13)</f>
        <v>0</v>
      </c>
      <c r="G133" s="131">
        <f t="shared" si="25"/>
        <v>8849.5575221238942</v>
      </c>
      <c r="H133" s="270" t="s">
        <v>528</v>
      </c>
    </row>
    <row r="134" spans="1:10" s="4" customFormat="1" ht="14.4">
      <c r="A134" s="132" t="s">
        <v>263</v>
      </c>
      <c r="B134" s="131">
        <f>IF($B$63="PPG Sales",Template!E63/1.13,(E64*(1+VLOOKUP($A$64,'MM&amp;MSO项目信息'!$B:$G,3,0))+Template!E65*(1+VLOOKUP(Template!$A$65,'MM&amp;MSO项目信息'!$B:$G,3,0)))/1.13)</f>
        <v>17699.115044247788</v>
      </c>
      <c r="C134" s="131">
        <f>IF($B$63="PPG Sales",Template!F63/1.13,(F64*(1+VLOOKUP($A$64,'MM&amp;MSO项目信息'!$B:$G,3,0))+Template!F65*(1+VLOOKUP(Template!$A$65,'MM&amp;MSO项目信息'!$B:$G,3,0)))/1.13)</f>
        <v>0</v>
      </c>
      <c r="D134" s="131">
        <f>IF($B$63="PPG Sales",Template!G63/1.13,(G64*(1+VLOOKUP($A$64,'MM&amp;MSO项目信息'!$B:$G,3,0))+Template!G65*(1+VLOOKUP(Template!$A$65,'MM&amp;MSO项目信息'!$B:$G,3,0)))/1.13)</f>
        <v>0</v>
      </c>
      <c r="E134" s="131">
        <f>IF($B$63="PPG Sales",Template!H63/1.13,(H64*(1+VLOOKUP($A$64,'MM&amp;MSO项目信息'!$B:$G,3,0))+Template!H65*(1+VLOOKUP(Template!$A$65,'MM&amp;MSO项目信息'!$B:$G,3,0)))/1.13)</f>
        <v>0</v>
      </c>
      <c r="F134" s="131">
        <f>IF($B$63="PPG Sales",Template!I63/1.13,(I64*(1+VLOOKUP($A$64,'MM&amp;MSO项目信息'!$B:$G,3,0))+Template!I65*(1+VLOOKUP(Template!$A$65,'MM&amp;MSO项目信息'!$B:$G,3,0)))/1.13)</f>
        <v>0</v>
      </c>
      <c r="G134" s="133">
        <f t="shared" ref="G134:G141" si="26">SUM(B134:F134)</f>
        <v>17699.115044247788</v>
      </c>
      <c r="H134" s="131"/>
    </row>
    <row r="135" spans="1:10" s="4" customFormat="1" ht="14.4">
      <c r="A135" s="132" t="str">
        <f>A64</f>
        <v>SGM</v>
      </c>
      <c r="B135" s="131">
        <f>IF($B$63="PPG Sales",Template!E64/1.13,(E64/(1+VLOOKUP($A$64,'MM&amp;MSO项目信息'!$B:$G,5,0)))/1.13)</f>
        <v>8849.5575221238942</v>
      </c>
      <c r="C135" s="131">
        <f>IF($B$63="PPG Sales",Template!F64/1.13,(F64*(1+VLOOKUP($A$64,'MM&amp;MSO项目信息'!$B:$G,5,0)))/1.13)</f>
        <v>0</v>
      </c>
      <c r="D135" s="131">
        <f>IF($B$63="PPG Sales",Template!G64/1.13,(G64*(1+VLOOKUP($A$64,'MM&amp;MSO项目信息'!$B:$G,5,0)))/1.13)</f>
        <v>0</v>
      </c>
      <c r="E135" s="131">
        <f>IF($B$63="PPG Sales",Template!H64/1.13,(H64*(1+VLOOKUP($A$64,'MM&amp;MSO项目信息'!$B:$G,5,0)))/1.13)</f>
        <v>0</v>
      </c>
      <c r="F135" s="131">
        <f>IF($B$63="PPG Sales",Template!I64/1.13,(I64*(1+VLOOKUP($A$64,'MM&amp;MSO项目信息'!$B:$G,5,0)))/1.13)</f>
        <v>0</v>
      </c>
      <c r="G135" s="133">
        <f t="shared" si="26"/>
        <v>8849.5575221238942</v>
      </c>
      <c r="H135" s="270" t="s">
        <v>529</v>
      </c>
    </row>
    <row r="136" spans="1:10" s="4" customFormat="1" ht="14.4">
      <c r="A136" s="132" t="str">
        <f>A65</f>
        <v>SVW</v>
      </c>
      <c r="B136" s="131">
        <f>IF($B$63="PPG Sales",Template!E65/1.13,(Template!E65/(1+VLOOKUP(Template!$A$65,'MM&amp;MSO项目信息'!$B:$G,5,0)))/1.13)</f>
        <v>8849.5575221238942</v>
      </c>
      <c r="C136" s="131">
        <f>IF($B$63="PPG Sales",Template!F65/1.13,(Template!F65*(1+VLOOKUP(Template!$A$65,'MM&amp;MSO项目信息'!$B:$G,5,0)))/1.13)</f>
        <v>0</v>
      </c>
      <c r="D136" s="131">
        <f>IF($B$63="PPG Sales",Template!G65/1.13,(Template!G65*(1+VLOOKUP(Template!$A$65,'MM&amp;MSO项目信息'!$B:$G,5,0)))/1.13)</f>
        <v>0</v>
      </c>
      <c r="E136" s="131">
        <f>IF($B$63="PPG Sales",Template!H65/1.13,(Template!H65*(1+VLOOKUP(Template!$A$65,'MM&amp;MSO项目信息'!$B:$G,5,0)))/1.13)</f>
        <v>0</v>
      </c>
      <c r="F136" s="131">
        <f>IF($B$63="PPG Sales",Template!I65/1.13,(Template!I65*(1+VLOOKUP(Template!$A$65,'MM&amp;MSO项目信息'!$B:$G,5,0)))/1.13)</f>
        <v>0</v>
      </c>
      <c r="G136" s="133">
        <f t="shared" si="26"/>
        <v>8849.5575221238942</v>
      </c>
      <c r="H136" s="270" t="s">
        <v>529</v>
      </c>
    </row>
    <row r="137" spans="1:10" s="4" customFormat="1" ht="14.4">
      <c r="A137" s="130" t="s">
        <v>412</v>
      </c>
      <c r="B137" s="131">
        <f>B140*1.13</f>
        <v>20000</v>
      </c>
      <c r="C137" s="131">
        <f t="shared" ref="C137:F137" si="27">C140*1.13</f>
        <v>0</v>
      </c>
      <c r="D137" s="131">
        <f t="shared" si="27"/>
        <v>0</v>
      </c>
      <c r="E137" s="131">
        <f t="shared" si="27"/>
        <v>0</v>
      </c>
      <c r="F137" s="131">
        <f t="shared" si="27"/>
        <v>0</v>
      </c>
      <c r="G137" s="131">
        <f t="shared" si="26"/>
        <v>20000</v>
      </c>
      <c r="H137" s="131"/>
    </row>
    <row r="138" spans="1:10" s="4" customFormat="1" ht="14.4">
      <c r="A138" s="130" t="s">
        <v>454</v>
      </c>
      <c r="B138" s="131">
        <f>B139*1.13</f>
        <v>20000</v>
      </c>
      <c r="C138" s="131">
        <f t="shared" ref="C138:F138" si="28">C139*1.13</f>
        <v>0</v>
      </c>
      <c r="D138" s="131">
        <f t="shared" si="28"/>
        <v>0</v>
      </c>
      <c r="E138" s="131">
        <f t="shared" si="28"/>
        <v>0</v>
      </c>
      <c r="F138" s="131">
        <f t="shared" si="28"/>
        <v>0</v>
      </c>
      <c r="G138" s="131">
        <f t="shared" si="26"/>
        <v>20000</v>
      </c>
      <c r="H138" s="131"/>
    </row>
    <row r="139" spans="1:10" s="4" customFormat="1" ht="14.4">
      <c r="A139" s="4" t="s">
        <v>264</v>
      </c>
      <c r="B139" s="131">
        <f>IF($B$66="PPG Sales",E66*(1+VLOOKUP($D$25,'MM&amp;MSO项目信息'!$B:$G,7,0))/1.13,E66/1.13)</f>
        <v>17699.115044247788</v>
      </c>
      <c r="C139" s="131">
        <f>IF($B$66="PPG Sales",F66*(1+VLOOKUP($D$25,'MM&amp;MSO项目信息'!$B:$G,7,0))/1.13,F66/1.13)</f>
        <v>0</v>
      </c>
      <c r="D139" s="131">
        <f>IF($B$66="PPG Sales",G66*(1+VLOOKUP($D$25,'MM&amp;MSO项目信息'!$B:$G,7,0))/1.13,G66/1.13)</f>
        <v>0</v>
      </c>
      <c r="E139" s="131">
        <f>IF($B$66="PPG Sales",H66*(1+VLOOKUP($D$25,'MM&amp;MSO项目信息'!$B:$G,7,0))/1.13,H66/1.13)</f>
        <v>0</v>
      </c>
      <c r="F139" s="131">
        <f>IF($B$66="PPG Sales",I66*(1+VLOOKUP($D$25,'MM&amp;MSO项目信息'!$B:$G,7,0))/1.13,I66/1.13)</f>
        <v>0</v>
      </c>
      <c r="G139" s="131">
        <f>SUM(B139:F139)</f>
        <v>17699.115044247788</v>
      </c>
      <c r="H139" s="270" t="s">
        <v>533</v>
      </c>
    </row>
    <row r="140" spans="1:10" s="4" customFormat="1" ht="14.4">
      <c r="A140" s="132" t="s">
        <v>265</v>
      </c>
      <c r="B140" s="131">
        <f>IF($B$66="PPG Sales",E66/1.13,E66/(1+IFERROR(VLOOKUP($D$25,'MM&amp;MSO项目信息'!$B:$G,7,0),0))/1.13)</f>
        <v>17699.115044247788</v>
      </c>
      <c r="C140" s="131">
        <f>IF($B$66="PPG Sales",F66/1.13,F66/(1+IFERROR(VLOOKUP($D$25,'MM&amp;MSO项目信息'!$B:$G,7,0),0))/1.13)</f>
        <v>0</v>
      </c>
      <c r="D140" s="131">
        <f>IF($B$66="PPG Sales",G66/1.13,G66/(1+IFERROR(VLOOKUP($D$25,'MM&amp;MSO项目信息'!$B:$G,7,0),0))/1.13)</f>
        <v>0</v>
      </c>
      <c r="E140" s="131">
        <f>IF($B$66="PPG Sales",H66/1.13,H66/(1+IFERROR(VLOOKUP($D$25,'MM&amp;MSO项目信息'!$B:$G,7,0),0))/1.13)</f>
        <v>0</v>
      </c>
      <c r="F140" s="131">
        <f>IF($B$66="PPG Sales",I66/1.13,I66/(1+IFERROR(VLOOKUP($D$25,'MM&amp;MSO项目信息'!$B:$G,7,0),0))/1.13)</f>
        <v>0</v>
      </c>
      <c r="G140" s="133">
        <f t="shared" si="26"/>
        <v>17699.115044247788</v>
      </c>
      <c r="H140" s="270" t="s">
        <v>532</v>
      </c>
    </row>
    <row r="141" spans="1:10" s="4" customFormat="1" ht="14.1" customHeight="1">
      <c r="A141" s="130" t="s">
        <v>413</v>
      </c>
      <c r="B141" s="131">
        <f>B142*1.13</f>
        <v>60000</v>
      </c>
      <c r="C141" s="131">
        <f t="shared" ref="C141:F141" si="29">C142*1.13</f>
        <v>0</v>
      </c>
      <c r="D141" s="131">
        <f t="shared" si="29"/>
        <v>0</v>
      </c>
      <c r="E141" s="131">
        <f t="shared" si="29"/>
        <v>0</v>
      </c>
      <c r="F141" s="131">
        <f t="shared" si="29"/>
        <v>0</v>
      </c>
      <c r="G141" s="131">
        <f t="shared" si="26"/>
        <v>60000</v>
      </c>
      <c r="H141" s="131"/>
      <c r="J141" s="128"/>
    </row>
    <row r="142" spans="1:10" s="4" customFormat="1" ht="14.1" customHeight="1">
      <c r="A142" s="4" t="s">
        <v>266</v>
      </c>
      <c r="B142" s="131">
        <f>IF($B$67="PPG Sales",E67*(1+0.2)/1.13,E67/1.13)</f>
        <v>53097.345132743365</v>
      </c>
      <c r="C142" s="131">
        <f t="shared" ref="C142:F142" si="30">IF($B$67="PPG Sales",F67*(1+$B$120)/1.13,F67/1.13)</f>
        <v>0</v>
      </c>
      <c r="D142" s="131">
        <f t="shared" si="30"/>
        <v>0</v>
      </c>
      <c r="E142" s="131">
        <f t="shared" si="30"/>
        <v>0</v>
      </c>
      <c r="F142" s="131">
        <f t="shared" si="30"/>
        <v>0</v>
      </c>
      <c r="G142" s="131">
        <f>SUM(B142:F142)</f>
        <v>53097.345132743365</v>
      </c>
      <c r="H142" s="270" t="s">
        <v>534</v>
      </c>
    </row>
    <row r="143" spans="1:10" s="4" customFormat="1" ht="14.1" customHeight="1">
      <c r="A143" s="132" t="s">
        <v>267</v>
      </c>
      <c r="B143" s="281">
        <f>IF($B$67="PPG Sales",E67/1.13,E67/(1+0.2)/1.13)</f>
        <v>44247.787610619474</v>
      </c>
      <c r="C143" s="281">
        <f t="shared" ref="C143:F143" si="31">IF($B$67="PPG Sales",F67/1.13,F67/(1+$B$120)/1.13)</f>
        <v>0</v>
      </c>
      <c r="D143" s="281">
        <f t="shared" si="31"/>
        <v>0</v>
      </c>
      <c r="E143" s="281">
        <f t="shared" si="31"/>
        <v>0</v>
      </c>
      <c r="F143" s="281">
        <f t="shared" si="31"/>
        <v>0</v>
      </c>
      <c r="G143" s="133">
        <f t="shared" ref="G143" si="32">SUM(B143:F143)</f>
        <v>44247.787610619474</v>
      </c>
      <c r="H143" s="270" t="s">
        <v>535</v>
      </c>
      <c r="J143" s="128"/>
    </row>
    <row r="144" spans="1:10" s="4" customFormat="1" ht="14.1" customHeight="1">
      <c r="B144" s="134"/>
      <c r="C144" s="134"/>
      <c r="D144" s="134"/>
      <c r="E144" s="134"/>
      <c r="F144" s="134"/>
      <c r="G144" s="131"/>
      <c r="H144" s="134"/>
    </row>
    <row r="145" spans="1:9" s="4" customFormat="1" ht="14.1" customHeight="1">
      <c r="B145" s="134"/>
      <c r="C145" s="134"/>
      <c r="D145" s="134"/>
      <c r="E145" s="134"/>
      <c r="F145" s="134"/>
      <c r="G145" s="131"/>
      <c r="H145" s="134"/>
    </row>
    <row r="146" spans="1:9" s="4" customFormat="1" ht="14.1" customHeight="1">
      <c r="A146" s="7" t="s">
        <v>458</v>
      </c>
      <c r="B146" s="191"/>
      <c r="C146" s="191"/>
      <c r="D146" s="191"/>
      <c r="E146" s="191"/>
      <c r="F146" s="191"/>
      <c r="G146" s="131">
        <f>SUM(B146:F146)</f>
        <v>0</v>
      </c>
      <c r="H146" s="134"/>
    </row>
    <row r="147" spans="1:9" s="4" customFormat="1" ht="14.1" customHeight="1">
      <c r="B147" s="134"/>
      <c r="C147" s="134"/>
      <c r="D147" s="134"/>
      <c r="E147" s="134"/>
      <c r="F147" s="134"/>
      <c r="G147" s="131"/>
      <c r="H147" s="134"/>
    </row>
    <row r="148" spans="1:9" s="4" customFormat="1" ht="14.1" customHeight="1">
      <c r="A148" s="4" t="s">
        <v>213</v>
      </c>
      <c r="B148" s="134">
        <f>(B131+B139+B142)*1.13</f>
        <v>100000</v>
      </c>
      <c r="C148" s="134">
        <f>(C131+C139+C142)*1.13</f>
        <v>0</v>
      </c>
      <c r="D148" s="134">
        <f>(D131+D139+D142)*1.13</f>
        <v>0</v>
      </c>
      <c r="E148" s="134">
        <f>(E131+E139+E142)*1.13</f>
        <v>0</v>
      </c>
      <c r="F148" s="134">
        <f>(F131+F139+F142)*1.13</f>
        <v>0</v>
      </c>
      <c r="G148" s="131">
        <f>SUM(B148:F148)</f>
        <v>100000</v>
      </c>
      <c r="H148" s="134"/>
    </row>
    <row r="149" spans="1:9" s="4" customFormat="1" ht="14.4">
      <c r="A149" s="7" t="s">
        <v>214</v>
      </c>
      <c r="B149" s="135">
        <f>B134+B140+B143+B146</f>
        <v>79646.017699115051</v>
      </c>
      <c r="C149" s="135">
        <f t="shared" ref="C149:F149" si="33">C134+C140+C143+C146</f>
        <v>0</v>
      </c>
      <c r="D149" s="135">
        <f t="shared" si="33"/>
        <v>0</v>
      </c>
      <c r="E149" s="135">
        <f t="shared" si="33"/>
        <v>0</v>
      </c>
      <c r="F149" s="135">
        <f t="shared" si="33"/>
        <v>0</v>
      </c>
      <c r="G149" s="131">
        <f>SUM(B149:F149)</f>
        <v>79646.017699115051</v>
      </c>
      <c r="H149" s="134"/>
    </row>
    <row r="150" spans="1:9" s="4" customFormat="1" ht="14.4">
      <c r="A150" s="4" t="s">
        <v>215</v>
      </c>
      <c r="B150" s="136">
        <f>-(C90+C82)</f>
        <v>-17699.115044247792</v>
      </c>
      <c r="C150" s="136">
        <f>-(D90+D82)</f>
        <v>0</v>
      </c>
      <c r="D150" s="136">
        <f>-(E90+E82)</f>
        <v>0</v>
      </c>
      <c r="E150" s="136">
        <f>-(F90+F82)</f>
        <v>0</v>
      </c>
      <c r="F150" s="136">
        <f>-(G90+G82)</f>
        <v>0</v>
      </c>
      <c r="G150" s="131">
        <f t="shared" ref="G150:G155" si="34">SUM(B150:F150)</f>
        <v>-17699.115044247792</v>
      </c>
      <c r="H150" s="128"/>
    </row>
    <row r="151" spans="1:9" s="4" customFormat="1" ht="14.4">
      <c r="A151" s="4" t="s">
        <v>216</v>
      </c>
      <c r="B151" s="9">
        <f>C92+C84</f>
        <v>7079.6460176991168</v>
      </c>
      <c r="C151" s="9">
        <f>D92+D84</f>
        <v>0</v>
      </c>
      <c r="D151" s="9">
        <f>E92+E84</f>
        <v>0</v>
      </c>
      <c r="E151" s="9">
        <f>F92+F84</f>
        <v>0</v>
      </c>
      <c r="F151" s="9">
        <f>G92+G84</f>
        <v>0</v>
      </c>
      <c r="G151" s="131">
        <f t="shared" si="34"/>
        <v>7079.6460176991168</v>
      </c>
      <c r="H151" s="128"/>
    </row>
    <row r="152" spans="1:9" s="4" customFormat="1" ht="14.4" outlineLevel="1">
      <c r="A152" s="4" t="s">
        <v>217</v>
      </c>
      <c r="B152" s="131">
        <f>-IF(B148&gt;0,(SUM(设备借用分摊明细!$M$4:$M$13)+SUM(设备借用分摊明细!$M$17:$M$29))/Template!$B$20,0)</f>
        <v>0</v>
      </c>
      <c r="C152" s="131">
        <f>-IF(C148&gt;0,(SUM(设备借用分摊明细!$M$4:$M$13)+SUM(设备借用分摊明细!$M$17:$M$29))/Template!$B$20,0)</f>
        <v>0</v>
      </c>
      <c r="D152" s="131">
        <f>-IF(D148&gt;0,(SUM(设备借用分摊明细!$M$4:$M$13)+SUM(设备借用分摊明细!$M$17:$M$29))/Template!$B$20,0)</f>
        <v>0</v>
      </c>
      <c r="E152" s="131">
        <f>-IF(E148&gt;0,(SUM(设备借用分摊明细!$M$4:$M$13)+SUM(设备借用分摊明细!$M$17:$M$29))/Template!$B$20,0)</f>
        <v>0</v>
      </c>
      <c r="F152" s="131">
        <f>-IF(F148&gt;0,(SUM(设备借用分摊明细!$M$4:$M$13)+SUM(设备借用分摊明细!$M$17:$M$29))/Template!$B$20,0)</f>
        <v>0</v>
      </c>
      <c r="G152" s="131">
        <f t="shared" si="34"/>
        <v>0</v>
      </c>
      <c r="H152" s="271" t="s">
        <v>508</v>
      </c>
      <c r="I152" s="125"/>
    </row>
    <row r="153" spans="1:9" s="4" customFormat="1" ht="15">
      <c r="A153" s="4" t="s">
        <v>218</v>
      </c>
      <c r="B153" s="275">
        <f>-B143*$D$39*$B$126-B143*$D$44*$C$126-B143*$D$49*$D$126-B143*$D$54*$E$126-B135*($B$39+$B$44)*VLOOKUP($A$135,'MM&amp;MSO项目信息'!$B:$H,7,0)-B135*($B$49+$B$54)*VLOOKUP($A$135,'MM&amp;MSO项目信息'!$B:$I,8,0)-B136*($B$39+$B$44)*VLOOKUP($A$136,'MM&amp;MSO项目信息'!$B:$H,7,0)-B136*($B$49+$B$54)*VLOOKUP($A$136,'MM&amp;MSO项目信息'!$B:$I,8,0)-B140*IFERROR(VLOOKUP($D$25,'MM&amp;MSO项目信息'!$B:$K,10,0),0)-B142*IFERROR(VLOOKUP($D$25,'MM&amp;MSO项目信息'!$B:$L,11,0),0)-B132*INDEX('MM&amp;MSO项目信息'!$M:$M,MATCH(Template!$D$25&amp;Template!$A$132,'MM&amp;MSO项目信息'!$S:$S,0))-B133*INDEX('MM&amp;MSO项目信息'!$M:$M,MATCH(Template!$D$25&amp;Template!$A$133,'MM&amp;MSO项目信息'!$S:$S,0))</f>
        <v>-10619.469026548673</v>
      </c>
      <c r="C153" s="275">
        <f>-C143*$D$39*$B$126-C143*$D$44*$C$126-C143*$D$49*$D$126-C143*$D$54*$E$126-C135*($B$39+$B$44)*VLOOKUP($A$135,'MM&amp;MSO项目信息'!$B:$H,7,0)-C135*($B$49+$B$54)*VLOOKUP($A$135,'MM&amp;MSO项目信息'!$B:$I,8,0)-C136*($B$39+$B$44)*VLOOKUP($A$136,'MM&amp;MSO项目信息'!$B:$H,7,0)-C136*($B$49+$B$54)*VLOOKUP($A$136,'MM&amp;MSO项目信息'!$B:$I,8,0)-C140*IFERROR(VLOOKUP($D$25,'MM&amp;MSO项目信息'!$B:$K,10,0),0)-C142*IFERROR(VLOOKUP($D$25,'MM&amp;MSO项目信息'!$B:$L,11,0),0)-C132*INDEX('MM&amp;MSO项目信息'!$M:$M,MATCH(Template!$D$25&amp;Template!$A$132,'MM&amp;MSO项目信息'!$S:$S,0))-C133*INDEX('MM&amp;MSO项目信息'!$M:$M,MATCH(Template!$D$25&amp;Template!$A$133,'MM&amp;MSO项目信息'!$S:$S,0))</f>
        <v>0</v>
      </c>
      <c r="D153" s="275">
        <f>-D143*$D$39*$B$126-D143*$D$44*$C$126-D143*$D$49*$D$126-D143*$D$54*$E$126-D135*($B$39+$B$44)*VLOOKUP($A$135,'MM&amp;MSO项目信息'!$B:$H,7,0)-D135*($B$49+$B$54)*VLOOKUP($A$135,'MM&amp;MSO项目信息'!$B:$I,8,0)-D136*($B$39+$B$44)*VLOOKUP($A$136,'MM&amp;MSO项目信息'!$B:$H,7,0)-D136*($B$49+$B$54)*VLOOKUP($A$136,'MM&amp;MSO项目信息'!$B:$I,8,0)-D140*IFERROR(VLOOKUP($D$25,'MM&amp;MSO项目信息'!$B:$K,10,0),0)-D142*IFERROR(VLOOKUP($D$25,'MM&amp;MSO项目信息'!$B:$L,11,0),0)-D132*INDEX('MM&amp;MSO项目信息'!$M:$M,MATCH(Template!$D$25&amp;Template!$A$132,'MM&amp;MSO项目信息'!$S:$S,0))-D133*INDEX('MM&amp;MSO项目信息'!$M:$M,MATCH(Template!$D$25&amp;Template!$A$133,'MM&amp;MSO项目信息'!$S:$S,0))</f>
        <v>0</v>
      </c>
      <c r="E153" s="275">
        <f>-E143*$D$39*$B$126-E143*$D$44*$C$126-E143*$D$49*$D$126-E143*$D$54*$E$126-E135*($B$39+$B$44)*VLOOKUP($A$135,'MM&amp;MSO项目信息'!$B:$H,7,0)-E135*($B$49+$B$54)*VLOOKUP($A$135,'MM&amp;MSO项目信息'!$B:$I,8,0)-E136*($B$39+$B$44)*VLOOKUP($A$136,'MM&amp;MSO项目信息'!$B:$H,7,0)-E136*($B$49+$B$54)*VLOOKUP($A$136,'MM&amp;MSO项目信息'!$B:$I,8,0)-E140*IFERROR(VLOOKUP($D$25,'MM&amp;MSO项目信息'!$B:$K,10,0),0)-E142*IFERROR(VLOOKUP($D$25,'MM&amp;MSO项目信息'!$B:$L,11,0),0)-E132*INDEX('MM&amp;MSO项目信息'!$M:$M,MATCH(Template!$D$25&amp;Template!$A$132,'MM&amp;MSO项目信息'!$S:$S,0))-E133*INDEX('MM&amp;MSO项目信息'!$M:$M,MATCH(Template!$D$25&amp;Template!$A$133,'MM&amp;MSO项目信息'!$S:$S,0))</f>
        <v>0</v>
      </c>
      <c r="F153" s="275">
        <f>-F143*$D$39*$B$126-F143*$D$44*$C$126-F143*$D$49*$D$126-F143*$D$54*$E$126-F135*($B$39+$B$44)*VLOOKUP($A$135,'MM&amp;MSO项目信息'!$B:$H,7,0)-F135*($B$49+$B$54)*VLOOKUP($A$135,'MM&amp;MSO项目信息'!$B:$I,8,0)-F136*($B$39+$B$44)*VLOOKUP($A$136,'MM&amp;MSO项目信息'!$B:$H,7,0)-F136*($B$49+$B$54)*VLOOKUP($A$136,'MM&amp;MSO项目信息'!$B:$I,8,0)-F140*IFERROR(VLOOKUP($D$25,'MM&amp;MSO项目信息'!$B:$K,10,0),0)-F142*IFERROR(VLOOKUP($D$25,'MM&amp;MSO项目信息'!$B:$L,11,0),0)-F132*INDEX('MM&amp;MSO项目信息'!$M:$M,MATCH(Template!$D$25&amp;Template!$A$132,'MM&amp;MSO项目信息'!$S:$S,0))-F133*INDEX('MM&amp;MSO项目信息'!$M:$M,MATCH(Template!$D$25&amp;Template!$A$133,'MM&amp;MSO项目信息'!$S:$S,0))</f>
        <v>0</v>
      </c>
      <c r="G153" s="131">
        <f t="shared" si="34"/>
        <v>-10619.469026548673</v>
      </c>
      <c r="H153" s="272" t="s">
        <v>572</v>
      </c>
    </row>
    <row r="154" spans="1:9" s="4" customFormat="1" ht="14.4">
      <c r="A154" s="4" t="s">
        <v>219</v>
      </c>
      <c r="B154" s="313"/>
      <c r="C154" s="313"/>
      <c r="D154" s="313"/>
      <c r="E154" s="314"/>
      <c r="F154" s="314"/>
      <c r="G154" s="131">
        <f t="shared" si="34"/>
        <v>0</v>
      </c>
      <c r="H154" s="137"/>
      <c r="I154" s="125"/>
    </row>
    <row r="155" spans="1:9" s="4" customFormat="1" ht="14.4">
      <c r="A155" s="7" t="s">
        <v>214</v>
      </c>
      <c r="B155" s="138">
        <f>SUM(B149:B154)</f>
        <v>58407.079646017693</v>
      </c>
      <c r="C155" s="138">
        <f t="shared" ref="C155:D155" si="35">SUM(C149:C154)</f>
        <v>0</v>
      </c>
      <c r="D155" s="138">
        <f t="shared" si="35"/>
        <v>0</v>
      </c>
      <c r="E155" s="138">
        <f>SUM(E149:E154)</f>
        <v>0</v>
      </c>
      <c r="F155" s="138">
        <f>SUM(F149:F154)</f>
        <v>0</v>
      </c>
      <c r="G155" s="133">
        <f t="shared" si="34"/>
        <v>58407.079646017693</v>
      </c>
      <c r="H155" s="134"/>
    </row>
    <row r="156" spans="1:9" s="4" customFormat="1" ht="14.4">
      <c r="B156" s="128"/>
      <c r="C156" s="128"/>
      <c r="D156" s="128"/>
      <c r="G156" s="131"/>
    </row>
    <row r="157" spans="1:9" s="7" customFormat="1" ht="15">
      <c r="A157" s="4" t="s">
        <v>220</v>
      </c>
      <c r="B157" s="131">
        <f>B135*(1-VLOOKUP($A$135,'MM&amp;MSO项目信息'!$B:$R,17,0))+Template!B136*(1-VLOOKUP(Template!$A$136,'MM&amp;MSO项目信息'!$B:$R,17,0))</f>
        <v>6281.5453033097347</v>
      </c>
      <c r="C157" s="131">
        <f>C134*(1-$B$90)</f>
        <v>0</v>
      </c>
      <c r="D157" s="131">
        <f>D134*(1-$B$90)</f>
        <v>0</v>
      </c>
      <c r="E157" s="131">
        <f>E134*(1-$B$90)</f>
        <v>0</v>
      </c>
      <c r="F157" s="131">
        <f>F134*(1-$B$90)</f>
        <v>0</v>
      </c>
      <c r="G157" s="131">
        <f>SUM(B157:F157)</f>
        <v>6281.5453033097347</v>
      </c>
      <c r="H157" s="273" t="s">
        <v>536</v>
      </c>
      <c r="I157" s="139"/>
    </row>
    <row r="158" spans="1:9" s="4" customFormat="1" ht="15">
      <c r="A158" s="4" t="s">
        <v>221</v>
      </c>
      <c r="B158" s="9">
        <f>B140*(1-IFERROR(VLOOKUP($D$25,'MM&amp;MSO项目信息'!$B:$R,18,0),0))</f>
        <v>17699.115044247788</v>
      </c>
      <c r="C158" s="9">
        <f>C140*(1-$B$91)</f>
        <v>0</v>
      </c>
      <c r="D158" s="9">
        <f>D140*(1-$B$91)</f>
        <v>0</v>
      </c>
      <c r="E158" s="9">
        <f>E140*(1-$B$91)</f>
        <v>0</v>
      </c>
      <c r="F158" s="9">
        <f>F140*(1-$B$91)</f>
        <v>0</v>
      </c>
      <c r="G158" s="131">
        <f t="shared" ref="G158:G161" si="36">SUM(B158:F158)</f>
        <v>17699.115044247788</v>
      </c>
      <c r="H158" s="273" t="s">
        <v>537</v>
      </c>
    </row>
    <row r="159" spans="1:9" s="4" customFormat="1" ht="14.4">
      <c r="A159" s="4" t="s">
        <v>222</v>
      </c>
      <c r="B159" s="9">
        <f>B143*(1-IFERROR(VLOOKUP(A159,'MM&amp;MSO项目信息'!B:R,18,0),0))</f>
        <v>44247.787610619474</v>
      </c>
      <c r="C159" s="9">
        <f>C143*(1-$B$92)</f>
        <v>0</v>
      </c>
      <c r="D159" s="9">
        <f>D143*(1-$B$92)</f>
        <v>0</v>
      </c>
      <c r="E159" s="9">
        <f>E143*(1-$B$92)</f>
        <v>0</v>
      </c>
      <c r="F159" s="9">
        <f>F143*(1-$B$92)</f>
        <v>0</v>
      </c>
      <c r="G159" s="131">
        <f t="shared" si="36"/>
        <v>44247.787610619474</v>
      </c>
      <c r="H159" s="131"/>
    </row>
    <row r="160" spans="1:9" s="4" customFormat="1" ht="15">
      <c r="A160" s="4" t="s">
        <v>223</v>
      </c>
      <c r="B160" s="275">
        <f>B135*VLOOKUP($A$135,'MM&amp;MSO项目信息'!$B:$E,4,0)/VLOOKUP($A$135,'MM&amp;MSO项目信息'!$B:$Q,16,0)+B136*VLOOKUP($A$136,'MM&amp;MSO项目信息'!$B:$E,4,0)/VLOOKUP($A$136,'MM&amp;MSO项目信息'!$B:$Q,16,0)+B132*VLOOKUP($A$132,'MM&amp;MSO项目信息'!$B:$F,5,0)+B133*VLOOKUP($A$133,'MM&amp;MSO项目信息'!$B:$F,5,0)+B140*VLOOKUP($D$25,'MM&amp;MSO项目信息'!$B:$E,4,0)/VLOOKUP($D$25,'MM&amp;MSO项目信息'!$B:$Q,16,0)</f>
        <v>5927.536532248374</v>
      </c>
      <c r="C160" s="275">
        <f>C135*VLOOKUP($A$135,'MM&amp;MSO项目信息'!$B:$E,4,0)/VLOOKUP($A$135,'MM&amp;MSO项目信息'!$B:$Q,16,0)+C136*VLOOKUP($A$136,'MM&amp;MSO项目信息'!$B:$E,4,0)/VLOOKUP($A$136,'MM&amp;MSO项目信息'!$B:$Q,16,0)+C132*VLOOKUP($A$132,'MM&amp;MSO项目信息'!$B:$F,5,0)+C133*VLOOKUP($A$133,'MM&amp;MSO项目信息'!$B:$F,5,0)+C140*VLOOKUP($D$25,'MM&amp;MSO项目信息'!$B:$E,4,0)/VLOOKUP($D$25,'MM&amp;MSO项目信息'!$B:$Q,16,0)</f>
        <v>0</v>
      </c>
      <c r="D160" s="275">
        <f>D135*VLOOKUP($A$135,'MM&amp;MSO项目信息'!$B:$E,4,0)/VLOOKUP($A$135,'MM&amp;MSO项目信息'!$B:$Q,16,0)+D136*VLOOKUP($A$136,'MM&amp;MSO项目信息'!$B:$E,4,0)/VLOOKUP($A$136,'MM&amp;MSO项目信息'!$B:$Q,16,0)+D132*VLOOKUP($A$132,'MM&amp;MSO项目信息'!$B:$F,5,0)+D133*VLOOKUP($A$133,'MM&amp;MSO项目信息'!$B:$F,5,0)+D140*VLOOKUP($D$25,'MM&amp;MSO项目信息'!$B:$E,4,0)/VLOOKUP($D$25,'MM&amp;MSO项目信息'!$B:$Q,16,0)</f>
        <v>0</v>
      </c>
      <c r="E160" s="275">
        <f>E135*VLOOKUP($A$135,'MM&amp;MSO项目信息'!$B:$E,4,0)/VLOOKUP($A$135,'MM&amp;MSO项目信息'!$B:$Q,16,0)+E136*VLOOKUP($A$136,'MM&amp;MSO项目信息'!$B:$E,4,0)/VLOOKUP($A$136,'MM&amp;MSO项目信息'!$B:$Q,16,0)+E132*VLOOKUP($A$132,'MM&amp;MSO项目信息'!$B:$F,5,0)+E133*VLOOKUP($A$133,'MM&amp;MSO项目信息'!$B:$F,5,0)+E140*VLOOKUP($D$25,'MM&amp;MSO项目信息'!$B:$E,4,0)/VLOOKUP($D$25,'MM&amp;MSO项目信息'!$B:$Q,16,0)</f>
        <v>0</v>
      </c>
      <c r="F160" s="275">
        <f>F135*VLOOKUP($A$135,'MM&amp;MSO项目信息'!$B:$E,4,0)/VLOOKUP($A$135,'MM&amp;MSO项目信息'!$B:$Q,16,0)+F136*VLOOKUP($A$136,'MM&amp;MSO项目信息'!$B:$E,4,0)/VLOOKUP($A$136,'MM&amp;MSO项目信息'!$B:$Q,16,0)+F132*VLOOKUP($A$132,'MM&amp;MSO项目信息'!$B:$F,5,0)+F133*VLOOKUP($A$133,'MM&amp;MSO项目信息'!$B:$F,5,0)+F140*VLOOKUP($D$25,'MM&amp;MSO项目信息'!$B:$E,4,0)/VLOOKUP($D$25,'MM&amp;MSO项目信息'!$B:$Q,16,0)</f>
        <v>0</v>
      </c>
      <c r="G160" s="144">
        <f t="shared" si="36"/>
        <v>5927.536532248374</v>
      </c>
      <c r="H160" s="274" t="s">
        <v>573</v>
      </c>
    </row>
    <row r="161" spans="1:9" s="4" customFormat="1" ht="14.4">
      <c r="A161" s="7" t="s">
        <v>459</v>
      </c>
      <c r="B161" s="192"/>
      <c r="C161" s="192"/>
      <c r="D161" s="192"/>
      <c r="E161" s="192"/>
      <c r="F161" s="192"/>
      <c r="G161" s="140">
        <f t="shared" si="36"/>
        <v>0</v>
      </c>
      <c r="H161" s="63"/>
    </row>
    <row r="162" spans="1:9" s="4" customFormat="1" ht="14.4">
      <c r="A162" s="141" t="s">
        <v>224</v>
      </c>
      <c r="B162" s="142">
        <f>B155-SUM(B157:B161)</f>
        <v>-15748.904844407676</v>
      </c>
      <c r="C162" s="142">
        <f t="shared" ref="C162:F162" si="37">C155-SUM(C157:C161)</f>
        <v>0</v>
      </c>
      <c r="D162" s="142">
        <f t="shared" si="37"/>
        <v>0</v>
      </c>
      <c r="E162" s="142">
        <f t="shared" si="37"/>
        <v>0</v>
      </c>
      <c r="F162" s="142">
        <f t="shared" si="37"/>
        <v>0</v>
      </c>
      <c r="G162" s="131">
        <f>SUM(B162:F162)</f>
        <v>-15748.904844407676</v>
      </c>
      <c r="H162" s="142"/>
    </row>
    <row r="163" spans="1:9" s="4" customFormat="1" ht="14.4">
      <c r="A163" s="7" t="s">
        <v>225</v>
      </c>
      <c r="B163" s="143">
        <f t="shared" ref="B163:G163" si="38">IF(B155&gt;0,B162/B155,0)</f>
        <v>-0.26964034051788904</v>
      </c>
      <c r="C163" s="143">
        <f t="shared" si="38"/>
        <v>0</v>
      </c>
      <c r="D163" s="143">
        <f t="shared" si="38"/>
        <v>0</v>
      </c>
      <c r="E163" s="143">
        <f t="shared" si="38"/>
        <v>0</v>
      </c>
      <c r="F163" s="143">
        <f t="shared" si="38"/>
        <v>0</v>
      </c>
      <c r="G163" s="143">
        <f t="shared" si="38"/>
        <v>-0.26964034051788904</v>
      </c>
      <c r="H163" s="143"/>
    </row>
    <row r="164" spans="1:9" s="4" customFormat="1" ht="14.4">
      <c r="B164" s="128"/>
      <c r="C164" s="128"/>
      <c r="D164" s="128"/>
    </row>
    <row r="165" spans="1:9" s="4" customFormat="1" ht="15">
      <c r="A165" s="4" t="s">
        <v>226</v>
      </c>
      <c r="B165" s="128">
        <f>IF(C75&gt;0,SUM(设备借用分摊明细!L:L)+SUM(设备借用分摊明细!N:N)*0.13+SUM(免费物料申请表!G:G)*(1-Template!$B$123)+SUM(免费物料申请表!G:G)*0.13,0)</f>
        <v>22675.6997348</v>
      </c>
      <c r="C165" s="128"/>
      <c r="D165" s="128"/>
      <c r="E165" s="128"/>
      <c r="F165" s="128"/>
      <c r="G165" s="144">
        <f t="shared" ref="G165:G170" si="39">SUM(B165:F165)</f>
        <v>22675.6997348</v>
      </c>
      <c r="H165" s="277" t="s">
        <v>574</v>
      </c>
    </row>
    <row r="166" spans="1:9" s="4" customFormat="1" ht="14.4">
      <c r="A166" s="4" t="s">
        <v>227</v>
      </c>
      <c r="B166" s="131">
        <f>Template!B135*VLOOKUP(Template!$A$135,'MM&amp;MSO项目信息'!$B:$N,13,0)+Template!B136*VLOOKUP(Template!$A$136,'MM&amp;MSO项目信息'!$B:$N,13,0)</f>
        <v>0</v>
      </c>
      <c r="C166" s="131">
        <f>Template!C135*VLOOKUP(Template!$A$135,'MM&amp;MSO项目信息'!$B:$N,13,0)+Template!C136*VLOOKUP(Template!$A$136,'MM&amp;MSO项目信息'!$B:$N,13,0)</f>
        <v>0</v>
      </c>
      <c r="D166" s="131">
        <f>Template!D135*VLOOKUP(Template!$A$135,'MM&amp;MSO项目信息'!$B:$N,13,0)+Template!D136*VLOOKUP(Template!$A$136,'MM&amp;MSO项目信息'!$B:$N,13,0)</f>
        <v>0</v>
      </c>
      <c r="E166" s="131">
        <f>Template!E135*VLOOKUP(Template!$A$135,'MM&amp;MSO项目信息'!$B:$N,13,0)+Template!E136*VLOOKUP(Template!$A$136,'MM&amp;MSO项目信息'!$B:$N,13,0)</f>
        <v>0</v>
      </c>
      <c r="F166" s="131">
        <f>Template!F135*VLOOKUP(Template!$A$135,'MM&amp;MSO项目信息'!$B:$N,13,0)+Template!F136*VLOOKUP(Template!$A$136,'MM&amp;MSO项目信息'!$B:$N,13,0)</f>
        <v>0</v>
      </c>
      <c r="G166" s="144">
        <f t="shared" si="39"/>
        <v>0</v>
      </c>
      <c r="H166" s="279" t="s">
        <v>575</v>
      </c>
    </row>
    <row r="167" spans="1:9" s="4" customFormat="1" ht="14.4">
      <c r="A167" s="4" t="s">
        <v>228</v>
      </c>
      <c r="B167" s="280">
        <f>Template!B139*VLOOKUP($D$25,'MM&amp;MSO项目信息'!$B:$F,5,0)+Template!B135*VLOOKUP(Template!$A$135,'MM&amp;MSO项目信息'!$B:$N,13,0)+Template!B136*VLOOKUP(Template!$A$136,'MM&amp;MSO项目信息'!$B:$N,13,0)+Template!B140*VLOOKUP($D$25,'MM&amp;MSO项目信息'!$B:$N,13,0)+Template!B142*VLOOKUP($D$25,'MM&amp;MSO项目信息'!$B:$O,14,0)+Template!B132*INDEX('MM&amp;MSO项目信息'!$P:$P,MATCH(Template!$D$25&amp;Template!$A$132,'MM&amp;MSO项目信息'!$S:$S,0))+Template!B133*INDEX('MM&amp;MSO项目信息'!$P:$P,MATCH(Template!$D$25&amp;Template!$A$133,'MM&amp;MSO项目信息'!$S:$S,0))</f>
        <v>9823.0088495575237</v>
      </c>
      <c r="C167" s="280">
        <f>Template!C139*VLOOKUP($D$25,'MM&amp;MSO项目信息'!$B:$F,5,0)+Template!C135*VLOOKUP(Template!$A$135,'MM&amp;MSO项目信息'!$B:$N,13,0)+Template!C136*VLOOKUP(Template!$A$136,'MM&amp;MSO项目信息'!$B:$N,13,0)+Template!C140*VLOOKUP($D$25,'MM&amp;MSO项目信息'!$B:$N,13,0)+Template!C142*VLOOKUP($D$25,'MM&amp;MSO项目信息'!$B:$O,14,0)+Template!C132*INDEX('MM&amp;MSO项目信息'!$P:$P,MATCH(Template!$D$25&amp;Template!$A$132,'MM&amp;MSO项目信息'!$S:$S,0))+Template!C133*INDEX('MM&amp;MSO项目信息'!$P:$P,MATCH(Template!$D$25&amp;Template!$A$133,'MM&amp;MSO项目信息'!$S:$S,0))</f>
        <v>0</v>
      </c>
      <c r="D167" s="280">
        <f>Template!D139*VLOOKUP($D$25,'MM&amp;MSO项目信息'!$B:$F,5,0)+Template!D135*VLOOKUP(Template!$A$135,'MM&amp;MSO项目信息'!$B:$N,13,0)+Template!D136*VLOOKUP(Template!$A$136,'MM&amp;MSO项目信息'!$B:$N,13,0)+Template!D140*VLOOKUP($D$25,'MM&amp;MSO项目信息'!$B:$N,13,0)+Template!D142*VLOOKUP($D$25,'MM&amp;MSO项目信息'!$B:$O,14,0)+Template!D132*INDEX('MM&amp;MSO项目信息'!$P:$P,MATCH(Template!$D$25&amp;Template!$A$132,'MM&amp;MSO项目信息'!$S:$S,0))+Template!D133*INDEX('MM&amp;MSO项目信息'!$P:$P,MATCH(Template!$D$25&amp;Template!$A$133,'MM&amp;MSO项目信息'!$S:$S,0))</f>
        <v>0</v>
      </c>
      <c r="E167" s="280">
        <f>Template!E139*VLOOKUP($D$25,'MM&amp;MSO项目信息'!$B:$F,5,0)+Template!E135*VLOOKUP(Template!$A$135,'MM&amp;MSO项目信息'!$B:$N,13,0)+Template!E136*VLOOKUP(Template!$A$136,'MM&amp;MSO项目信息'!$B:$N,13,0)+Template!E140*VLOOKUP($D$25,'MM&amp;MSO项目信息'!$B:$N,13,0)+Template!E142*VLOOKUP($D$25,'MM&amp;MSO项目信息'!$B:$O,14,0)+Template!E132*INDEX('MM&amp;MSO项目信息'!$P:$P,MATCH(Template!$D$25&amp;Template!$A$132,'MM&amp;MSO项目信息'!$S:$S,0))+Template!E133*INDEX('MM&amp;MSO项目信息'!$P:$P,MATCH(Template!$D$25&amp;Template!$A$133,'MM&amp;MSO项目信息'!$S:$S,0))</f>
        <v>0</v>
      </c>
      <c r="F167" s="280">
        <f>Template!F139*VLOOKUP($D$25,'MM&amp;MSO项目信息'!$B:$F,5,0)+Template!F135*VLOOKUP(Template!$A$135,'MM&amp;MSO项目信息'!$B:$N,13,0)+Template!F136*VLOOKUP(Template!$A$136,'MM&amp;MSO项目信息'!$B:$N,13,0)+Template!F140*VLOOKUP($D$25,'MM&amp;MSO项目信息'!$B:$N,13,0)+Template!F142*VLOOKUP($D$25,'MM&amp;MSO项目信息'!$B:$O,14,0)+Template!F132*INDEX('MM&amp;MSO项目信息'!$P:$P,MATCH(Template!$D$25&amp;Template!$A$132,'MM&amp;MSO项目信息'!$S:$S,0))+Template!F133*INDEX('MM&amp;MSO项目信息'!$P:$P,MATCH(Template!$D$25&amp;Template!$A$133,'MM&amp;MSO项目信息'!$S:$S,0))</f>
        <v>0</v>
      </c>
      <c r="G167" s="144">
        <f t="shared" si="39"/>
        <v>9823.0088495575237</v>
      </c>
      <c r="H167" s="279" t="s">
        <v>576</v>
      </c>
    </row>
    <row r="168" spans="1:9" s="4" customFormat="1" ht="14.4">
      <c r="A168" s="4" t="s">
        <v>229</v>
      </c>
      <c r="B168" s="131">
        <f>B155*$B$217</f>
        <v>9637.1681415929197</v>
      </c>
      <c r="C168" s="131">
        <f>C155*$B$217</f>
        <v>0</v>
      </c>
      <c r="D168" s="131">
        <f>D155*$B$217</f>
        <v>0</v>
      </c>
      <c r="E168" s="131">
        <f>E155*$B$217</f>
        <v>0</v>
      </c>
      <c r="F168" s="131">
        <f>F155*$B$217</f>
        <v>0</v>
      </c>
      <c r="G168" s="140">
        <f t="shared" si="39"/>
        <v>9637.1681415929197</v>
      </c>
    </row>
    <row r="169" spans="1:9" s="4" customFormat="1" ht="14.4">
      <c r="A169" s="7" t="s">
        <v>546</v>
      </c>
      <c r="B169" s="193"/>
      <c r="C169" s="193"/>
      <c r="D169" s="193"/>
      <c r="E169" s="193"/>
      <c r="F169" s="193"/>
      <c r="G169" s="131">
        <f t="shared" si="39"/>
        <v>0</v>
      </c>
    </row>
    <row r="170" spans="1:9" s="4" customFormat="1" ht="14.4">
      <c r="A170" s="141" t="s">
        <v>230</v>
      </c>
      <c r="B170" s="142">
        <f>SUM(B165:B169)</f>
        <v>42135.876725950446</v>
      </c>
      <c r="C170" s="142">
        <f t="shared" ref="C170:F170" si="40">SUM(C165:C169)</f>
        <v>0</v>
      </c>
      <c r="D170" s="142">
        <f t="shared" si="40"/>
        <v>0</v>
      </c>
      <c r="E170" s="142">
        <f t="shared" si="40"/>
        <v>0</v>
      </c>
      <c r="F170" s="142">
        <f t="shared" si="40"/>
        <v>0</v>
      </c>
      <c r="G170" s="131">
        <f t="shared" si="39"/>
        <v>42135.876725950446</v>
      </c>
      <c r="H170" s="142"/>
    </row>
    <row r="171" spans="1:9" s="4" customFormat="1" ht="14.4">
      <c r="I171" s="125"/>
    </row>
    <row r="172" spans="1:9" s="4" customFormat="1" ht="14.4">
      <c r="A172" s="4" t="s">
        <v>231</v>
      </c>
      <c r="B172" s="144">
        <f>B155*$B$218</f>
        <v>1460.1769911504425</v>
      </c>
      <c r="C172" s="144">
        <f>C155*$B$218</f>
        <v>0</v>
      </c>
      <c r="D172" s="144">
        <f>D155*$B$218</f>
        <v>0</v>
      </c>
      <c r="E172" s="144">
        <f>E155*$B$218</f>
        <v>0</v>
      </c>
      <c r="F172" s="144">
        <f>F155*$B$218</f>
        <v>0</v>
      </c>
      <c r="G172" s="131">
        <f>SUM(B172:F172)</f>
        <v>1460.1769911504425</v>
      </c>
    </row>
    <row r="173" spans="1:9" s="4" customFormat="1" ht="14.4">
      <c r="A173" s="7" t="s">
        <v>553</v>
      </c>
      <c r="B173" s="193"/>
      <c r="C173" s="193"/>
      <c r="D173" s="193"/>
      <c r="E173" s="193"/>
      <c r="F173" s="193"/>
    </row>
    <row r="174" spans="1:9" s="4" customFormat="1" ht="14.4">
      <c r="A174" s="4" t="s">
        <v>232</v>
      </c>
      <c r="B174" s="128">
        <f>B162-B170-B172</f>
        <v>-59344.958561508567</v>
      </c>
      <c r="C174" s="128">
        <f t="shared" ref="C174:F174" si="41">C162-C170-C172</f>
        <v>0</v>
      </c>
      <c r="D174" s="128">
        <f t="shared" si="41"/>
        <v>0</v>
      </c>
      <c r="E174" s="128">
        <f t="shared" si="41"/>
        <v>0</v>
      </c>
      <c r="F174" s="128">
        <f t="shared" si="41"/>
        <v>0</v>
      </c>
      <c r="G174" s="131">
        <f>SUM(B174:F174)</f>
        <v>-59344.958561508567</v>
      </c>
      <c r="H174" s="128"/>
    </row>
    <row r="175" spans="1:9" s="4" customFormat="1" ht="14.4">
      <c r="A175" s="145" t="s">
        <v>233</v>
      </c>
      <c r="B175" s="146">
        <f t="shared" ref="B175:G175" si="42">IF(B155&gt;0,B174/B155,0)</f>
        <v>-1.0160576238561316</v>
      </c>
      <c r="C175" s="146">
        <f t="shared" si="42"/>
        <v>0</v>
      </c>
      <c r="D175" s="146">
        <f t="shared" si="42"/>
        <v>0</v>
      </c>
      <c r="E175" s="146">
        <f t="shared" si="42"/>
        <v>0</v>
      </c>
      <c r="F175" s="146">
        <f t="shared" si="42"/>
        <v>0</v>
      </c>
      <c r="G175" s="146">
        <f t="shared" si="42"/>
        <v>-1.0160576238561316</v>
      </c>
      <c r="H175" s="146"/>
    </row>
    <row r="176" spans="1:9" s="4" customFormat="1" ht="14.4">
      <c r="B176" s="128"/>
      <c r="C176" s="128"/>
      <c r="D176" s="128"/>
    </row>
    <row r="177" spans="1:8" s="4" customFormat="1" ht="14.4"/>
    <row r="178" spans="1:8" s="4" customFormat="1" ht="14.4">
      <c r="A178" s="7" t="s">
        <v>234</v>
      </c>
    </row>
    <row r="179" spans="1:8" s="4" customFormat="1" ht="14.4">
      <c r="A179" s="4" t="s">
        <v>232</v>
      </c>
      <c r="B179" s="128">
        <f>B174</f>
        <v>-59344.958561508567</v>
      </c>
      <c r="C179" s="128">
        <f t="shared" ref="C179:G179" si="43">C174</f>
        <v>0</v>
      </c>
      <c r="D179" s="128">
        <f t="shared" si="43"/>
        <v>0</v>
      </c>
      <c r="E179" s="128">
        <f t="shared" si="43"/>
        <v>0</v>
      </c>
      <c r="F179" s="128">
        <f t="shared" si="43"/>
        <v>0</v>
      </c>
      <c r="G179" s="128">
        <f t="shared" si="43"/>
        <v>-59344.958561508567</v>
      </c>
      <c r="H179" s="128"/>
    </row>
    <row r="180" spans="1:8" s="4" customFormat="1" ht="14.4">
      <c r="A180" s="4" t="s">
        <v>235</v>
      </c>
      <c r="B180" s="144">
        <f>-B179*25%</f>
        <v>14836.239640377142</v>
      </c>
      <c r="C180" s="144">
        <f t="shared" ref="C180:G180" si="44">-C179*25%</f>
        <v>0</v>
      </c>
      <c r="D180" s="144">
        <f t="shared" si="44"/>
        <v>0</v>
      </c>
      <c r="E180" s="144">
        <f t="shared" si="44"/>
        <v>0</v>
      </c>
      <c r="F180" s="144">
        <f t="shared" si="44"/>
        <v>0</v>
      </c>
      <c r="G180" s="144">
        <f t="shared" si="44"/>
        <v>14836.239640377142</v>
      </c>
      <c r="H180" s="144"/>
    </row>
    <row r="181" spans="1:8" s="4" customFormat="1" ht="14.4">
      <c r="A181" s="4" t="s">
        <v>236</v>
      </c>
      <c r="B181" s="128">
        <f>-(B150+B151+B152)</f>
        <v>10619.469026548675</v>
      </c>
      <c r="C181" s="128">
        <f>-(C150+C151+C152)</f>
        <v>0</v>
      </c>
      <c r="D181" s="128">
        <f>-(D150+D151+D152)</f>
        <v>0</v>
      </c>
      <c r="E181" s="128">
        <f>-(E150+E151+E152)</f>
        <v>0</v>
      </c>
      <c r="F181" s="128">
        <f>-(F150+F151+F152)</f>
        <v>0</v>
      </c>
      <c r="G181" s="128">
        <f>SUM(B181:F181)</f>
        <v>10619.469026548675</v>
      </c>
      <c r="H181" s="128"/>
    </row>
    <row r="182" spans="1:8" s="4" customFormat="1" ht="14.4">
      <c r="A182" s="4" t="s">
        <v>237</v>
      </c>
      <c r="B182" s="128">
        <f>-C75+B150+B151</f>
        <v>-53141.008086548674</v>
      </c>
      <c r="C182" s="128">
        <f>-D72+C150+C151</f>
        <v>0</v>
      </c>
      <c r="D182" s="128">
        <f>-E72+D150+D151</f>
        <v>0</v>
      </c>
      <c r="E182" s="128">
        <f>-F72+E150+E151</f>
        <v>0</v>
      </c>
      <c r="F182" s="128">
        <f>-G72+F150+F151</f>
        <v>0</v>
      </c>
      <c r="G182" s="128"/>
      <c r="H182" s="128"/>
    </row>
    <row r="183" spans="1:8" s="4" customFormat="1" ht="14.4">
      <c r="A183" s="4" t="s">
        <v>238</v>
      </c>
      <c r="B183" s="203">
        <f>-B155*$B$219</f>
        <v>-11097.345132743361</v>
      </c>
      <c r="C183" s="203">
        <f>-C155*$B$219</f>
        <v>0</v>
      </c>
      <c r="D183" s="203">
        <f>-D155*$B$219</f>
        <v>0</v>
      </c>
      <c r="E183" s="203">
        <f>-E155*$B$219</f>
        <v>0</v>
      </c>
      <c r="F183" s="203">
        <f>-F155*$B$219</f>
        <v>0</v>
      </c>
      <c r="G183" s="144"/>
    </row>
    <row r="184" spans="1:8" s="4" customFormat="1" ht="14.4">
      <c r="A184" s="4" t="s">
        <v>239</v>
      </c>
      <c r="B184" s="128">
        <f>B183</f>
        <v>-11097.345132743361</v>
      </c>
      <c r="C184" s="128">
        <f>IF(C179&gt;0,B184-C183,0)</f>
        <v>0</v>
      </c>
      <c r="D184" s="128">
        <f t="shared" ref="D184" si="45">IF(D179&gt;0,C183-D183,0)</f>
        <v>0</v>
      </c>
      <c r="E184" s="128">
        <f>IF(E179&gt;0,D183-E183,0)</f>
        <v>0</v>
      </c>
      <c r="F184" s="128">
        <f>IF(F179&gt;0,E183-F183,0)</f>
        <v>0</v>
      </c>
      <c r="G184" s="128"/>
      <c r="H184" s="128"/>
    </row>
    <row r="185" spans="1:8" s="4" customFormat="1" ht="14.4">
      <c r="A185" s="4" t="s">
        <v>240</v>
      </c>
      <c r="B185" s="138">
        <f>SUM(B179:B182,B184)</f>
        <v>-98127.603113874793</v>
      </c>
      <c r="C185" s="138">
        <f>SUM(C179:C182,C184)</f>
        <v>0</v>
      </c>
      <c r="D185" s="138">
        <f>SUM(D179:D182,D184)</f>
        <v>0</v>
      </c>
      <c r="E185" s="138">
        <f>SUM(E179:E182,E184)</f>
        <v>0</v>
      </c>
      <c r="F185" s="138">
        <f t="shared" ref="F185:G185" si="46">SUM(F179:F182,F184)</f>
        <v>0</v>
      </c>
      <c r="G185" s="138">
        <f t="shared" si="46"/>
        <v>-33889.249894582754</v>
      </c>
      <c r="H185" s="138"/>
    </row>
    <row r="186" spans="1:8" s="4" customFormat="1" ht="14.4">
      <c r="A186" s="4" t="s">
        <v>241</v>
      </c>
      <c r="B186" s="128">
        <f>B185</f>
        <v>-98127.603113874793</v>
      </c>
      <c r="C186" s="128">
        <f>IF(C179&gt;0,B186+C185,0)</f>
        <v>0</v>
      </c>
      <c r="D186" s="128">
        <f>IF(D179&gt;0,C186+D185,0)</f>
        <v>0</v>
      </c>
      <c r="E186" s="128">
        <f>IF(E179&gt;0,D186+E185,0)</f>
        <v>0</v>
      </c>
      <c r="F186" s="128">
        <f>IF(F179&gt;0,E186+F185,0)</f>
        <v>0</v>
      </c>
      <c r="G186" s="128">
        <f t="shared" ref="G186" si="47">F186+G185</f>
        <v>-33889.249894582754</v>
      </c>
      <c r="H186" s="128"/>
    </row>
    <row r="187" spans="1:8" s="4" customFormat="1" ht="14.4">
      <c r="B187" s="147"/>
      <c r="C187" s="148">
        <f t="shared" ref="C187:D187" si="48">IF(C185&gt;0,-B186/(C185/12)/12,0)</f>
        <v>0</v>
      </c>
      <c r="D187" s="148">
        <f t="shared" si="48"/>
        <v>0</v>
      </c>
      <c r="E187" s="148">
        <f>IF(E185&gt;0,-D186/(E185/12)/12,0)</f>
        <v>0</v>
      </c>
      <c r="F187" s="148">
        <f>IF(F185&gt;0,-E186/(F185/12)/12,0)</f>
        <v>0</v>
      </c>
    </row>
    <row r="188" spans="1:8" s="4" customFormat="1" ht="14.4"/>
    <row r="189" spans="1:8" s="4" customFormat="1" ht="14.4">
      <c r="A189" s="4" t="s">
        <v>577</v>
      </c>
    </row>
    <row r="190" spans="1:8" s="4" customFormat="1" ht="14.4">
      <c r="A190" s="4" t="s">
        <v>578</v>
      </c>
    </row>
    <row r="191" spans="1:8" s="4" customFormat="1" ht="15" thickBot="1"/>
    <row r="192" spans="1:8" s="4" customFormat="1" ht="14.4">
      <c r="A192" s="149" t="s">
        <v>242</v>
      </c>
      <c r="B192" s="150">
        <f>B20</f>
        <v>3</v>
      </c>
    </row>
    <row r="193" spans="1:8" s="4" customFormat="1" ht="14.4">
      <c r="A193" s="151" t="s">
        <v>243</v>
      </c>
      <c r="B193" s="152">
        <f>G155/1000000</f>
        <v>5.8407079646017691E-2</v>
      </c>
    </row>
    <row r="194" spans="1:8" s="4" customFormat="1" ht="14.4">
      <c r="A194" s="151" t="s">
        <v>244</v>
      </c>
      <c r="B194" s="62">
        <f>G163</f>
        <v>-0.26964034051788904</v>
      </c>
      <c r="F194" s="128"/>
      <c r="G194" s="128"/>
      <c r="H194" s="128"/>
    </row>
    <row r="195" spans="1:8" s="4" customFormat="1" ht="14.4">
      <c r="A195" s="151" t="s">
        <v>245</v>
      </c>
      <c r="B195" s="153">
        <f>G175</f>
        <v>-1.0160576238561316</v>
      </c>
      <c r="F195" s="128"/>
      <c r="G195" s="128"/>
      <c r="H195" s="128"/>
    </row>
    <row r="196" spans="1:8" s="4" customFormat="1" ht="15" thickBot="1">
      <c r="A196" s="154" t="s">
        <v>246</v>
      </c>
      <c r="B196" s="155">
        <f>IF(B186&gt;0,1,(IF(C186&gt;0,1+C187,2+D187)))</f>
        <v>2</v>
      </c>
      <c r="F196" s="128"/>
      <c r="G196" s="128"/>
      <c r="H196" s="128"/>
    </row>
    <row r="197" spans="1:8" s="4" customFormat="1" ht="14.4">
      <c r="A197" s="131"/>
      <c r="B197" s="137"/>
      <c r="F197" s="128"/>
      <c r="G197" s="128"/>
      <c r="H197" s="128"/>
    </row>
    <row r="198" spans="1:8" s="4" customFormat="1" ht="14.4">
      <c r="F198" s="128"/>
      <c r="G198" s="128"/>
      <c r="H198" s="128"/>
    </row>
    <row r="199" spans="1:8" s="4" customFormat="1" ht="15" thickBot="1">
      <c r="F199" s="128"/>
      <c r="G199" s="128"/>
      <c r="H199" s="128"/>
    </row>
    <row r="200" spans="1:8" s="4" customFormat="1" ht="14.4">
      <c r="A200" s="156" t="s">
        <v>86</v>
      </c>
      <c r="B200" s="157" t="str">
        <f>D25</f>
        <v>中升</v>
      </c>
      <c r="F200" s="128"/>
      <c r="G200" s="128"/>
      <c r="H200" s="128"/>
    </row>
    <row r="201" spans="1:8" s="4" customFormat="1" ht="14.4">
      <c r="A201" s="158" t="s">
        <v>85</v>
      </c>
      <c r="B201" s="159" t="str">
        <f>C25&amp;","&amp;C26</f>
        <v>SGM,SVW</v>
      </c>
      <c r="C201" s="128"/>
      <c r="D201" s="128"/>
      <c r="F201" s="128"/>
      <c r="G201" s="128"/>
      <c r="H201" s="128"/>
    </row>
    <row r="202" spans="1:8" s="4" customFormat="1" ht="14.4">
      <c r="A202" s="158" t="s">
        <v>247</v>
      </c>
      <c r="B202" s="160">
        <f>B20</f>
        <v>3</v>
      </c>
    </row>
    <row r="203" spans="1:8" s="4" customFormat="1" ht="14.4">
      <c r="A203" s="158" t="s">
        <v>248</v>
      </c>
      <c r="B203" s="161">
        <f>B193/$B$216</f>
        <v>8.2263492459179847E-3</v>
      </c>
    </row>
    <row r="204" spans="1:8" s="4" customFormat="1" ht="14.4">
      <c r="A204" s="158" t="s">
        <v>516</v>
      </c>
      <c r="B204" s="259">
        <f>IF(G149&gt;0,B97/G149,0)</f>
        <v>0.6672148793088889</v>
      </c>
    </row>
    <row r="205" spans="1:8" s="4" customFormat="1" ht="14.4">
      <c r="A205" s="158" t="s">
        <v>517</v>
      </c>
      <c r="B205" s="259">
        <f>IF(G155&gt;0,B97/G155,0)</f>
        <v>0.90983847178484878</v>
      </c>
    </row>
    <row r="206" spans="1:8" s="4" customFormat="1" ht="14.4">
      <c r="A206" s="158" t="s">
        <v>249</v>
      </c>
      <c r="B206" s="161">
        <f>G174/1000000/B216</f>
        <v>-8.3584448678181086E-3</v>
      </c>
    </row>
    <row r="207" spans="1:8" s="4" customFormat="1" ht="14.4">
      <c r="A207" s="158" t="s">
        <v>250</v>
      </c>
      <c r="B207" s="162">
        <f>B195</f>
        <v>-1.0160576238561316</v>
      </c>
      <c r="C207" s="125">
        <f>B207</f>
        <v>-1.0160576238561316</v>
      </c>
      <c r="D207" s="4" t="s">
        <v>555</v>
      </c>
      <c r="E207" s="125" t="s">
        <v>579</v>
      </c>
    </row>
    <row r="208" spans="1:8" s="4" customFormat="1" ht="14.4">
      <c r="A208" s="158" t="s">
        <v>251</v>
      </c>
      <c r="B208" s="163">
        <f>B196</f>
        <v>2</v>
      </c>
    </row>
    <row r="209" spans="1:6" s="4" customFormat="1" ht="14.4">
      <c r="A209" s="158" t="s">
        <v>252</v>
      </c>
      <c r="B209" s="288"/>
    </row>
    <row r="210" spans="1:6" s="4" customFormat="1" ht="14.4">
      <c r="A210" s="158" t="s">
        <v>253</v>
      </c>
      <c r="B210" s="161">
        <f>(B75+B79+B83)/1000000/$B$216</f>
        <v>6.270639304225353E-3</v>
      </c>
      <c r="C210" s="315">
        <f>B210*1000000</f>
        <v>6270.639304225353</v>
      </c>
      <c r="D210" s="4" t="s">
        <v>554</v>
      </c>
      <c r="E210" s="4" t="s">
        <v>580</v>
      </c>
      <c r="F210" s="4" t="s">
        <v>581</v>
      </c>
    </row>
    <row r="211" spans="1:6" s="4" customFormat="1" ht="14.4">
      <c r="A211" s="158" t="s">
        <v>254</v>
      </c>
      <c r="B211" s="161">
        <f>(B91-B153)/1000000/$B$216</f>
        <v>2.7097095849432889E-3</v>
      </c>
      <c r="C211" s="4">
        <f>B211/B202*1000000</f>
        <v>903.23652831442962</v>
      </c>
      <c r="D211" s="4" t="s">
        <v>556</v>
      </c>
      <c r="E211" s="4" t="s">
        <v>580</v>
      </c>
      <c r="F211" s="4" t="s">
        <v>581</v>
      </c>
    </row>
    <row r="212" spans="1:6" s="4" customFormat="1" ht="15" thickBot="1">
      <c r="A212" s="164" t="s">
        <v>255</v>
      </c>
      <c r="B212" s="165">
        <f>D62/1000000/$B$216/1.13</f>
        <v>1.2464165524118163E-2</v>
      </c>
    </row>
    <row r="213" spans="1:6" s="4" customFormat="1" ht="14.4"/>
    <row r="214" spans="1:6" s="4" customFormat="1" ht="14.4"/>
    <row r="215" spans="1:6" s="4" customFormat="1" ht="14.4">
      <c r="A215" s="278" t="s">
        <v>538</v>
      </c>
      <c r="B215" s="282"/>
    </row>
    <row r="216" spans="1:6" s="4" customFormat="1" ht="14.4">
      <c r="A216" s="4" t="s">
        <v>256</v>
      </c>
      <c r="B216" s="283">
        <v>7.1</v>
      </c>
    </row>
    <row r="217" spans="1:6" s="4" customFormat="1" ht="14.4">
      <c r="A217" s="4" t="s">
        <v>541</v>
      </c>
      <c r="B217" s="282">
        <v>0.16500000000000001</v>
      </c>
    </row>
    <row r="218" spans="1:6" s="4" customFormat="1" ht="14.4">
      <c r="A218" s="4" t="s">
        <v>539</v>
      </c>
      <c r="B218" s="282">
        <v>2.5000000000000001E-2</v>
      </c>
    </row>
    <row r="219" spans="1:6" s="4" customFormat="1" ht="14.4">
      <c r="A219" s="4" t="s">
        <v>540</v>
      </c>
      <c r="B219" s="282">
        <v>0.19</v>
      </c>
    </row>
    <row r="220" spans="1:6" s="4" customFormat="1" ht="14.4">
      <c r="B220" s="282"/>
    </row>
    <row r="221" spans="1:6" s="4" customFormat="1" ht="14.4"/>
  </sheetData>
  <mergeCells count="8">
    <mergeCell ref="B13:F13"/>
    <mergeCell ref="B14:F14"/>
    <mergeCell ref="B7:F7"/>
    <mergeCell ref="B8:F8"/>
    <mergeCell ref="B9:F9"/>
    <mergeCell ref="B10:F10"/>
    <mergeCell ref="B11:F11"/>
    <mergeCell ref="B12:F12"/>
  </mergeCells>
  <phoneticPr fontId="5" type="noConversion"/>
  <dataValidations count="1">
    <dataValidation type="list" allowBlank="1" showInputMessage="1" showErrorMessage="1" sqref="B63:B67" xr:uid="{643B9311-A46A-4AA4-B61D-047F47C52FC4}">
      <formula1>"Body Shop Sales,PPG Sales"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FE41D4-E659-4FD2-940A-8F306D170B12}">
          <x14:formula1>
            <xm:f>selection!$A$2:$A$3</xm:f>
          </x14:formula1>
          <xm:sqref>B16</xm:sqref>
        </x14:dataValidation>
        <x14:dataValidation type="list" allowBlank="1" showInputMessage="1" showErrorMessage="1" xr:uid="{84733E3E-7332-4494-B046-8DEAE32A2098}">
          <x14:formula1>
            <xm:f>selection!$B$2:$B$33</xm:f>
          </x14:formula1>
          <xm:sqref>C25:C28</xm:sqref>
        </x14:dataValidation>
        <x14:dataValidation type="list" allowBlank="1" showInputMessage="1" showErrorMessage="1" xr:uid="{4137A414-D8E4-4038-A106-BBE5350A84EB}">
          <x14:formula1>
            <xm:f>selection!$C$2:$C$13</xm:f>
          </x14:formula1>
          <xm:sqref>D25:D28</xm:sqref>
        </x14:dataValidation>
        <x14:dataValidation type="list" allowBlank="1" showInputMessage="1" showErrorMessage="1" xr:uid="{C63DF221-5301-4F47-8069-9B73132EFAEF}">
          <x14:formula1>
            <xm:f>selection!$D$2:$D$3</xm:f>
          </x14:formula1>
          <xm:sqref>E25:E28</xm:sqref>
        </x14:dataValidation>
        <x14:dataValidation type="list" allowBlank="1" showInputMessage="1" showErrorMessage="1" xr:uid="{59AAE5F4-0899-4D1E-A1AE-E45DDEC781C5}">
          <x14:formula1>
            <xm:f>selection!$E$2:$E$5</xm:f>
          </x14:formula1>
          <xm:sqref>B40:D43</xm:sqref>
        </x14:dataValidation>
        <x14:dataValidation type="list" allowBlank="1" showInputMessage="1" showErrorMessage="1" xr:uid="{1E31B1C3-D86C-456F-9203-AD6BA66733F9}">
          <x14:formula1>
            <xm:f>selection!$F$2:$F$7</xm:f>
          </x14:formula1>
          <xm:sqref>B45:D48 B50:D53 B55:D58</xm:sqref>
        </x14:dataValidation>
        <x14:dataValidation type="list" allowBlank="1" showInputMessage="1" showErrorMessage="1" xr:uid="{F9ADEB51-127F-4E85-89F3-26449BBB7615}">
          <x14:formula1>
            <xm:f>selection!$G$2:$G$4</xm:f>
          </x14:formula1>
          <xm:sqref>B33</xm:sqref>
        </x14:dataValidation>
        <x14:dataValidation type="list" allowBlank="1" showInputMessage="1" showErrorMessage="1" xr:uid="{76CFE03A-CC76-4027-B8A5-489E07E4E45E}">
          <x14:formula1>
            <xm:f>selection!$J$2:$J$3</xm:f>
          </x14:formula1>
          <xm:sqref>B35</xm:sqref>
        </x14:dataValidation>
        <x14:dataValidation type="list" allowBlank="1" showInputMessage="1" showErrorMessage="1" xr:uid="{46CBDB55-9E31-451D-B219-EEA5398CF7B9}">
          <x14:formula1>
            <xm:f>selection!$L$2:$L$3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B35D-0F18-4EED-9888-99EC44ACC68E}">
  <dimension ref="A1:F11"/>
  <sheetViews>
    <sheetView workbookViewId="0">
      <selection activeCell="E2" sqref="E2"/>
    </sheetView>
  </sheetViews>
  <sheetFormatPr defaultRowHeight="13.8"/>
  <cols>
    <col min="1" max="1" width="4.77734375" bestFit="1" customWidth="1"/>
    <col min="2" max="2" width="41.33203125" bestFit="1" customWidth="1"/>
    <col min="3" max="3" width="8.44140625" style="51"/>
    <col min="4" max="4" width="46.77734375" bestFit="1" customWidth="1"/>
    <col min="5" max="5" width="29.44140625" bestFit="1" customWidth="1"/>
    <col min="6" max="6" width="31.44140625" bestFit="1" customWidth="1"/>
  </cols>
  <sheetData>
    <row r="1" spans="1:6">
      <c r="A1" t="s">
        <v>124</v>
      </c>
      <c r="B1" t="s">
        <v>415</v>
      </c>
      <c r="C1" s="51" t="s">
        <v>132</v>
      </c>
      <c r="D1" t="s">
        <v>123</v>
      </c>
      <c r="E1" t="s">
        <v>125</v>
      </c>
      <c r="F1" t="s">
        <v>126</v>
      </c>
    </row>
    <row r="2" spans="1:6">
      <c r="A2">
        <v>1</v>
      </c>
      <c r="B2" t="s">
        <v>416</v>
      </c>
      <c r="C2" s="51" t="s">
        <v>127</v>
      </c>
      <c r="D2" t="s">
        <v>128</v>
      </c>
      <c r="E2" t="s">
        <v>129</v>
      </c>
      <c r="F2" t="s">
        <v>130</v>
      </c>
    </row>
    <row r="3" spans="1:6">
      <c r="A3">
        <v>2</v>
      </c>
      <c r="B3" t="s">
        <v>417</v>
      </c>
      <c r="C3" s="51" t="s">
        <v>131</v>
      </c>
      <c r="D3" t="s">
        <v>133</v>
      </c>
      <c r="E3" t="s">
        <v>134</v>
      </c>
      <c r="F3" t="s">
        <v>135</v>
      </c>
    </row>
    <row r="4" spans="1:6">
      <c r="A4">
        <v>3</v>
      </c>
      <c r="B4" t="s">
        <v>418</v>
      </c>
      <c r="C4" s="51" t="s">
        <v>136</v>
      </c>
      <c r="D4" t="s">
        <v>137</v>
      </c>
      <c r="E4" t="s">
        <v>138</v>
      </c>
    </row>
    <row r="5" spans="1:6">
      <c r="A5">
        <v>4</v>
      </c>
      <c r="B5" t="s">
        <v>419</v>
      </c>
      <c r="C5" s="51" t="s">
        <v>420</v>
      </c>
      <c r="D5" t="s">
        <v>421</v>
      </c>
      <c r="E5" t="s">
        <v>422</v>
      </c>
      <c r="F5" t="s">
        <v>423</v>
      </c>
    </row>
    <row r="6" spans="1:6" ht="41.4">
      <c r="A6">
        <v>5</v>
      </c>
      <c r="B6" t="s">
        <v>424</v>
      </c>
      <c r="C6" s="51" t="s">
        <v>425</v>
      </c>
      <c r="D6" t="s">
        <v>426</v>
      </c>
      <c r="E6" s="185" t="s">
        <v>427</v>
      </c>
      <c r="F6" t="s">
        <v>428</v>
      </c>
    </row>
    <row r="7" spans="1:6" ht="55.2">
      <c r="A7">
        <v>6</v>
      </c>
      <c r="B7" t="s">
        <v>429</v>
      </c>
      <c r="C7" s="51" t="s">
        <v>430</v>
      </c>
      <c r="D7" t="s">
        <v>431</v>
      </c>
      <c r="E7" s="185" t="s">
        <v>432</v>
      </c>
      <c r="F7" s="185" t="s">
        <v>433</v>
      </c>
    </row>
    <row r="8" spans="1:6" ht="55.2">
      <c r="A8">
        <v>7</v>
      </c>
      <c r="B8" t="s">
        <v>434</v>
      </c>
      <c r="C8" s="51" t="s">
        <v>435</v>
      </c>
      <c r="D8" s="185" t="s">
        <v>436</v>
      </c>
      <c r="E8" s="185" t="s">
        <v>437</v>
      </c>
      <c r="F8" s="185" t="s">
        <v>438</v>
      </c>
    </row>
    <row r="9" spans="1:6" ht="55.2">
      <c r="A9">
        <v>8</v>
      </c>
      <c r="B9" t="s">
        <v>439</v>
      </c>
      <c r="C9" s="51" t="s">
        <v>440</v>
      </c>
      <c r="D9" t="s">
        <v>441</v>
      </c>
      <c r="E9" s="185" t="s">
        <v>442</v>
      </c>
      <c r="F9" t="s">
        <v>443</v>
      </c>
    </row>
    <row r="10" spans="1:6">
      <c r="A10">
        <v>9</v>
      </c>
      <c r="B10" t="s">
        <v>444</v>
      </c>
      <c r="C10" s="51" t="s">
        <v>445</v>
      </c>
      <c r="D10" t="s">
        <v>446</v>
      </c>
      <c r="E10" t="s">
        <v>447</v>
      </c>
      <c r="F10" t="s">
        <v>448</v>
      </c>
    </row>
    <row r="11" spans="1:6" ht="27.6">
      <c r="A11">
        <v>10</v>
      </c>
      <c r="B11" t="s">
        <v>449</v>
      </c>
      <c r="C11" s="51" t="s">
        <v>450</v>
      </c>
      <c r="D11" t="s">
        <v>451</v>
      </c>
      <c r="E11" s="185" t="s">
        <v>452</v>
      </c>
      <c r="F11" t="s">
        <v>453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942F-9DBA-42A4-8238-421BCFDAB5FA}">
  <sheetPr>
    <tabColor rgb="FFFF0000"/>
  </sheetPr>
  <dimension ref="A1:T40"/>
  <sheetViews>
    <sheetView zoomScale="120" zoomScaleNormal="120" workbookViewId="0">
      <pane ySplit="1" topLeftCell="A32" activePane="bottomLeft" state="frozen"/>
      <selection pane="bottomLeft" activeCell="Q42" sqref="Q42"/>
    </sheetView>
  </sheetViews>
  <sheetFormatPr defaultRowHeight="13.8"/>
  <cols>
    <col min="2" max="2" width="13" style="81" bestFit="1" customWidth="1"/>
    <col min="3" max="4" width="15.77734375" style="81" customWidth="1"/>
    <col min="5" max="6" width="9" style="183"/>
    <col min="7" max="7" width="7.44140625" style="183" customWidth="1"/>
    <col min="8" max="8" width="8" style="183" customWidth="1"/>
    <col min="9" max="10" width="7.77734375" style="183" customWidth="1"/>
    <col min="11" max="11" width="9.88671875" customWidth="1"/>
    <col min="12" max="12" width="8.77734375" style="183" customWidth="1"/>
    <col min="13" max="13" width="9.77734375" customWidth="1"/>
    <col min="14" max="14" width="10.77734375" customWidth="1"/>
  </cols>
  <sheetData>
    <row r="1" spans="1:20" ht="52.8">
      <c r="A1" s="212" t="s">
        <v>509</v>
      </c>
      <c r="B1" s="201" t="s">
        <v>501</v>
      </c>
      <c r="C1" s="201" t="s">
        <v>497</v>
      </c>
      <c r="D1" s="204" t="s">
        <v>506</v>
      </c>
      <c r="E1" s="290" t="s">
        <v>547</v>
      </c>
      <c r="F1" s="213" t="s">
        <v>503</v>
      </c>
      <c r="G1" s="290" t="s">
        <v>548</v>
      </c>
      <c r="H1" s="291" t="s">
        <v>549</v>
      </c>
      <c r="I1" s="291" t="s">
        <v>550</v>
      </c>
      <c r="J1" s="292" t="s">
        <v>505</v>
      </c>
      <c r="K1" s="213" t="s">
        <v>504</v>
      </c>
      <c r="L1" s="213" t="s">
        <v>511</v>
      </c>
      <c r="M1" s="213" t="s">
        <v>507</v>
      </c>
      <c r="N1" s="290" t="s">
        <v>551</v>
      </c>
      <c r="O1" s="213" t="s">
        <v>502</v>
      </c>
      <c r="P1" s="213" t="s">
        <v>500</v>
      </c>
      <c r="Q1" s="213" t="s">
        <v>498</v>
      </c>
      <c r="R1" s="213" t="s">
        <v>499</v>
      </c>
      <c r="S1" s="346" t="s">
        <v>586</v>
      </c>
      <c r="T1" s="81"/>
    </row>
    <row r="2" spans="1:20">
      <c r="A2" t="s">
        <v>85</v>
      </c>
      <c r="B2" s="175" t="s">
        <v>35</v>
      </c>
      <c r="C2" s="175">
        <v>21721</v>
      </c>
      <c r="D2" s="175"/>
      <c r="E2" s="176">
        <v>9.1600000000000001E-2</v>
      </c>
      <c r="F2" s="176"/>
      <c r="G2" s="176">
        <v>0.49</v>
      </c>
      <c r="H2" s="176"/>
      <c r="I2" s="176"/>
      <c r="J2" s="177"/>
      <c r="K2" s="177"/>
      <c r="L2" s="177"/>
      <c r="M2" s="177"/>
      <c r="N2" s="177">
        <v>7.0000000000000007E-2</v>
      </c>
      <c r="O2" s="200"/>
      <c r="P2" s="200"/>
      <c r="Q2" s="199">
        <v>0.61613883827640314</v>
      </c>
      <c r="R2" s="195">
        <v>0.68903575550999996</v>
      </c>
      <c r="S2" s="344" t="s">
        <v>35</v>
      </c>
      <c r="T2" s="182"/>
    </row>
    <row r="3" spans="1:20">
      <c r="A3" t="s">
        <v>85</v>
      </c>
      <c r="B3" s="175" t="s">
        <v>36</v>
      </c>
      <c r="C3" s="175">
        <v>187802</v>
      </c>
      <c r="D3" s="175"/>
      <c r="E3" s="176">
        <v>9.11E-2</v>
      </c>
      <c r="F3" s="176"/>
      <c r="G3" s="176">
        <v>0.5</v>
      </c>
      <c r="H3" s="176"/>
      <c r="I3" s="176"/>
      <c r="J3" s="177"/>
      <c r="K3" s="177"/>
      <c r="L3" s="177"/>
      <c r="M3" s="177"/>
      <c r="N3" s="177"/>
      <c r="O3" s="177"/>
      <c r="P3" s="177"/>
      <c r="Q3" s="197">
        <v>0.53789232698209866</v>
      </c>
      <c r="R3" s="195">
        <v>0.7</v>
      </c>
      <c r="S3" s="344" t="s">
        <v>36</v>
      </c>
      <c r="T3" s="182"/>
    </row>
    <row r="4" spans="1:20">
      <c r="A4" t="s">
        <v>85</v>
      </c>
      <c r="B4" s="175" t="s">
        <v>22</v>
      </c>
      <c r="C4" s="175">
        <v>174758</v>
      </c>
      <c r="D4" s="175"/>
      <c r="E4" s="176">
        <v>9.1399999999999995E-2</v>
      </c>
      <c r="F4" s="176"/>
      <c r="G4" s="176">
        <v>0.84</v>
      </c>
      <c r="H4" s="176"/>
      <c r="I4" s="176"/>
      <c r="J4" s="177"/>
      <c r="K4" s="177"/>
      <c r="L4" s="177"/>
      <c r="M4" s="177"/>
      <c r="N4" s="177"/>
      <c r="O4" s="177"/>
      <c r="P4" s="177"/>
      <c r="Q4" s="197">
        <v>0.53494276142375963</v>
      </c>
      <c r="R4" s="195">
        <v>0.62375059350899997</v>
      </c>
      <c r="S4" s="344" t="s">
        <v>22</v>
      </c>
      <c r="T4" s="182"/>
    </row>
    <row r="5" spans="1:20">
      <c r="A5" t="s">
        <v>85</v>
      </c>
      <c r="B5" s="175" t="s">
        <v>37</v>
      </c>
      <c r="C5" s="175">
        <v>166741</v>
      </c>
      <c r="D5" s="175"/>
      <c r="E5" s="176">
        <v>9.1399999999999995E-2</v>
      </c>
      <c r="F5" s="176"/>
      <c r="G5" s="176">
        <v>0.74</v>
      </c>
      <c r="H5" s="176"/>
      <c r="I5" s="176"/>
      <c r="J5" s="177">
        <v>2.1999999999999999E-2</v>
      </c>
      <c r="K5" s="177"/>
      <c r="L5" s="177"/>
      <c r="M5" s="177"/>
      <c r="N5" s="177"/>
      <c r="O5" s="177"/>
      <c r="P5" s="177"/>
      <c r="Q5" s="197">
        <v>0.53336128178272213</v>
      </c>
      <c r="R5" s="195">
        <v>0.666434787217</v>
      </c>
      <c r="S5" s="344" t="s">
        <v>37</v>
      </c>
      <c r="T5" s="182"/>
    </row>
    <row r="6" spans="1:20">
      <c r="A6" t="s">
        <v>85</v>
      </c>
      <c r="B6" s="178" t="s">
        <v>38</v>
      </c>
      <c r="C6" s="178">
        <v>124277</v>
      </c>
      <c r="D6" s="178"/>
      <c r="E6" s="176">
        <v>9.1300000000000006E-2</v>
      </c>
      <c r="F6" s="176"/>
      <c r="G6" s="176">
        <v>0.2</v>
      </c>
      <c r="H6" s="176"/>
      <c r="I6" s="176"/>
      <c r="J6" s="177"/>
      <c r="K6" s="177"/>
      <c r="L6" s="177"/>
      <c r="M6" s="177"/>
      <c r="N6" s="177"/>
      <c r="O6" s="177"/>
      <c r="P6" s="177"/>
      <c r="Q6" s="197">
        <v>0.82597416700488147</v>
      </c>
      <c r="R6" s="195">
        <v>0.7</v>
      </c>
      <c r="S6" s="344" t="s">
        <v>38</v>
      </c>
      <c r="T6" s="182"/>
    </row>
    <row r="7" spans="1:20">
      <c r="A7" t="s">
        <v>85</v>
      </c>
      <c r="B7" s="178" t="s">
        <v>40</v>
      </c>
      <c r="C7" s="178">
        <v>179037</v>
      </c>
      <c r="D7" s="178"/>
      <c r="E7" s="176">
        <v>9.1700000000000004E-2</v>
      </c>
      <c r="F7" s="176"/>
      <c r="G7" s="176">
        <v>0.8</v>
      </c>
      <c r="H7" s="176"/>
      <c r="I7" s="176"/>
      <c r="J7" s="177"/>
      <c r="K7" s="177"/>
      <c r="L7" s="177"/>
      <c r="M7" s="177"/>
      <c r="N7" s="177"/>
      <c r="O7" s="177"/>
      <c r="P7" s="177"/>
      <c r="Q7" s="197">
        <v>0.58567884054879205</v>
      </c>
      <c r="R7" s="195">
        <v>0.62</v>
      </c>
      <c r="S7" s="344" t="s">
        <v>40</v>
      </c>
      <c r="T7" s="182"/>
    </row>
    <row r="8" spans="1:20">
      <c r="A8" t="s">
        <v>85</v>
      </c>
      <c r="B8" s="178" t="s">
        <v>41</v>
      </c>
      <c r="C8" s="178">
        <v>167113</v>
      </c>
      <c r="D8" s="178"/>
      <c r="E8" s="176">
        <v>9.4500000000000001E-2</v>
      </c>
      <c r="F8" s="176"/>
      <c r="G8" s="176">
        <v>0.8</v>
      </c>
      <c r="H8" s="176"/>
      <c r="I8" s="176"/>
      <c r="J8" s="177"/>
      <c r="K8" s="177"/>
      <c r="L8" s="177"/>
      <c r="M8" s="177"/>
      <c r="N8" s="177"/>
      <c r="O8" s="177"/>
      <c r="P8" s="177"/>
      <c r="Q8" s="197">
        <v>0.54682650319520942</v>
      </c>
      <c r="R8" s="195">
        <v>0.68973131912999996</v>
      </c>
      <c r="S8" s="344" t="s">
        <v>41</v>
      </c>
      <c r="T8" s="182"/>
    </row>
    <row r="9" spans="1:20">
      <c r="A9" t="s">
        <v>85</v>
      </c>
      <c r="B9" s="179" t="s">
        <v>42</v>
      </c>
      <c r="C9" s="179">
        <v>188618</v>
      </c>
      <c r="D9" s="205"/>
      <c r="E9" s="176">
        <v>9.4500000000000001E-2</v>
      </c>
      <c r="F9" s="176"/>
      <c r="G9" s="176">
        <v>0.55000000000000004</v>
      </c>
      <c r="H9" s="176"/>
      <c r="I9" s="176"/>
      <c r="J9" s="177"/>
      <c r="K9" s="177"/>
      <c r="L9" s="177"/>
      <c r="M9" s="177"/>
      <c r="N9" s="177"/>
      <c r="O9" s="177"/>
      <c r="P9" s="177"/>
      <c r="Q9" s="197">
        <v>0.64234971486933345</v>
      </c>
      <c r="R9" s="195">
        <v>0.7</v>
      </c>
      <c r="S9" s="344" t="s">
        <v>42</v>
      </c>
      <c r="T9" s="182"/>
    </row>
    <row r="10" spans="1:20">
      <c r="A10" t="s">
        <v>85</v>
      </c>
      <c r="B10" s="178" t="s">
        <v>43</v>
      </c>
      <c r="C10" s="178">
        <v>201824</v>
      </c>
      <c r="D10" s="178"/>
      <c r="E10" s="176">
        <v>9.4600000000000004E-2</v>
      </c>
      <c r="F10" s="176"/>
      <c r="G10" s="176">
        <v>0.49</v>
      </c>
      <c r="H10" s="176"/>
      <c r="I10" s="176"/>
      <c r="J10" s="177"/>
      <c r="K10" s="177"/>
      <c r="L10" s="177"/>
      <c r="M10" s="177"/>
      <c r="N10" s="177">
        <v>7.0000000000000007E-2</v>
      </c>
      <c r="O10" s="177"/>
      <c r="P10" s="177"/>
      <c r="Q10" s="197">
        <v>0.63341720994527673</v>
      </c>
      <c r="R10" s="195">
        <v>0.7</v>
      </c>
      <c r="S10" s="344" t="s">
        <v>43</v>
      </c>
      <c r="T10" s="182"/>
    </row>
    <row r="11" spans="1:20">
      <c r="A11" t="s">
        <v>85</v>
      </c>
      <c r="B11" s="180" t="s">
        <v>45</v>
      </c>
      <c r="C11" s="180">
        <v>89224</v>
      </c>
      <c r="D11" s="180"/>
      <c r="E11" s="176">
        <v>9.3100000000000002E-2</v>
      </c>
      <c r="F11" s="176"/>
      <c r="G11" s="176">
        <v>0</v>
      </c>
      <c r="H11" s="176"/>
      <c r="I11" s="176"/>
      <c r="J11" s="177"/>
      <c r="K11" s="177"/>
      <c r="L11" s="177"/>
      <c r="M11" s="177"/>
      <c r="N11" s="177"/>
      <c r="O11" s="181"/>
      <c r="P11" s="181"/>
      <c r="Q11" s="198">
        <v>0.91689693953673823</v>
      </c>
      <c r="R11" s="195">
        <v>0.7</v>
      </c>
      <c r="S11" s="344" t="s">
        <v>45</v>
      </c>
      <c r="T11" s="182"/>
    </row>
    <row r="12" spans="1:20">
      <c r="A12" t="s">
        <v>85</v>
      </c>
      <c r="B12" s="178" t="s">
        <v>46</v>
      </c>
      <c r="C12" s="178">
        <v>168084</v>
      </c>
      <c r="D12" s="178"/>
      <c r="E12" s="176">
        <v>9.3100000000000002E-2</v>
      </c>
      <c r="F12" s="176"/>
      <c r="G12" s="176">
        <v>0.9</v>
      </c>
      <c r="H12" s="176"/>
      <c r="I12" s="176"/>
      <c r="J12" s="177"/>
      <c r="K12" s="177"/>
      <c r="L12" s="177"/>
      <c r="M12" s="177"/>
      <c r="N12" s="177"/>
      <c r="O12" s="177"/>
      <c r="P12" s="177"/>
      <c r="Q12" s="197">
        <v>0.59944286045942796</v>
      </c>
      <c r="R12" s="195">
        <v>0.66456119848899997</v>
      </c>
      <c r="S12" s="344" t="s">
        <v>46</v>
      </c>
      <c r="T12" s="182"/>
    </row>
    <row r="13" spans="1:20">
      <c r="A13" t="s">
        <v>85</v>
      </c>
      <c r="B13" s="178" t="s">
        <v>47</v>
      </c>
      <c r="C13" s="178">
        <v>124177</v>
      </c>
      <c r="D13" s="178"/>
      <c r="E13" s="176">
        <v>9.4500000000000001E-2</v>
      </c>
      <c r="F13" s="176"/>
      <c r="G13" s="176">
        <v>0.38</v>
      </c>
      <c r="H13" s="176"/>
      <c r="I13" s="176"/>
      <c r="J13" s="177"/>
      <c r="K13" s="177"/>
      <c r="L13" s="177"/>
      <c r="M13" s="177"/>
      <c r="N13" s="177">
        <v>7.0000000000000007E-2</v>
      </c>
      <c r="O13" s="177"/>
      <c r="P13" s="177"/>
      <c r="Q13" s="197">
        <v>0.7152853982827394</v>
      </c>
      <c r="R13" s="195">
        <v>0.738357260397</v>
      </c>
      <c r="S13" s="344" t="s">
        <v>47</v>
      </c>
      <c r="T13" s="182"/>
    </row>
    <row r="14" spans="1:20">
      <c r="A14" t="s">
        <v>85</v>
      </c>
      <c r="B14" s="178" t="s">
        <v>49</v>
      </c>
      <c r="C14" s="178">
        <v>180587</v>
      </c>
      <c r="D14" s="178"/>
      <c r="E14" s="176">
        <v>9.2999999999999999E-2</v>
      </c>
      <c r="F14" s="176"/>
      <c r="G14" s="176">
        <v>0.54</v>
      </c>
      <c r="H14" s="176"/>
      <c r="I14" s="176"/>
      <c r="J14" s="177"/>
      <c r="K14" s="177"/>
      <c r="L14" s="177"/>
      <c r="M14" s="177"/>
      <c r="N14" s="177"/>
      <c r="O14" s="177"/>
      <c r="P14" s="177"/>
      <c r="Q14" s="197">
        <v>0.86865814436229816</v>
      </c>
      <c r="R14" s="195">
        <v>0.7</v>
      </c>
      <c r="S14" s="344" t="s">
        <v>49</v>
      </c>
      <c r="T14" s="182"/>
    </row>
    <row r="15" spans="1:20">
      <c r="A15" t="s">
        <v>85</v>
      </c>
      <c r="B15" s="178" t="s">
        <v>50</v>
      </c>
      <c r="C15" s="178">
        <v>207196</v>
      </c>
      <c r="D15" s="178"/>
      <c r="E15" s="176"/>
      <c r="F15" s="176"/>
      <c r="G15" s="176">
        <v>0.27</v>
      </c>
      <c r="H15" s="176"/>
      <c r="I15" s="176"/>
      <c r="J15" s="177"/>
      <c r="K15" s="177"/>
      <c r="L15" s="177"/>
      <c r="M15" s="177"/>
      <c r="N15" s="177"/>
      <c r="O15" s="177"/>
      <c r="P15" s="177"/>
      <c r="Q15" s="197">
        <v>0.99261879295888356</v>
      </c>
      <c r="R15" s="195">
        <v>0.712534447131</v>
      </c>
      <c r="S15" s="344" t="s">
        <v>50</v>
      </c>
      <c r="T15" s="182"/>
    </row>
    <row r="16" spans="1:20">
      <c r="A16" t="s">
        <v>85</v>
      </c>
      <c r="B16" s="178" t="s">
        <v>585</v>
      </c>
      <c r="C16" s="178">
        <v>189736</v>
      </c>
      <c r="D16" s="178"/>
      <c r="E16" s="176">
        <v>9.2999999999999999E-2</v>
      </c>
      <c r="F16" s="176"/>
      <c r="G16" s="176">
        <v>0.05</v>
      </c>
      <c r="H16" s="176"/>
      <c r="I16" s="176"/>
      <c r="J16" s="177"/>
      <c r="K16" s="177"/>
      <c r="L16" s="177"/>
      <c r="M16" s="177"/>
      <c r="N16" s="177"/>
      <c r="O16" s="177"/>
      <c r="P16" s="177"/>
      <c r="Q16" s="197">
        <v>0.89728964223882535</v>
      </c>
      <c r="R16" s="195">
        <v>0.72952715831000003</v>
      </c>
      <c r="S16" s="344" t="s">
        <v>584</v>
      </c>
      <c r="T16" s="182"/>
    </row>
    <row r="17" spans="1:20">
      <c r="A17" t="s">
        <v>85</v>
      </c>
      <c r="B17" s="178" t="s">
        <v>51</v>
      </c>
      <c r="C17" s="178">
        <v>190416</v>
      </c>
      <c r="D17" s="178"/>
      <c r="E17" s="176">
        <v>9.2999999999999999E-2</v>
      </c>
      <c r="F17" s="176"/>
      <c r="G17" s="176">
        <v>0.87</v>
      </c>
      <c r="H17" s="176">
        <v>0.05</v>
      </c>
      <c r="I17" s="176">
        <v>0.05</v>
      </c>
      <c r="J17" s="177"/>
      <c r="K17" s="177"/>
      <c r="L17" s="177"/>
      <c r="M17" s="177"/>
      <c r="N17" s="177"/>
      <c r="O17" s="177"/>
      <c r="P17" s="177"/>
      <c r="Q17" s="197">
        <v>1.0512330943324091</v>
      </c>
      <c r="R17" s="195">
        <v>0.70983795965700003</v>
      </c>
      <c r="S17" s="344" t="s">
        <v>51</v>
      </c>
      <c r="T17" s="182"/>
    </row>
    <row r="18" spans="1:20">
      <c r="A18" t="s">
        <v>85</v>
      </c>
      <c r="B18" s="341" t="s">
        <v>583</v>
      </c>
      <c r="C18" s="342">
        <v>183484</v>
      </c>
      <c r="D18" s="342"/>
      <c r="E18" s="176">
        <v>9.4E-2</v>
      </c>
      <c r="F18" s="196"/>
      <c r="G18" s="176"/>
      <c r="H18" s="176">
        <v>0.05</v>
      </c>
      <c r="I18" s="176">
        <v>0.05</v>
      </c>
      <c r="J18" s="177"/>
      <c r="K18" s="177"/>
      <c r="L18" s="177"/>
      <c r="M18" s="177"/>
      <c r="N18" s="177"/>
      <c r="O18" s="177"/>
      <c r="P18" s="177"/>
      <c r="Q18" s="184"/>
      <c r="R18" s="184"/>
      <c r="S18" s="344" t="s">
        <v>582</v>
      </c>
      <c r="T18" s="182"/>
    </row>
    <row r="19" spans="1:20">
      <c r="A19" t="s">
        <v>85</v>
      </c>
      <c r="B19" s="178" t="s">
        <v>52</v>
      </c>
      <c r="C19" s="178">
        <v>210979</v>
      </c>
      <c r="D19" s="178"/>
      <c r="E19" s="176">
        <v>9.4500000000000001E-2</v>
      </c>
      <c r="F19" s="176"/>
      <c r="G19" s="176">
        <v>0.26</v>
      </c>
      <c r="H19" s="176"/>
      <c r="I19" s="176"/>
      <c r="J19" s="177"/>
      <c r="K19" s="177"/>
      <c r="L19" s="177"/>
      <c r="M19" s="177"/>
      <c r="N19" s="177"/>
      <c r="O19" s="177"/>
      <c r="P19" s="177"/>
      <c r="Q19" s="197">
        <v>0.75399324260296774</v>
      </c>
      <c r="R19" s="195">
        <v>0.7</v>
      </c>
      <c r="S19" s="344" t="s">
        <v>52</v>
      </c>
      <c r="T19" s="182"/>
    </row>
    <row r="20" spans="1:20">
      <c r="A20" t="s">
        <v>85</v>
      </c>
      <c r="B20" s="178" t="s">
        <v>53</v>
      </c>
      <c r="C20" s="178">
        <v>199498</v>
      </c>
      <c r="D20" s="178"/>
      <c r="E20" s="176">
        <v>9.1600000000000001E-2</v>
      </c>
      <c r="F20" s="176"/>
      <c r="G20" s="176">
        <v>0.2</v>
      </c>
      <c r="H20" s="176"/>
      <c r="I20" s="176"/>
      <c r="J20" s="177"/>
      <c r="K20" s="177"/>
      <c r="L20" s="177"/>
      <c r="M20" s="177"/>
      <c r="N20" s="289"/>
      <c r="O20" s="177"/>
      <c r="P20" s="177"/>
      <c r="Q20" s="197">
        <v>0.82288550865627375</v>
      </c>
      <c r="R20" s="195">
        <v>0.70976523502800004</v>
      </c>
      <c r="S20" s="344" t="s">
        <v>53</v>
      </c>
      <c r="T20" s="182"/>
    </row>
    <row r="21" spans="1:20">
      <c r="A21" t="s">
        <v>85</v>
      </c>
      <c r="B21" s="178" t="s">
        <v>58</v>
      </c>
      <c r="C21" s="178">
        <v>194284</v>
      </c>
      <c r="D21" s="178"/>
      <c r="E21" s="176"/>
      <c r="F21" s="176"/>
      <c r="G21" s="176">
        <v>0.18</v>
      </c>
      <c r="H21" s="176"/>
      <c r="I21" s="176"/>
      <c r="J21" s="177"/>
      <c r="K21" s="177"/>
      <c r="L21" s="177"/>
      <c r="M21" s="177"/>
      <c r="N21" s="177"/>
      <c r="O21" s="177"/>
      <c r="P21" s="177"/>
      <c r="Q21" s="197">
        <v>1.1053134741966739</v>
      </c>
      <c r="R21" s="195">
        <v>0.63842209532399996</v>
      </c>
      <c r="S21" s="344" t="s">
        <v>58</v>
      </c>
      <c r="T21" s="182"/>
    </row>
    <row r="22" spans="1:20">
      <c r="A22" t="s">
        <v>85</v>
      </c>
      <c r="B22" s="178" t="s">
        <v>54</v>
      </c>
      <c r="C22" s="178">
        <v>204604</v>
      </c>
      <c r="D22" s="178"/>
      <c r="E22" s="176">
        <v>9.4500000000000001E-2</v>
      </c>
      <c r="F22" s="176"/>
      <c r="G22" s="176">
        <v>0.03</v>
      </c>
      <c r="H22" s="176"/>
      <c r="I22" s="176"/>
      <c r="J22" s="177"/>
      <c r="K22" s="177"/>
      <c r="L22" s="177"/>
      <c r="M22" s="177"/>
      <c r="N22" s="177">
        <v>0.15</v>
      </c>
      <c r="O22" s="177"/>
      <c r="P22" s="177"/>
      <c r="Q22" s="197">
        <v>1.0525515287951976</v>
      </c>
      <c r="R22" s="195">
        <v>0.75</v>
      </c>
      <c r="S22" s="344" t="s">
        <v>54</v>
      </c>
      <c r="T22" s="182"/>
    </row>
    <row r="23" spans="1:20">
      <c r="A23" t="s">
        <v>85</v>
      </c>
      <c r="B23" s="178" t="s">
        <v>55</v>
      </c>
      <c r="C23" s="178">
        <v>204090</v>
      </c>
      <c r="D23" s="178"/>
      <c r="E23" s="176">
        <v>9.4100000000000003E-2</v>
      </c>
      <c r="F23" s="176"/>
      <c r="G23" s="176">
        <v>0.17</v>
      </c>
      <c r="H23" s="176">
        <v>0.1</v>
      </c>
      <c r="I23" s="176">
        <v>0.1</v>
      </c>
      <c r="J23" s="177"/>
      <c r="K23" s="177"/>
      <c r="L23" s="177"/>
      <c r="M23" s="177"/>
      <c r="N23" s="177"/>
      <c r="O23" s="177"/>
      <c r="P23" s="177"/>
      <c r="Q23" s="197">
        <v>0.94620867471038395</v>
      </c>
      <c r="R23" s="195">
        <v>0.7</v>
      </c>
      <c r="S23" s="344" t="s">
        <v>55</v>
      </c>
      <c r="T23" s="182"/>
    </row>
    <row r="24" spans="1:20">
      <c r="A24" t="s">
        <v>85</v>
      </c>
      <c r="B24" s="178" t="s">
        <v>56</v>
      </c>
      <c r="C24" s="178">
        <v>204090</v>
      </c>
      <c r="D24" s="178"/>
      <c r="E24" s="176">
        <v>9.1800000000000007E-2</v>
      </c>
      <c r="F24" s="176"/>
      <c r="G24" s="176">
        <v>0.2</v>
      </c>
      <c r="H24" s="176"/>
      <c r="I24" s="176"/>
      <c r="J24" s="177"/>
      <c r="K24" s="177"/>
      <c r="L24" s="177"/>
      <c r="M24" s="177"/>
      <c r="N24" s="177">
        <v>7.0000000000000007E-2</v>
      </c>
      <c r="O24" s="177"/>
      <c r="P24" s="177"/>
      <c r="Q24" s="197">
        <v>0.9</v>
      </c>
      <c r="R24" s="195">
        <v>0.75</v>
      </c>
      <c r="S24" s="344" t="s">
        <v>56</v>
      </c>
      <c r="T24" s="182"/>
    </row>
    <row r="25" spans="1:20">
      <c r="A25" t="s">
        <v>85</v>
      </c>
      <c r="B25" s="178" t="s">
        <v>57</v>
      </c>
      <c r="C25" s="178">
        <v>210481</v>
      </c>
      <c r="D25" s="178"/>
      <c r="E25" s="176">
        <v>0.27</v>
      </c>
      <c r="F25" s="176"/>
      <c r="G25" s="176">
        <v>0.15</v>
      </c>
      <c r="H25" s="176"/>
      <c r="I25" s="176"/>
      <c r="J25" s="177">
        <v>0.06</v>
      </c>
      <c r="K25" s="177"/>
      <c r="L25" s="177"/>
      <c r="M25" s="177"/>
      <c r="N25" s="177"/>
      <c r="O25" s="177"/>
      <c r="P25" s="177"/>
      <c r="Q25" s="197">
        <v>1.28</v>
      </c>
      <c r="R25" s="195">
        <v>0.75</v>
      </c>
      <c r="S25" s="344" t="s">
        <v>57</v>
      </c>
      <c r="T25" s="182"/>
    </row>
    <row r="26" spans="1:20">
      <c r="A26" t="s">
        <v>85</v>
      </c>
      <c r="B26" s="178" t="s">
        <v>59</v>
      </c>
      <c r="C26" s="178">
        <v>205872</v>
      </c>
      <c r="D26" s="178"/>
      <c r="E26" s="176">
        <v>9.3799999999999994E-2</v>
      </c>
      <c r="F26" s="176"/>
      <c r="G26" s="176">
        <v>0.33</v>
      </c>
      <c r="H26" s="176"/>
      <c r="I26" s="176"/>
      <c r="J26" s="177"/>
      <c r="K26" s="177"/>
      <c r="L26" s="177"/>
      <c r="M26" s="177"/>
      <c r="N26" s="177">
        <v>7.0000000000000007E-2</v>
      </c>
      <c r="O26" s="177"/>
      <c r="P26" s="177"/>
      <c r="Q26" s="197">
        <v>1.07</v>
      </c>
      <c r="R26" s="195">
        <v>0.75</v>
      </c>
      <c r="S26" s="344" t="s">
        <v>59</v>
      </c>
      <c r="T26" s="182"/>
    </row>
    <row r="27" spans="1:20">
      <c r="A27" t="s">
        <v>85</v>
      </c>
      <c r="B27" s="178" t="s">
        <v>53</v>
      </c>
      <c r="C27" s="178">
        <v>199498</v>
      </c>
      <c r="D27" s="178"/>
      <c r="E27" s="176">
        <v>9.1600000000000001E-2</v>
      </c>
      <c r="F27" s="176"/>
      <c r="G27" s="176">
        <v>0.2</v>
      </c>
      <c r="H27" s="176"/>
      <c r="I27" s="176"/>
      <c r="J27" s="177"/>
      <c r="K27" s="177"/>
      <c r="L27" s="177"/>
      <c r="M27" s="177"/>
      <c r="N27" s="177">
        <v>0.12</v>
      </c>
      <c r="O27" s="177"/>
      <c r="P27" s="177"/>
      <c r="Q27" s="197">
        <v>0.82288550865627375</v>
      </c>
      <c r="R27" s="195">
        <v>0.70976523502800004</v>
      </c>
      <c r="S27" s="344" t="s">
        <v>53</v>
      </c>
      <c r="T27" s="182"/>
    </row>
    <row r="28" spans="1:20">
      <c r="A28" t="s">
        <v>85</v>
      </c>
      <c r="B28" s="178" t="s">
        <v>46</v>
      </c>
      <c r="C28" s="178">
        <v>168084</v>
      </c>
      <c r="D28" s="178"/>
      <c r="E28" s="176">
        <v>9.3100000000000002E-2</v>
      </c>
      <c r="F28" s="176"/>
      <c r="G28" s="176">
        <v>0.9</v>
      </c>
      <c r="H28" s="176"/>
      <c r="I28" s="176"/>
      <c r="J28" s="177"/>
      <c r="K28" s="177"/>
      <c r="L28" s="177"/>
      <c r="M28" s="177"/>
      <c r="N28" s="177"/>
      <c r="O28" s="177"/>
      <c r="P28" s="177"/>
      <c r="Q28" s="197">
        <v>0.59944286045942796</v>
      </c>
      <c r="R28" s="195">
        <v>0.66456119848899997</v>
      </c>
      <c r="S28" s="344" t="s">
        <v>46</v>
      </c>
      <c r="T28" s="182"/>
    </row>
    <row r="29" spans="1:20">
      <c r="A29" t="s">
        <v>85</v>
      </c>
      <c r="B29" s="178" t="s">
        <v>60</v>
      </c>
      <c r="C29" s="178"/>
      <c r="D29" s="178"/>
      <c r="E29" s="176">
        <v>9.4399999999999998E-2</v>
      </c>
      <c r="F29" s="176"/>
      <c r="G29" s="176">
        <v>0.57999999999999996</v>
      </c>
      <c r="H29" s="176"/>
      <c r="I29" s="176"/>
      <c r="J29" s="177"/>
      <c r="K29" s="177"/>
      <c r="L29" s="177"/>
      <c r="M29" s="177"/>
      <c r="N29" s="177"/>
      <c r="O29" s="177"/>
      <c r="P29" s="177"/>
      <c r="Q29" s="197">
        <v>1.2526541873230443</v>
      </c>
      <c r="R29" s="195">
        <v>0.66200000000000003</v>
      </c>
      <c r="S29" s="344" t="s">
        <v>60</v>
      </c>
      <c r="T29" s="182"/>
    </row>
    <row r="30" spans="1:20">
      <c r="A30" t="s">
        <v>85</v>
      </c>
      <c r="B30" s="178" t="s">
        <v>496</v>
      </c>
      <c r="C30" s="178"/>
      <c r="D30" s="178"/>
      <c r="E30" s="176">
        <v>9.1600000000000001E-2</v>
      </c>
      <c r="F30" s="176"/>
      <c r="G30" s="176">
        <v>0.33</v>
      </c>
      <c r="H30" s="176"/>
      <c r="I30" s="176"/>
      <c r="J30" s="177"/>
      <c r="K30" s="177"/>
      <c r="L30" s="177"/>
      <c r="M30" s="177"/>
      <c r="N30" s="177">
        <v>7.0000000000000007E-2</v>
      </c>
      <c r="O30" s="177"/>
      <c r="P30" s="177"/>
      <c r="Q30" s="197">
        <v>0.62695056987222675</v>
      </c>
      <c r="R30" s="195">
        <v>0.67</v>
      </c>
      <c r="S30" s="344" t="s">
        <v>496</v>
      </c>
      <c r="T30" s="81"/>
    </row>
    <row r="31" spans="1:20">
      <c r="A31" t="s">
        <v>85</v>
      </c>
      <c r="B31" s="178" t="s">
        <v>61</v>
      </c>
      <c r="C31" s="178"/>
      <c r="D31" s="178"/>
      <c r="E31" s="176">
        <v>9.3899999999999997E-2</v>
      </c>
      <c r="F31" s="176"/>
      <c r="G31" s="176">
        <v>0.41</v>
      </c>
      <c r="H31" s="176"/>
      <c r="I31" s="176"/>
      <c r="J31" s="177"/>
      <c r="K31" s="177"/>
      <c r="L31" s="177"/>
      <c r="M31" s="177"/>
      <c r="N31" s="177"/>
      <c r="O31" s="177"/>
      <c r="P31" s="177"/>
      <c r="Q31" s="197">
        <v>0.84218323412990392</v>
      </c>
      <c r="R31" s="195">
        <v>0.66300000000000003</v>
      </c>
      <c r="S31" s="344" t="s">
        <v>61</v>
      </c>
      <c r="T31" s="81"/>
    </row>
    <row r="32" spans="1:20" s="1" customFormat="1">
      <c r="A32" s="1" t="s">
        <v>519</v>
      </c>
      <c r="B32" s="206" t="s">
        <v>518</v>
      </c>
      <c r="C32" s="206"/>
      <c r="D32" s="206"/>
      <c r="E32" s="207"/>
      <c r="F32" s="207"/>
      <c r="G32" s="207">
        <v>0.2</v>
      </c>
      <c r="H32" s="207"/>
      <c r="I32" s="207"/>
      <c r="J32" s="208"/>
      <c r="K32" s="208"/>
      <c r="L32" s="208"/>
      <c r="M32" s="208"/>
      <c r="N32" s="208"/>
      <c r="O32" s="208"/>
      <c r="P32" s="208"/>
      <c r="Q32" s="209"/>
      <c r="R32" s="210">
        <v>0.6</v>
      </c>
      <c r="S32" s="345" t="s">
        <v>587</v>
      </c>
      <c r="T32" s="211"/>
    </row>
    <row r="33" spans="1:19">
      <c r="A33" t="s">
        <v>86</v>
      </c>
      <c r="B33" s="343" t="s">
        <v>74</v>
      </c>
      <c r="C33" s="178">
        <v>195463</v>
      </c>
      <c r="D33" s="175" t="s">
        <v>22</v>
      </c>
      <c r="E33" s="196">
        <v>9.5000000000000001E-2</v>
      </c>
      <c r="F33" s="196"/>
      <c r="G33" s="176">
        <v>0.26</v>
      </c>
      <c r="H33" s="176"/>
      <c r="I33" s="176"/>
      <c r="J33" s="177"/>
      <c r="K33" s="177">
        <v>7.0000000000000007E-2</v>
      </c>
      <c r="L33" s="177">
        <v>7.0000000000000007E-2</v>
      </c>
      <c r="M33" s="177">
        <v>7.0000000000000007E-2</v>
      </c>
      <c r="N33" s="177">
        <v>7.0000000000000007E-2</v>
      </c>
      <c r="O33" s="177">
        <v>7.0000000000000007E-2</v>
      </c>
      <c r="P33" s="177">
        <v>7.0000000000000007E-2</v>
      </c>
      <c r="Q33" s="197">
        <v>0.62</v>
      </c>
      <c r="R33" s="195">
        <v>0.56533653299599995</v>
      </c>
      <c r="S33" s="344" t="s">
        <v>588</v>
      </c>
    </row>
    <row r="34" spans="1:19">
      <c r="A34" t="s">
        <v>86</v>
      </c>
      <c r="B34" s="343" t="s">
        <v>74</v>
      </c>
      <c r="C34" s="178">
        <v>195463</v>
      </c>
      <c r="D34" s="175" t="s">
        <v>37</v>
      </c>
      <c r="E34" s="196">
        <v>9.5000000000000001E-2</v>
      </c>
      <c r="F34" s="196"/>
      <c r="G34" s="176">
        <v>0.2</v>
      </c>
      <c r="H34" s="176"/>
      <c r="I34" s="176"/>
      <c r="J34" s="177"/>
      <c r="K34" s="177">
        <v>7.0000000000000007E-2</v>
      </c>
      <c r="L34" s="177">
        <v>7.0000000000000007E-2</v>
      </c>
      <c r="M34" s="177"/>
      <c r="N34" s="177">
        <v>7.0000000000000007E-2</v>
      </c>
      <c r="O34" s="177">
        <v>0.12</v>
      </c>
      <c r="P34" s="177">
        <v>0.12</v>
      </c>
      <c r="Q34" s="197">
        <v>0.62</v>
      </c>
      <c r="R34" s="195">
        <v>0.56533653299599995</v>
      </c>
      <c r="S34" s="344" t="s">
        <v>589</v>
      </c>
    </row>
    <row r="35" spans="1:19">
      <c r="A35" t="s">
        <v>86</v>
      </c>
      <c r="B35" s="343" t="s">
        <v>74</v>
      </c>
      <c r="C35" s="178">
        <v>195463</v>
      </c>
      <c r="D35" s="178" t="s">
        <v>38</v>
      </c>
      <c r="E35" s="196">
        <v>9.5000000000000001E-2</v>
      </c>
      <c r="F35" s="196"/>
      <c r="G35" s="176">
        <v>0.18</v>
      </c>
      <c r="H35" s="176"/>
      <c r="I35" s="176"/>
      <c r="J35" s="177"/>
      <c r="K35" s="177">
        <v>7.0000000000000007E-2</v>
      </c>
      <c r="L35" s="177">
        <v>7.0000000000000007E-2</v>
      </c>
      <c r="M35" s="177">
        <v>7.0000000000000007E-2</v>
      </c>
      <c r="N35" s="177">
        <v>7.0000000000000007E-2</v>
      </c>
      <c r="O35" s="177">
        <v>0.12</v>
      </c>
      <c r="P35" s="177">
        <v>0.12</v>
      </c>
      <c r="Q35" s="197">
        <v>0.62</v>
      </c>
      <c r="R35" s="195">
        <v>0.56533653299599995</v>
      </c>
      <c r="S35" s="344" t="s">
        <v>590</v>
      </c>
    </row>
    <row r="36" spans="1:19">
      <c r="A36" t="s">
        <v>86</v>
      </c>
      <c r="B36" s="343" t="s">
        <v>73</v>
      </c>
      <c r="C36" s="178">
        <v>205380</v>
      </c>
      <c r="D36" s="175" t="s">
        <v>22</v>
      </c>
      <c r="E36" s="196">
        <v>9.5000000000000001E-2</v>
      </c>
      <c r="F36" s="196"/>
      <c r="G36" s="176">
        <v>0.03</v>
      </c>
      <c r="H36" s="176"/>
      <c r="I36" s="176"/>
      <c r="J36" s="177"/>
      <c r="K36" s="177">
        <v>7.0000000000000007E-2</v>
      </c>
      <c r="L36" s="177">
        <v>0.12</v>
      </c>
      <c r="M36" s="177">
        <v>7.0000000000000007E-2</v>
      </c>
      <c r="N36" s="177">
        <v>7.0000000000000007E-2</v>
      </c>
      <c r="O36" s="177">
        <v>0.15</v>
      </c>
      <c r="P36" s="177">
        <v>0.05</v>
      </c>
      <c r="Q36" s="197">
        <v>0.57999999999999996</v>
      </c>
      <c r="R36" s="195">
        <v>0.82</v>
      </c>
      <c r="S36" s="344" t="s">
        <v>591</v>
      </c>
    </row>
    <row r="37" spans="1:19">
      <c r="A37" t="s">
        <v>86</v>
      </c>
      <c r="B37" s="343" t="s">
        <v>73</v>
      </c>
      <c r="C37" s="178">
        <v>205380</v>
      </c>
      <c r="D37" s="175" t="s">
        <v>37</v>
      </c>
      <c r="E37" s="196">
        <v>9.5000000000000001E-2</v>
      </c>
      <c r="F37" s="196"/>
      <c r="G37" s="176">
        <v>0.17</v>
      </c>
      <c r="H37" s="176"/>
      <c r="I37" s="176"/>
      <c r="J37" s="177"/>
      <c r="K37" s="177">
        <v>7.0000000000000007E-2</v>
      </c>
      <c r="L37" s="177">
        <v>0.12</v>
      </c>
      <c r="M37" s="177">
        <v>0.12</v>
      </c>
      <c r="N37" s="177">
        <v>7.0000000000000007E-2</v>
      </c>
      <c r="O37" s="177">
        <v>0.15</v>
      </c>
      <c r="P37" s="177">
        <v>0.02</v>
      </c>
      <c r="Q37" s="197">
        <v>0.57999999999999996</v>
      </c>
      <c r="R37" s="195">
        <v>0.82</v>
      </c>
      <c r="S37" s="344" t="s">
        <v>592</v>
      </c>
    </row>
    <row r="38" spans="1:19">
      <c r="A38" t="s">
        <v>86</v>
      </c>
      <c r="B38" s="343" t="s">
        <v>73</v>
      </c>
      <c r="C38" s="178">
        <v>205380</v>
      </c>
      <c r="D38" s="178" t="s">
        <v>57</v>
      </c>
      <c r="E38" s="196">
        <v>9.5000000000000001E-2</v>
      </c>
      <c r="F38" s="196"/>
      <c r="G38" s="176">
        <v>0.57999999999999996</v>
      </c>
      <c r="H38" s="176"/>
      <c r="I38" s="176"/>
      <c r="J38" s="177"/>
      <c r="K38" s="177">
        <v>7.0000000000000007E-2</v>
      </c>
      <c r="L38" s="177">
        <v>0.12</v>
      </c>
      <c r="M38" s="177">
        <v>0.12</v>
      </c>
      <c r="N38" s="177">
        <v>7.0000000000000007E-2</v>
      </c>
      <c r="O38" s="177">
        <v>0.15</v>
      </c>
      <c r="P38" s="177">
        <v>7.0000000000000007E-2</v>
      </c>
      <c r="Q38" s="197">
        <v>0.57999999999999996</v>
      </c>
      <c r="R38" s="195">
        <v>0.82</v>
      </c>
      <c r="S38" s="344" t="s">
        <v>593</v>
      </c>
    </row>
    <row r="39" spans="1:19">
      <c r="A39" t="s">
        <v>86</v>
      </c>
      <c r="B39" s="343" t="s">
        <v>73</v>
      </c>
      <c r="C39" s="178">
        <v>205380</v>
      </c>
      <c r="D39" s="178" t="s">
        <v>59</v>
      </c>
      <c r="E39" s="196">
        <v>9.5000000000000001E-2</v>
      </c>
      <c r="F39" s="196"/>
      <c r="G39" s="176">
        <v>0.33</v>
      </c>
      <c r="H39" s="176"/>
      <c r="I39" s="176"/>
      <c r="J39" s="177"/>
      <c r="K39" s="177">
        <v>7.0000000000000007E-2</v>
      </c>
      <c r="L39" s="177">
        <v>0.12</v>
      </c>
      <c r="M39" s="177">
        <v>0.12</v>
      </c>
      <c r="N39" s="177">
        <v>7.0000000000000007E-2</v>
      </c>
      <c r="O39" s="177">
        <v>0.15</v>
      </c>
      <c r="P39" s="177">
        <v>7.0000000000000007E-2</v>
      </c>
      <c r="Q39" s="197">
        <v>0.57999999999999996</v>
      </c>
      <c r="R39" s="195">
        <v>0.82</v>
      </c>
      <c r="S39" s="344" t="s">
        <v>594</v>
      </c>
    </row>
    <row r="40" spans="1:19">
      <c r="A40" t="s">
        <v>86</v>
      </c>
      <c r="B40" s="343" t="s">
        <v>73</v>
      </c>
      <c r="C40" s="178">
        <v>205380</v>
      </c>
      <c r="D40" s="178" t="s">
        <v>53</v>
      </c>
      <c r="E40" s="196">
        <v>9.5000000000000001E-2</v>
      </c>
      <c r="F40" s="196"/>
      <c r="G40" s="176">
        <v>0.41</v>
      </c>
      <c r="H40" s="176"/>
      <c r="I40" s="176"/>
      <c r="J40" s="177"/>
      <c r="K40" s="177">
        <v>7.0000000000000007E-2</v>
      </c>
      <c r="L40" s="177">
        <v>0.12</v>
      </c>
      <c r="M40" s="177">
        <v>0.12</v>
      </c>
      <c r="N40" s="177">
        <v>7.0000000000000007E-2</v>
      </c>
      <c r="O40" s="177">
        <v>0.15</v>
      </c>
      <c r="P40" s="177">
        <v>7.0000000000000007E-2</v>
      </c>
      <c r="Q40" s="197">
        <v>0.57999999999999996</v>
      </c>
      <c r="R40" s="195">
        <v>0.82</v>
      </c>
      <c r="S40" s="344" t="s">
        <v>595</v>
      </c>
    </row>
  </sheetData>
  <phoneticPr fontId="5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0101-C7C4-4507-A825-45DD260F10EF}">
  <dimension ref="A1:S29"/>
  <sheetViews>
    <sheetView topLeftCell="B9" workbookViewId="0">
      <selection activeCell="P22" sqref="P22"/>
    </sheetView>
  </sheetViews>
  <sheetFormatPr defaultColWidth="8.44140625" defaultRowHeight="13.8"/>
  <cols>
    <col min="1" max="1" width="6.77734375" style="77" customWidth="1"/>
    <col min="2" max="2" width="40.21875" style="77" bestFit="1" customWidth="1"/>
    <col min="3" max="3" width="23.77734375" style="77" bestFit="1" customWidth="1"/>
    <col min="4" max="4" width="12.33203125" style="77" customWidth="1"/>
    <col min="5" max="5" width="8.44140625" style="77"/>
    <col min="6" max="6" width="21.109375" style="77" customWidth="1"/>
    <col min="7" max="9" width="8.44140625" style="77"/>
    <col min="10" max="10" width="10.5546875" style="77" bestFit="1" customWidth="1"/>
    <col min="11" max="11" width="10" style="77" bestFit="1" customWidth="1"/>
    <col min="12" max="14" width="11.109375" style="79" bestFit="1" customWidth="1"/>
    <col min="15" max="15" width="10.33203125" style="79" customWidth="1"/>
    <col min="16" max="16" width="11.33203125" style="79" customWidth="1"/>
    <col min="17" max="17" width="10.33203125" style="80" customWidth="1"/>
    <col min="18" max="18" width="12.77734375" style="80" customWidth="1"/>
    <col min="19" max="19" width="8.44140625" style="81"/>
    <col min="20" max="16384" width="8.44140625" style="77"/>
  </cols>
  <sheetData>
    <row r="1" spans="1:19" ht="21" thickBot="1">
      <c r="A1" s="76" t="s">
        <v>163</v>
      </c>
      <c r="J1" s="78"/>
      <c r="K1" s="78"/>
    </row>
    <row r="2" spans="1:19" ht="14.4">
      <c r="A2" s="330" t="s">
        <v>147</v>
      </c>
      <c r="B2" s="333" t="s">
        <v>164</v>
      </c>
      <c r="C2" s="334" t="s">
        <v>165</v>
      </c>
      <c r="D2" s="330" t="s">
        <v>150</v>
      </c>
      <c r="E2" s="336" t="s">
        <v>166</v>
      </c>
      <c r="F2" s="328" t="s">
        <v>152</v>
      </c>
      <c r="G2" s="329"/>
      <c r="H2" s="328" t="s">
        <v>153</v>
      </c>
      <c r="I2" s="329"/>
      <c r="J2" s="79"/>
      <c r="K2" s="79"/>
      <c r="P2" s="80"/>
      <c r="R2" s="81"/>
      <c r="S2" s="77"/>
    </row>
    <row r="3" spans="1:19" ht="14.4">
      <c r="A3" s="331"/>
      <c r="B3" s="332"/>
      <c r="C3" s="335"/>
      <c r="D3" s="331"/>
      <c r="E3" s="331"/>
      <c r="F3" s="82" t="s">
        <v>154</v>
      </c>
      <c r="G3" s="82" t="s">
        <v>155</v>
      </c>
      <c r="H3" s="82" t="s">
        <v>156</v>
      </c>
      <c r="I3" s="82" t="s">
        <v>157</v>
      </c>
      <c r="J3" s="79" t="s">
        <v>158</v>
      </c>
      <c r="K3" s="79" t="s">
        <v>159</v>
      </c>
      <c r="L3" s="79" t="s">
        <v>160</v>
      </c>
      <c r="M3" s="79" t="s">
        <v>161</v>
      </c>
      <c r="N3" s="79" t="s">
        <v>162</v>
      </c>
      <c r="O3" s="80"/>
      <c r="P3" s="80"/>
      <c r="Q3" s="81"/>
      <c r="R3" s="77"/>
      <c r="S3" s="77"/>
    </row>
    <row r="4" spans="1:19">
      <c r="A4" s="92">
        <v>1</v>
      </c>
      <c r="B4" s="84" t="s">
        <v>382</v>
      </c>
      <c r="C4" s="92" t="str">
        <f>INDEX(设备投入清单!D:D,MATCH(设备借用分摊明细!B4,设备投入清单!E:E,0))</f>
        <v>三华</v>
      </c>
      <c r="D4" s="85">
        <v>7</v>
      </c>
      <c r="E4" s="86" t="str">
        <f>INDEX(设备投入清单!C:C,MATCH(设备借用分摊明细!B4,设备投入清单!E:E,0))</f>
        <v>6058-5110</v>
      </c>
      <c r="F4" s="88">
        <f>SUMIFS(设备投入清单!F:F,设备投入清单!E:E,设备借用分摊明细!B4)</f>
        <v>6074.50558</v>
      </c>
      <c r="G4" s="88">
        <f>F4*D4</f>
        <v>42521.539060000003</v>
      </c>
      <c r="H4" s="88">
        <f>G4-I4</f>
        <v>42521.539060000003</v>
      </c>
      <c r="I4" s="87"/>
      <c r="J4" s="79">
        <f>IF(H4=0,0,L4+M4)</f>
        <v>17147.899657000002</v>
      </c>
      <c r="K4" s="79">
        <f t="shared" ref="K4:K13" si="0">IF(D4&gt;0,J4/D4,0)</f>
        <v>2449.6999510000001</v>
      </c>
      <c r="L4" s="89">
        <f>IF(H4&gt;0,SUMIFS(设备投入清单!H:H,设备投入清单!E:E,设备借用分摊明细!B4)*D4,0)</f>
        <v>17147.899657000002</v>
      </c>
      <c r="M4" s="89">
        <f>IF(H4&gt;0,SUMIFS(设备投入清单!I:I,设备投入清单!E:E,设备借用分摊明细!B4),0)</f>
        <v>0</v>
      </c>
      <c r="N4" s="79">
        <f>IF(L4=0,0,H4)</f>
        <v>42521.539060000003</v>
      </c>
      <c r="O4" s="80"/>
      <c r="P4" s="80"/>
      <c r="Q4" s="81"/>
      <c r="R4" s="77"/>
      <c r="S4" s="77"/>
    </row>
    <row r="5" spans="1:19">
      <c r="A5" s="92"/>
      <c r="B5" s="84" t="s">
        <v>297</v>
      </c>
      <c r="C5" s="92" t="str">
        <f>INDEX(设备投入清单!D:D,MATCH(设备借用分摊明细!B5,设备投入清单!E:E,0))</f>
        <v>Festool</v>
      </c>
      <c r="D5" s="85">
        <v>3</v>
      </c>
      <c r="E5" s="86" t="str">
        <f>INDEX(设备投入清单!C:C,MATCH(设备借用分摊明细!B5,设备投入清单!E:E,0))</f>
        <v>6058-3320/KIT</v>
      </c>
      <c r="F5" s="88">
        <f>SUMIFS(设备投入清单!F:F,设备投入清单!E:E,设备借用分摊明细!B5)</f>
        <v>16748.435839999998</v>
      </c>
      <c r="G5" s="88">
        <f t="shared" ref="G5:G13" si="1">F5*D5</f>
        <v>50245.307519999995</v>
      </c>
      <c r="H5" s="88">
        <f>G5-I5</f>
        <v>0</v>
      </c>
      <c r="I5" s="87">
        <v>50245.307519999995</v>
      </c>
      <c r="J5" s="79">
        <f>IF(H5=0,0,L5+M5)</f>
        <v>0</v>
      </c>
      <c r="K5" s="79">
        <f t="shared" si="0"/>
        <v>0</v>
      </c>
      <c r="L5" s="89">
        <f>IF(H5&gt;0,SUMIFS(设备投入清单!H:H,设备投入清单!E:E,设备借用分摊明细!B5)*D5,0)</f>
        <v>0</v>
      </c>
      <c r="M5" s="89">
        <f>IF(H5&gt;0,SUMIFS(设备投入清单!I:I,设备投入清单!E:E,设备借用分摊明细!B5),0)</f>
        <v>0</v>
      </c>
      <c r="N5" s="79">
        <f>IF(L5=0,0,H5)</f>
        <v>0</v>
      </c>
      <c r="O5" s="80"/>
      <c r="P5" s="80"/>
      <c r="Q5" s="81"/>
      <c r="R5" s="77"/>
      <c r="S5" s="77"/>
    </row>
    <row r="6" spans="1:19">
      <c r="A6" s="92"/>
      <c r="B6" s="84"/>
      <c r="C6" s="92"/>
      <c r="D6" s="85"/>
      <c r="E6" s="86"/>
      <c r="F6" s="88">
        <f>IF(E6&gt;0,IF(VLOOKUP(B6,设备投入清单!E:F,3,0)=0,VLOOKUP(B6,设备投入清单!E:F,4,0),VLOOKUP(B6,设备投入清单!E:F,3,0)),0)</f>
        <v>0</v>
      </c>
      <c r="G6" s="88">
        <f t="shared" si="1"/>
        <v>0</v>
      </c>
      <c r="H6" s="88">
        <f t="shared" ref="H6:H13" si="2">G6-I6</f>
        <v>0</v>
      </c>
      <c r="I6" s="87"/>
      <c r="J6" s="79">
        <f t="shared" ref="J6:J13" si="3">IF(H6=0,0,L6+M6)</f>
        <v>0</v>
      </c>
      <c r="K6" s="79">
        <f t="shared" si="0"/>
        <v>0</v>
      </c>
      <c r="L6" s="89">
        <f>IF(H6&gt;0,SUMIFS(设备投入清单!H:H,设备投入清单!E:E,设备借用分摊明细!B6)*D6,0)</f>
        <v>0</v>
      </c>
      <c r="M6" s="89">
        <f>IF(H6&gt;0,SUMIFS(设备投入清单!I:I,设备投入清单!E:E,设备借用分摊明细!B6),0)</f>
        <v>0</v>
      </c>
      <c r="N6" s="79">
        <f t="shared" ref="N6:N13" si="4">IF(L6=0,0,H6)</f>
        <v>0</v>
      </c>
      <c r="O6" s="80"/>
      <c r="P6" s="80"/>
      <c r="Q6" s="81"/>
      <c r="R6" s="77"/>
      <c r="S6" s="77"/>
    </row>
    <row r="7" spans="1:19">
      <c r="A7" s="92"/>
      <c r="B7" s="84"/>
      <c r="C7" s="92"/>
      <c r="D7" s="85"/>
      <c r="E7" s="86"/>
      <c r="F7" s="88">
        <f>IF(E7&gt;0,IF(VLOOKUP(B7,设备投入清单!E:F,3,0)=0,VLOOKUP(B7,设备投入清单!E:F,4,0),VLOOKUP(B7,设备投入清单!E:F,3,0)),0)</f>
        <v>0</v>
      </c>
      <c r="G7" s="88">
        <f t="shared" si="1"/>
        <v>0</v>
      </c>
      <c r="H7" s="88">
        <f t="shared" si="2"/>
        <v>0</v>
      </c>
      <c r="I7" s="87"/>
      <c r="J7" s="79">
        <f t="shared" si="3"/>
        <v>0</v>
      </c>
      <c r="K7" s="79">
        <f t="shared" si="0"/>
        <v>0</v>
      </c>
      <c r="L7" s="89">
        <f>IF(H7&gt;0,SUMIFS(设备投入清单!H:H,设备投入清单!E:E,设备借用分摊明细!B7)*D7,0)</f>
        <v>0</v>
      </c>
      <c r="M7" s="89">
        <f>IF(H7&gt;0,SUMIFS(设备投入清单!I:I,设备投入清单!E:E,设备借用分摊明细!B7),0)</f>
        <v>0</v>
      </c>
      <c r="N7" s="79">
        <f t="shared" si="4"/>
        <v>0</v>
      </c>
      <c r="O7" s="80"/>
      <c r="P7" s="80"/>
      <c r="Q7" s="81"/>
      <c r="R7" s="77"/>
      <c r="S7" s="77"/>
    </row>
    <row r="8" spans="1:19">
      <c r="A8" s="92"/>
      <c r="B8" s="84"/>
      <c r="C8" s="92"/>
      <c r="D8" s="85"/>
      <c r="E8" s="86"/>
      <c r="F8" s="88">
        <f>IF(E8&gt;0,IF(VLOOKUP(B8,设备投入清单!E:F,3,0)=0,VLOOKUP(B8,设备投入清单!E:F,4,0),VLOOKUP(B8,设备投入清单!E:F,3,0)),0)</f>
        <v>0</v>
      </c>
      <c r="G8" s="88">
        <f t="shared" si="1"/>
        <v>0</v>
      </c>
      <c r="H8" s="88">
        <f t="shared" si="2"/>
        <v>0</v>
      </c>
      <c r="I8" s="87"/>
      <c r="J8" s="79">
        <f t="shared" si="3"/>
        <v>0</v>
      </c>
      <c r="K8" s="79">
        <f t="shared" si="0"/>
        <v>0</v>
      </c>
      <c r="L8" s="89">
        <f>IF(H8&gt;0,SUMIFS(设备投入清单!H:H,设备投入清单!E:E,设备借用分摊明细!B8)*D8,0)</f>
        <v>0</v>
      </c>
      <c r="M8" s="89">
        <f>IF(H8&gt;0,SUMIFS(设备投入清单!I:I,设备投入清单!E:E,设备借用分摊明细!B8),0)</f>
        <v>0</v>
      </c>
      <c r="N8" s="79">
        <f t="shared" si="4"/>
        <v>0</v>
      </c>
      <c r="O8" s="80"/>
      <c r="P8" s="80"/>
      <c r="Q8" s="81"/>
      <c r="R8" s="77"/>
      <c r="S8" s="77"/>
    </row>
    <row r="9" spans="1:19">
      <c r="A9" s="92"/>
      <c r="B9" s="84"/>
      <c r="C9" s="92"/>
      <c r="D9" s="85"/>
      <c r="E9" s="86"/>
      <c r="F9" s="88">
        <f>IF(E9&gt;0,IF(VLOOKUP(B9,设备投入清单!E:F,3,0)=0,VLOOKUP(B9,设备投入清单!E:F,4,0),VLOOKUP(B9,设备投入清单!E:F,3,0)),0)</f>
        <v>0</v>
      </c>
      <c r="G9" s="88">
        <f t="shared" si="1"/>
        <v>0</v>
      </c>
      <c r="H9" s="88">
        <f t="shared" si="2"/>
        <v>0</v>
      </c>
      <c r="I9" s="87"/>
      <c r="J9" s="79">
        <f t="shared" si="3"/>
        <v>0</v>
      </c>
      <c r="K9" s="79">
        <f t="shared" si="0"/>
        <v>0</v>
      </c>
      <c r="L9" s="89">
        <f>IF(H9&gt;0,SUMIFS(设备投入清单!H:H,设备投入清单!E:E,设备借用分摊明细!B9)*D9,0)</f>
        <v>0</v>
      </c>
      <c r="M9" s="89">
        <f>IF(H9&gt;0,SUMIFS(设备投入清单!I:I,设备投入清单!E:E,设备借用分摊明细!B9),0)</f>
        <v>0</v>
      </c>
      <c r="N9" s="79">
        <f t="shared" si="4"/>
        <v>0</v>
      </c>
      <c r="O9" s="80"/>
      <c r="P9" s="80"/>
      <c r="Q9" s="81"/>
      <c r="R9" s="77"/>
      <c r="S9" s="77"/>
    </row>
    <row r="10" spans="1:19">
      <c r="A10" s="92"/>
      <c r="B10" s="84"/>
      <c r="C10" s="92"/>
      <c r="D10" s="85"/>
      <c r="E10" s="86"/>
      <c r="F10" s="88">
        <f>IF(E10&gt;0,IF(VLOOKUP(B10,设备投入清单!E:F,3,0)=0,VLOOKUP(B10,设备投入清单!E:F,4,0),VLOOKUP(B10,设备投入清单!E:F,3,0)),0)</f>
        <v>0</v>
      </c>
      <c r="G10" s="88">
        <f t="shared" si="1"/>
        <v>0</v>
      </c>
      <c r="H10" s="88">
        <f t="shared" si="2"/>
        <v>0</v>
      </c>
      <c r="I10" s="87"/>
      <c r="J10" s="79">
        <f t="shared" si="3"/>
        <v>0</v>
      </c>
      <c r="K10" s="79">
        <f t="shared" si="0"/>
        <v>0</v>
      </c>
      <c r="L10" s="89">
        <f>IF(H10&gt;0,SUMIFS(设备投入清单!H:H,设备投入清单!E:E,设备借用分摊明细!B10)*D10,0)</f>
        <v>0</v>
      </c>
      <c r="M10" s="89">
        <f>IF(H10&gt;0,SUMIFS(设备投入清单!I:I,设备投入清单!E:E,设备借用分摊明细!B10),0)</f>
        <v>0</v>
      </c>
      <c r="N10" s="79">
        <f t="shared" si="4"/>
        <v>0</v>
      </c>
      <c r="O10" s="80"/>
      <c r="P10" s="80"/>
      <c r="Q10" s="81"/>
      <c r="R10" s="77"/>
      <c r="S10" s="77"/>
    </row>
    <row r="11" spans="1:19">
      <c r="A11" s="92"/>
      <c r="B11" s="84"/>
      <c r="C11" s="92"/>
      <c r="D11" s="85"/>
      <c r="E11" s="86"/>
      <c r="F11" s="88">
        <f>IF(E11&gt;0,IF(VLOOKUP(B11,设备投入清单!E:F,3,0)=0,VLOOKUP(B11,设备投入清单!E:F,4,0),VLOOKUP(B11,设备投入清单!E:F,3,0)),0)</f>
        <v>0</v>
      </c>
      <c r="G11" s="88">
        <f t="shared" si="1"/>
        <v>0</v>
      </c>
      <c r="H11" s="88">
        <f t="shared" si="2"/>
        <v>0</v>
      </c>
      <c r="I11" s="87"/>
      <c r="J11" s="79">
        <f t="shared" si="3"/>
        <v>0</v>
      </c>
      <c r="K11" s="79">
        <f t="shared" si="0"/>
        <v>0</v>
      </c>
      <c r="L11" s="89">
        <f>IF(H11&gt;0,SUMIFS(设备投入清单!H:H,设备投入清单!E:E,设备借用分摊明细!B11)*D11,0)</f>
        <v>0</v>
      </c>
      <c r="M11" s="89">
        <f>IF(H11&gt;0,SUMIFS(设备投入清单!I:I,设备投入清单!E:E,设备借用分摊明细!B11),0)</f>
        <v>0</v>
      </c>
      <c r="N11" s="79">
        <f t="shared" si="4"/>
        <v>0</v>
      </c>
      <c r="O11" s="80"/>
      <c r="P11" s="80"/>
      <c r="Q11" s="81"/>
      <c r="R11" s="77"/>
      <c r="S11" s="77"/>
    </row>
    <row r="12" spans="1:19">
      <c r="A12" s="92"/>
      <c r="B12" s="84"/>
      <c r="C12" s="92"/>
      <c r="D12" s="85"/>
      <c r="E12" s="86"/>
      <c r="F12" s="88">
        <f>IF(E12&gt;0,IF(VLOOKUP(B12,设备投入清单!E:F,3,0)=0,VLOOKUP(B12,设备投入清单!E:F,4,0),VLOOKUP(B12,设备投入清单!E:F,3,0)),0)</f>
        <v>0</v>
      </c>
      <c r="G12" s="88">
        <f t="shared" si="1"/>
        <v>0</v>
      </c>
      <c r="H12" s="88">
        <f t="shared" si="2"/>
        <v>0</v>
      </c>
      <c r="I12" s="87"/>
      <c r="J12" s="79">
        <f t="shared" si="3"/>
        <v>0</v>
      </c>
      <c r="K12" s="79">
        <f t="shared" si="0"/>
        <v>0</v>
      </c>
      <c r="L12" s="89">
        <f>IF(H12&gt;0,SUMIFS(设备投入清单!H:H,设备投入清单!E:E,设备借用分摊明细!B12)*D12,0)</f>
        <v>0</v>
      </c>
      <c r="M12" s="89">
        <f>IF(H12&gt;0,SUMIFS(设备投入清单!I:I,设备投入清单!E:E,设备借用分摊明细!B12),0)</f>
        <v>0</v>
      </c>
      <c r="N12" s="79">
        <f t="shared" si="4"/>
        <v>0</v>
      </c>
      <c r="O12" s="80"/>
      <c r="P12" s="80"/>
      <c r="Q12" s="81"/>
      <c r="R12" s="77"/>
      <c r="S12" s="77"/>
    </row>
    <row r="13" spans="1:19">
      <c r="A13" s="92"/>
      <c r="B13" s="84"/>
      <c r="C13" s="92"/>
      <c r="D13" s="85"/>
      <c r="E13" s="86"/>
      <c r="F13" s="88">
        <f>IF(E13&gt;0,IF(VLOOKUP(B13,设备投入清单!E:F,3,0)=0,VLOOKUP(B13,设备投入清单!E:F,4,0),VLOOKUP(B13,设备投入清单!E:F,3,0)),0)</f>
        <v>0</v>
      </c>
      <c r="G13" s="88">
        <f t="shared" si="1"/>
        <v>0</v>
      </c>
      <c r="H13" s="88">
        <f t="shared" si="2"/>
        <v>0</v>
      </c>
      <c r="I13" s="87"/>
      <c r="J13" s="79">
        <f t="shared" si="3"/>
        <v>0</v>
      </c>
      <c r="K13" s="79">
        <f t="shared" si="0"/>
        <v>0</v>
      </c>
      <c r="L13" s="89">
        <f>IF(H13&gt;0,SUMIFS(设备投入清单!H:H,设备投入清单!E:E,设备借用分摊明细!B13)*D13,0)</f>
        <v>0</v>
      </c>
      <c r="M13" s="89">
        <f>IF(H13&gt;0,SUMIFS(设备投入清单!I:I,设备投入清单!E:E,设备借用分摊明细!B13),0)</f>
        <v>0</v>
      </c>
      <c r="N13" s="79">
        <f t="shared" si="4"/>
        <v>0</v>
      </c>
      <c r="O13" s="80"/>
      <c r="P13" s="80"/>
      <c r="Q13" s="81"/>
      <c r="R13" s="77"/>
      <c r="S13" s="77"/>
    </row>
    <row r="14" spans="1:19" ht="21" thickBot="1">
      <c r="A14" s="76" t="s">
        <v>167</v>
      </c>
      <c r="J14" s="78"/>
      <c r="K14" s="78"/>
    </row>
    <row r="15" spans="1:19" ht="14.4">
      <c r="A15" s="330" t="s">
        <v>147</v>
      </c>
      <c r="B15" s="329" t="s">
        <v>148</v>
      </c>
      <c r="C15" s="330" t="s">
        <v>149</v>
      </c>
      <c r="D15" s="330" t="s">
        <v>150</v>
      </c>
      <c r="E15" s="330" t="s">
        <v>151</v>
      </c>
      <c r="F15" s="328" t="s">
        <v>152</v>
      </c>
      <c r="G15" s="329"/>
      <c r="H15" s="328" t="s">
        <v>153</v>
      </c>
      <c r="I15" s="329"/>
      <c r="J15" s="79"/>
      <c r="K15" s="79"/>
      <c r="P15" s="80"/>
      <c r="R15" s="81"/>
      <c r="S15" s="77"/>
    </row>
    <row r="16" spans="1:19" ht="14.4">
      <c r="A16" s="331"/>
      <c r="B16" s="332"/>
      <c r="C16" s="331"/>
      <c r="D16" s="331"/>
      <c r="E16" s="331"/>
      <c r="F16" s="82" t="s">
        <v>154</v>
      </c>
      <c r="G16" s="82" t="s">
        <v>155</v>
      </c>
      <c r="H16" s="82" t="s">
        <v>156</v>
      </c>
      <c r="I16" s="82" t="s">
        <v>157</v>
      </c>
      <c r="J16" s="79" t="s">
        <v>158</v>
      </c>
      <c r="K16" s="79" t="s">
        <v>159</v>
      </c>
      <c r="L16" s="79" t="s">
        <v>160</v>
      </c>
      <c r="M16" s="79" t="s">
        <v>161</v>
      </c>
      <c r="N16" s="79" t="s">
        <v>162</v>
      </c>
      <c r="O16" s="80"/>
      <c r="P16" s="80"/>
      <c r="Q16" s="81"/>
      <c r="R16" s="77"/>
      <c r="S16" s="77"/>
    </row>
    <row r="17" spans="1:19">
      <c r="A17" s="92"/>
      <c r="B17" s="91"/>
      <c r="C17" s="83"/>
      <c r="D17" s="85"/>
      <c r="E17" s="85"/>
      <c r="F17" s="90"/>
      <c r="G17" s="90"/>
      <c r="H17" s="90"/>
      <c r="I17" s="90"/>
      <c r="J17" s="79">
        <f>H17/1.13</f>
        <v>0</v>
      </c>
      <c r="K17" s="79">
        <f>IF(D17&gt;0,J17/D17,0)</f>
        <v>0</v>
      </c>
      <c r="L17" s="79">
        <f>IF(K17&lt;5000,J17,0)</f>
        <v>0</v>
      </c>
      <c r="M17" s="79">
        <f>IF(K17&gt;5000,J17,0)</f>
        <v>0</v>
      </c>
      <c r="N17" s="79">
        <f>IF(L17=0,0,H17)</f>
        <v>0</v>
      </c>
      <c r="O17" s="80"/>
      <c r="P17" s="80"/>
      <c r="Q17" s="81"/>
      <c r="R17" s="77"/>
      <c r="S17" s="77"/>
    </row>
    <row r="18" spans="1:19">
      <c r="A18" s="92"/>
      <c r="B18" s="91"/>
      <c r="C18" s="83"/>
      <c r="D18" s="85"/>
      <c r="E18" s="85"/>
      <c r="F18" s="90"/>
      <c r="G18" s="90"/>
      <c r="H18" s="90"/>
      <c r="I18" s="90"/>
      <c r="J18" s="79">
        <f t="shared" ref="J18:J29" si="5">H18/1.13</f>
        <v>0</v>
      </c>
      <c r="K18" s="79">
        <f t="shared" ref="K18:K29" si="6">IF(D18&gt;0,J18/D18,0)</f>
        <v>0</v>
      </c>
      <c r="L18" s="79">
        <f t="shared" ref="L18:L29" si="7">IF(K18&lt;5000,J18,0)</f>
        <v>0</v>
      </c>
      <c r="M18" s="79">
        <f t="shared" ref="M18:M29" si="8">IF(K18&gt;5000,J18,0)</f>
        <v>0</v>
      </c>
      <c r="N18" s="79">
        <f t="shared" ref="N18:N29" si="9">IF(L18=0,0,H18)</f>
        <v>0</v>
      </c>
      <c r="O18" s="80"/>
      <c r="P18" s="80"/>
      <c r="Q18" s="81"/>
      <c r="R18" s="77"/>
      <c r="S18" s="77"/>
    </row>
    <row r="19" spans="1:19">
      <c r="A19" s="92"/>
      <c r="B19" s="91"/>
      <c r="C19" s="83"/>
      <c r="D19" s="85"/>
      <c r="E19" s="85"/>
      <c r="F19" s="90"/>
      <c r="G19" s="90"/>
      <c r="H19" s="90"/>
      <c r="I19" s="90"/>
      <c r="J19" s="79">
        <f t="shared" si="5"/>
        <v>0</v>
      </c>
      <c r="K19" s="79">
        <f t="shared" si="6"/>
        <v>0</v>
      </c>
      <c r="L19" s="79">
        <f t="shared" si="7"/>
        <v>0</v>
      </c>
      <c r="M19" s="79">
        <f t="shared" si="8"/>
        <v>0</v>
      </c>
      <c r="N19" s="79">
        <f t="shared" si="9"/>
        <v>0</v>
      </c>
      <c r="O19" s="80"/>
      <c r="P19" s="80"/>
      <c r="Q19" s="81"/>
      <c r="R19" s="77"/>
      <c r="S19" s="77"/>
    </row>
    <row r="20" spans="1:19">
      <c r="A20" s="92"/>
      <c r="B20" s="91"/>
      <c r="C20" s="83"/>
      <c r="D20" s="85"/>
      <c r="E20" s="85"/>
      <c r="F20" s="90"/>
      <c r="G20" s="90"/>
      <c r="H20" s="90"/>
      <c r="I20" s="90"/>
      <c r="J20" s="79">
        <f t="shared" si="5"/>
        <v>0</v>
      </c>
      <c r="K20" s="79">
        <f t="shared" si="6"/>
        <v>0</v>
      </c>
      <c r="L20" s="79">
        <f t="shared" si="7"/>
        <v>0</v>
      </c>
      <c r="M20" s="79">
        <f t="shared" si="8"/>
        <v>0</v>
      </c>
      <c r="N20" s="79">
        <f t="shared" si="9"/>
        <v>0</v>
      </c>
      <c r="O20" s="80"/>
      <c r="P20" s="80"/>
      <c r="Q20" s="81"/>
      <c r="R20" s="77"/>
      <c r="S20" s="77"/>
    </row>
    <row r="21" spans="1:19">
      <c r="A21" s="92"/>
      <c r="B21" s="91"/>
      <c r="C21" s="83"/>
      <c r="D21" s="85"/>
      <c r="E21" s="85"/>
      <c r="F21" s="90"/>
      <c r="G21" s="90"/>
      <c r="H21" s="90"/>
      <c r="I21" s="90"/>
      <c r="J21" s="79">
        <f t="shared" si="5"/>
        <v>0</v>
      </c>
      <c r="K21" s="79">
        <f t="shared" si="6"/>
        <v>0</v>
      </c>
      <c r="L21" s="79">
        <f t="shared" si="7"/>
        <v>0</v>
      </c>
      <c r="M21" s="79">
        <f t="shared" si="8"/>
        <v>0</v>
      </c>
      <c r="N21" s="79">
        <f t="shared" si="9"/>
        <v>0</v>
      </c>
      <c r="O21" s="80"/>
      <c r="P21" s="80"/>
      <c r="Q21" s="81"/>
      <c r="R21" s="77"/>
      <c r="S21" s="77"/>
    </row>
    <row r="22" spans="1:19">
      <c r="A22" s="92"/>
      <c r="B22" s="91"/>
      <c r="C22" s="83"/>
      <c r="D22" s="85"/>
      <c r="E22" s="85"/>
      <c r="F22" s="90"/>
      <c r="G22" s="90"/>
      <c r="H22" s="90"/>
      <c r="I22" s="90"/>
      <c r="J22" s="79">
        <f t="shared" si="5"/>
        <v>0</v>
      </c>
      <c r="K22" s="79">
        <f t="shared" si="6"/>
        <v>0</v>
      </c>
      <c r="L22" s="79">
        <f t="shared" si="7"/>
        <v>0</v>
      </c>
      <c r="M22" s="79">
        <f t="shared" si="8"/>
        <v>0</v>
      </c>
      <c r="N22" s="79">
        <f t="shared" si="9"/>
        <v>0</v>
      </c>
      <c r="O22" s="80"/>
      <c r="P22" s="80"/>
      <c r="Q22" s="81"/>
      <c r="R22" s="77"/>
      <c r="S22" s="77"/>
    </row>
    <row r="23" spans="1:19">
      <c r="A23" s="92"/>
      <c r="B23" s="91"/>
      <c r="C23" s="83"/>
      <c r="D23" s="85"/>
      <c r="E23" s="85"/>
      <c r="F23" s="90"/>
      <c r="G23" s="90"/>
      <c r="H23" s="90"/>
      <c r="I23" s="90"/>
      <c r="J23" s="79">
        <f t="shared" si="5"/>
        <v>0</v>
      </c>
      <c r="K23" s="79">
        <f t="shared" si="6"/>
        <v>0</v>
      </c>
      <c r="L23" s="79">
        <f t="shared" si="7"/>
        <v>0</v>
      </c>
      <c r="M23" s="79">
        <f t="shared" si="8"/>
        <v>0</v>
      </c>
      <c r="N23" s="79">
        <f t="shared" si="9"/>
        <v>0</v>
      </c>
      <c r="O23" s="80"/>
      <c r="P23" s="80"/>
      <c r="Q23" s="81"/>
      <c r="R23" s="77"/>
      <c r="S23" s="77"/>
    </row>
    <row r="24" spans="1:19">
      <c r="A24" s="92"/>
      <c r="B24" s="91"/>
      <c r="C24" s="83"/>
      <c r="D24" s="85"/>
      <c r="E24" s="85"/>
      <c r="F24" s="90"/>
      <c r="G24" s="90"/>
      <c r="H24" s="90"/>
      <c r="I24" s="90"/>
      <c r="J24" s="79">
        <f t="shared" si="5"/>
        <v>0</v>
      </c>
      <c r="K24" s="79">
        <f t="shared" si="6"/>
        <v>0</v>
      </c>
      <c r="L24" s="79">
        <f t="shared" si="7"/>
        <v>0</v>
      </c>
      <c r="M24" s="79">
        <f t="shared" si="8"/>
        <v>0</v>
      </c>
      <c r="N24" s="79">
        <f t="shared" si="9"/>
        <v>0</v>
      </c>
      <c r="O24" s="80"/>
      <c r="P24" s="80"/>
      <c r="Q24" s="81"/>
      <c r="R24" s="77"/>
      <c r="S24" s="77"/>
    </row>
    <row r="25" spans="1:19">
      <c r="A25" s="92"/>
      <c r="B25" s="91"/>
      <c r="C25" s="83"/>
      <c r="D25" s="85"/>
      <c r="E25" s="85"/>
      <c r="F25" s="90"/>
      <c r="G25" s="90"/>
      <c r="H25" s="90"/>
      <c r="I25" s="90"/>
      <c r="J25" s="79">
        <f t="shared" si="5"/>
        <v>0</v>
      </c>
      <c r="K25" s="79">
        <f t="shared" si="6"/>
        <v>0</v>
      </c>
      <c r="L25" s="79">
        <f t="shared" si="7"/>
        <v>0</v>
      </c>
      <c r="M25" s="79">
        <f t="shared" si="8"/>
        <v>0</v>
      </c>
      <c r="N25" s="79">
        <f t="shared" si="9"/>
        <v>0</v>
      </c>
      <c r="O25" s="80"/>
      <c r="P25" s="80"/>
      <c r="Q25" s="81"/>
      <c r="R25" s="77"/>
      <c r="S25" s="77"/>
    </row>
    <row r="26" spans="1:19">
      <c r="A26" s="92"/>
      <c r="B26" s="91"/>
      <c r="C26" s="83"/>
      <c r="D26" s="85"/>
      <c r="E26" s="85"/>
      <c r="F26" s="90"/>
      <c r="G26" s="90"/>
      <c r="H26" s="90"/>
      <c r="I26" s="90"/>
      <c r="J26" s="79">
        <f t="shared" si="5"/>
        <v>0</v>
      </c>
      <c r="K26" s="79">
        <f t="shared" si="6"/>
        <v>0</v>
      </c>
      <c r="L26" s="79">
        <f t="shared" si="7"/>
        <v>0</v>
      </c>
      <c r="M26" s="79">
        <f t="shared" si="8"/>
        <v>0</v>
      </c>
      <c r="N26" s="79">
        <f t="shared" si="9"/>
        <v>0</v>
      </c>
      <c r="O26" s="80"/>
      <c r="P26" s="80"/>
      <c r="Q26" s="81"/>
      <c r="R26" s="77"/>
      <c r="S26" s="77"/>
    </row>
    <row r="27" spans="1:19">
      <c r="A27" s="92"/>
      <c r="B27" s="91"/>
      <c r="C27" s="83"/>
      <c r="D27" s="85"/>
      <c r="E27" s="85"/>
      <c r="F27" s="90"/>
      <c r="G27" s="90"/>
      <c r="H27" s="90"/>
      <c r="I27" s="90"/>
      <c r="J27" s="79">
        <f t="shared" si="5"/>
        <v>0</v>
      </c>
      <c r="K27" s="79">
        <f t="shared" si="6"/>
        <v>0</v>
      </c>
      <c r="L27" s="79">
        <f t="shared" si="7"/>
        <v>0</v>
      </c>
      <c r="M27" s="79">
        <f t="shared" si="8"/>
        <v>0</v>
      </c>
      <c r="N27" s="79">
        <f t="shared" si="9"/>
        <v>0</v>
      </c>
      <c r="O27" s="80"/>
      <c r="P27" s="80"/>
      <c r="Q27" s="81"/>
      <c r="R27" s="77"/>
      <c r="S27" s="77"/>
    </row>
    <row r="28" spans="1:19">
      <c r="A28" s="92"/>
      <c r="B28" s="91"/>
      <c r="C28" s="83"/>
      <c r="D28" s="85"/>
      <c r="E28" s="85"/>
      <c r="F28" s="90"/>
      <c r="G28" s="90"/>
      <c r="H28" s="90"/>
      <c r="I28" s="90"/>
      <c r="J28" s="79">
        <f t="shared" si="5"/>
        <v>0</v>
      </c>
      <c r="K28" s="79">
        <f t="shared" si="6"/>
        <v>0</v>
      </c>
      <c r="L28" s="79">
        <f t="shared" si="7"/>
        <v>0</v>
      </c>
      <c r="M28" s="79">
        <f t="shared" si="8"/>
        <v>0</v>
      </c>
      <c r="N28" s="79">
        <f t="shared" si="9"/>
        <v>0</v>
      </c>
      <c r="O28" s="80"/>
      <c r="P28" s="80"/>
      <c r="Q28" s="81"/>
      <c r="R28" s="77"/>
      <c r="S28" s="77"/>
    </row>
    <row r="29" spans="1:19">
      <c r="A29" s="92"/>
      <c r="B29" s="91"/>
      <c r="C29" s="83"/>
      <c r="D29" s="85"/>
      <c r="E29" s="85"/>
      <c r="F29" s="90"/>
      <c r="G29" s="90"/>
      <c r="H29" s="90"/>
      <c r="I29" s="90"/>
      <c r="J29" s="79">
        <f t="shared" si="5"/>
        <v>0</v>
      </c>
      <c r="K29" s="79">
        <f t="shared" si="6"/>
        <v>0</v>
      </c>
      <c r="L29" s="79">
        <f t="shared" si="7"/>
        <v>0</v>
      </c>
      <c r="M29" s="79">
        <f t="shared" si="8"/>
        <v>0</v>
      </c>
      <c r="N29" s="79">
        <f t="shared" si="9"/>
        <v>0</v>
      </c>
      <c r="O29" s="80"/>
      <c r="P29" s="80"/>
      <c r="Q29" s="81"/>
      <c r="R29" s="77"/>
      <c r="S29" s="77"/>
    </row>
  </sheetData>
  <mergeCells count="14">
    <mergeCell ref="F2:G2"/>
    <mergeCell ref="H2:I2"/>
    <mergeCell ref="H15:I15"/>
    <mergeCell ref="F15:G15"/>
    <mergeCell ref="A15:A16"/>
    <mergeCell ref="B15:B16"/>
    <mergeCell ref="C15:C16"/>
    <mergeCell ref="D15:D16"/>
    <mergeCell ref="E15:E16"/>
    <mergeCell ref="A2:A3"/>
    <mergeCell ref="B2:B3"/>
    <mergeCell ref="C2:C3"/>
    <mergeCell ref="D2:D3"/>
    <mergeCell ref="E2:E3"/>
  </mergeCells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28EB8F-FB62-4297-AA84-904C16C9988A}">
          <x14:formula1>
            <xm:f>设备投入清单!$E$2:$E$71</xm:f>
          </x14:formula1>
          <xm:sqref>B4:B13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4286-44BC-4166-AB2D-EB939D6844C7}">
  <dimension ref="A2:G31"/>
  <sheetViews>
    <sheetView topLeftCell="A7" workbookViewId="0">
      <selection activeCell="G3" sqref="G1:G1048576"/>
    </sheetView>
  </sheetViews>
  <sheetFormatPr defaultRowHeight="15"/>
  <cols>
    <col min="1" max="1" width="26.44140625" style="93" customWidth="1"/>
    <col min="2" max="2" width="18.21875" style="93" customWidth="1"/>
    <col min="3" max="3" width="16.77734375" style="93" customWidth="1"/>
    <col min="4" max="4" width="17.44140625" style="93" customWidth="1"/>
    <col min="5" max="5" width="19" style="94" customWidth="1"/>
    <col min="6" max="6" width="18.33203125" style="93" bestFit="1" customWidth="1"/>
    <col min="7" max="7" width="12.44140625" style="93" customWidth="1"/>
    <col min="8" max="254" width="8.44140625" style="93"/>
    <col min="255" max="255" width="26.44140625" style="93" customWidth="1"/>
    <col min="256" max="256" width="18.21875" style="93" customWidth="1"/>
    <col min="257" max="257" width="16.77734375" style="93" customWidth="1"/>
    <col min="258" max="258" width="17.44140625" style="93" customWidth="1"/>
    <col min="259" max="259" width="19" style="93" customWidth="1"/>
    <col min="260" max="260" width="8.44140625" style="93"/>
    <col min="261" max="261" width="10.44140625" style="93" customWidth="1"/>
    <col min="262" max="510" width="8.44140625" style="93"/>
    <col min="511" max="511" width="26.44140625" style="93" customWidth="1"/>
    <col min="512" max="512" width="18.21875" style="93" customWidth="1"/>
    <col min="513" max="513" width="16.77734375" style="93" customWidth="1"/>
    <col min="514" max="514" width="17.44140625" style="93" customWidth="1"/>
    <col min="515" max="515" width="19" style="93" customWidth="1"/>
    <col min="516" max="516" width="8.44140625" style="93"/>
    <col min="517" max="517" width="10.44140625" style="93" customWidth="1"/>
    <col min="518" max="766" width="8.44140625" style="93"/>
    <col min="767" max="767" width="26.44140625" style="93" customWidth="1"/>
    <col min="768" max="768" width="18.21875" style="93" customWidth="1"/>
    <col min="769" max="769" width="16.77734375" style="93" customWidth="1"/>
    <col min="770" max="770" width="17.44140625" style="93" customWidth="1"/>
    <col min="771" max="771" width="19" style="93" customWidth="1"/>
    <col min="772" max="772" width="8.44140625" style="93"/>
    <col min="773" max="773" width="10.44140625" style="93" customWidth="1"/>
    <col min="774" max="1022" width="8.44140625" style="93"/>
    <col min="1023" max="1023" width="26.44140625" style="93" customWidth="1"/>
    <col min="1024" max="1024" width="18.21875" style="93" customWidth="1"/>
    <col min="1025" max="1025" width="16.77734375" style="93" customWidth="1"/>
    <col min="1026" max="1026" width="17.44140625" style="93" customWidth="1"/>
    <col min="1027" max="1027" width="19" style="93" customWidth="1"/>
    <col min="1028" max="1028" width="8.44140625" style="93"/>
    <col min="1029" max="1029" width="10.44140625" style="93" customWidth="1"/>
    <col min="1030" max="1278" width="8.44140625" style="93"/>
    <col min="1279" max="1279" width="26.44140625" style="93" customWidth="1"/>
    <col min="1280" max="1280" width="18.21875" style="93" customWidth="1"/>
    <col min="1281" max="1281" width="16.77734375" style="93" customWidth="1"/>
    <col min="1282" max="1282" width="17.44140625" style="93" customWidth="1"/>
    <col min="1283" max="1283" width="19" style="93" customWidth="1"/>
    <col min="1284" max="1284" width="8.44140625" style="93"/>
    <col min="1285" max="1285" width="10.44140625" style="93" customWidth="1"/>
    <col min="1286" max="1534" width="8.44140625" style="93"/>
    <col min="1535" max="1535" width="26.44140625" style="93" customWidth="1"/>
    <col min="1536" max="1536" width="18.21875" style="93" customWidth="1"/>
    <col min="1537" max="1537" width="16.77734375" style="93" customWidth="1"/>
    <col min="1538" max="1538" width="17.44140625" style="93" customWidth="1"/>
    <col min="1539" max="1539" width="19" style="93" customWidth="1"/>
    <col min="1540" max="1540" width="8.44140625" style="93"/>
    <col min="1541" max="1541" width="10.44140625" style="93" customWidth="1"/>
    <col min="1542" max="1790" width="8.44140625" style="93"/>
    <col min="1791" max="1791" width="26.44140625" style="93" customWidth="1"/>
    <col min="1792" max="1792" width="18.21875" style="93" customWidth="1"/>
    <col min="1793" max="1793" width="16.77734375" style="93" customWidth="1"/>
    <col min="1794" max="1794" width="17.44140625" style="93" customWidth="1"/>
    <col min="1795" max="1795" width="19" style="93" customWidth="1"/>
    <col min="1796" max="1796" width="8.44140625" style="93"/>
    <col min="1797" max="1797" width="10.44140625" style="93" customWidth="1"/>
    <col min="1798" max="2046" width="8.44140625" style="93"/>
    <col min="2047" max="2047" width="26.44140625" style="93" customWidth="1"/>
    <col min="2048" max="2048" width="18.21875" style="93" customWidth="1"/>
    <col min="2049" max="2049" width="16.77734375" style="93" customWidth="1"/>
    <col min="2050" max="2050" width="17.44140625" style="93" customWidth="1"/>
    <col min="2051" max="2051" width="19" style="93" customWidth="1"/>
    <col min="2052" max="2052" width="8.44140625" style="93"/>
    <col min="2053" max="2053" width="10.44140625" style="93" customWidth="1"/>
    <col min="2054" max="2302" width="8.44140625" style="93"/>
    <col min="2303" max="2303" width="26.44140625" style="93" customWidth="1"/>
    <col min="2304" max="2304" width="18.21875" style="93" customWidth="1"/>
    <col min="2305" max="2305" width="16.77734375" style="93" customWidth="1"/>
    <col min="2306" max="2306" width="17.44140625" style="93" customWidth="1"/>
    <col min="2307" max="2307" width="19" style="93" customWidth="1"/>
    <col min="2308" max="2308" width="8.44140625" style="93"/>
    <col min="2309" max="2309" width="10.44140625" style="93" customWidth="1"/>
    <col min="2310" max="2558" width="8.44140625" style="93"/>
    <col min="2559" max="2559" width="26.44140625" style="93" customWidth="1"/>
    <col min="2560" max="2560" width="18.21875" style="93" customWidth="1"/>
    <col min="2561" max="2561" width="16.77734375" style="93" customWidth="1"/>
    <col min="2562" max="2562" width="17.44140625" style="93" customWidth="1"/>
    <col min="2563" max="2563" width="19" style="93" customWidth="1"/>
    <col min="2564" max="2564" width="8.44140625" style="93"/>
    <col min="2565" max="2565" width="10.44140625" style="93" customWidth="1"/>
    <col min="2566" max="2814" width="8.44140625" style="93"/>
    <col min="2815" max="2815" width="26.44140625" style="93" customWidth="1"/>
    <col min="2816" max="2816" width="18.21875" style="93" customWidth="1"/>
    <col min="2817" max="2817" width="16.77734375" style="93" customWidth="1"/>
    <col min="2818" max="2818" width="17.44140625" style="93" customWidth="1"/>
    <col min="2819" max="2819" width="19" style="93" customWidth="1"/>
    <col min="2820" max="2820" width="8.44140625" style="93"/>
    <col min="2821" max="2821" width="10.44140625" style="93" customWidth="1"/>
    <col min="2822" max="3070" width="8.44140625" style="93"/>
    <col min="3071" max="3071" width="26.44140625" style="93" customWidth="1"/>
    <col min="3072" max="3072" width="18.21875" style="93" customWidth="1"/>
    <col min="3073" max="3073" width="16.77734375" style="93" customWidth="1"/>
    <col min="3074" max="3074" width="17.44140625" style="93" customWidth="1"/>
    <col min="3075" max="3075" width="19" style="93" customWidth="1"/>
    <col min="3076" max="3076" width="8.44140625" style="93"/>
    <col min="3077" max="3077" width="10.44140625" style="93" customWidth="1"/>
    <col min="3078" max="3326" width="8.44140625" style="93"/>
    <col min="3327" max="3327" width="26.44140625" style="93" customWidth="1"/>
    <col min="3328" max="3328" width="18.21875" style="93" customWidth="1"/>
    <col min="3329" max="3329" width="16.77734375" style="93" customWidth="1"/>
    <col min="3330" max="3330" width="17.44140625" style="93" customWidth="1"/>
    <col min="3331" max="3331" width="19" style="93" customWidth="1"/>
    <col min="3332" max="3332" width="8.44140625" style="93"/>
    <col min="3333" max="3333" width="10.44140625" style="93" customWidth="1"/>
    <col min="3334" max="3582" width="8.44140625" style="93"/>
    <col min="3583" max="3583" width="26.44140625" style="93" customWidth="1"/>
    <col min="3584" max="3584" width="18.21875" style="93" customWidth="1"/>
    <col min="3585" max="3585" width="16.77734375" style="93" customWidth="1"/>
    <col min="3586" max="3586" width="17.44140625" style="93" customWidth="1"/>
    <col min="3587" max="3587" width="19" style="93" customWidth="1"/>
    <col min="3588" max="3588" width="8.44140625" style="93"/>
    <col min="3589" max="3589" width="10.44140625" style="93" customWidth="1"/>
    <col min="3590" max="3838" width="8.44140625" style="93"/>
    <col min="3839" max="3839" width="26.44140625" style="93" customWidth="1"/>
    <col min="3840" max="3840" width="18.21875" style="93" customWidth="1"/>
    <col min="3841" max="3841" width="16.77734375" style="93" customWidth="1"/>
    <col min="3842" max="3842" width="17.44140625" style="93" customWidth="1"/>
    <col min="3843" max="3843" width="19" style="93" customWidth="1"/>
    <col min="3844" max="3844" width="8.44140625" style="93"/>
    <col min="3845" max="3845" width="10.44140625" style="93" customWidth="1"/>
    <col min="3846" max="4094" width="8.44140625" style="93"/>
    <col min="4095" max="4095" width="26.44140625" style="93" customWidth="1"/>
    <col min="4096" max="4096" width="18.21875" style="93" customWidth="1"/>
    <col min="4097" max="4097" width="16.77734375" style="93" customWidth="1"/>
    <col min="4098" max="4098" width="17.44140625" style="93" customWidth="1"/>
    <col min="4099" max="4099" width="19" style="93" customWidth="1"/>
    <col min="4100" max="4100" width="8.44140625" style="93"/>
    <col min="4101" max="4101" width="10.44140625" style="93" customWidth="1"/>
    <col min="4102" max="4350" width="8.44140625" style="93"/>
    <col min="4351" max="4351" width="26.44140625" style="93" customWidth="1"/>
    <col min="4352" max="4352" width="18.21875" style="93" customWidth="1"/>
    <col min="4353" max="4353" width="16.77734375" style="93" customWidth="1"/>
    <col min="4354" max="4354" width="17.44140625" style="93" customWidth="1"/>
    <col min="4355" max="4355" width="19" style="93" customWidth="1"/>
    <col min="4356" max="4356" width="8.44140625" style="93"/>
    <col min="4357" max="4357" width="10.44140625" style="93" customWidth="1"/>
    <col min="4358" max="4606" width="8.44140625" style="93"/>
    <col min="4607" max="4607" width="26.44140625" style="93" customWidth="1"/>
    <col min="4608" max="4608" width="18.21875" style="93" customWidth="1"/>
    <col min="4609" max="4609" width="16.77734375" style="93" customWidth="1"/>
    <col min="4610" max="4610" width="17.44140625" style="93" customWidth="1"/>
    <col min="4611" max="4611" width="19" style="93" customWidth="1"/>
    <col min="4612" max="4612" width="8.44140625" style="93"/>
    <col min="4613" max="4613" width="10.44140625" style="93" customWidth="1"/>
    <col min="4614" max="4862" width="8.44140625" style="93"/>
    <col min="4863" max="4863" width="26.44140625" style="93" customWidth="1"/>
    <col min="4864" max="4864" width="18.21875" style="93" customWidth="1"/>
    <col min="4865" max="4865" width="16.77734375" style="93" customWidth="1"/>
    <col min="4866" max="4866" width="17.44140625" style="93" customWidth="1"/>
    <col min="4867" max="4867" width="19" style="93" customWidth="1"/>
    <col min="4868" max="4868" width="8.44140625" style="93"/>
    <col min="4869" max="4869" width="10.44140625" style="93" customWidth="1"/>
    <col min="4870" max="5118" width="8.44140625" style="93"/>
    <col min="5119" max="5119" width="26.44140625" style="93" customWidth="1"/>
    <col min="5120" max="5120" width="18.21875" style="93" customWidth="1"/>
    <col min="5121" max="5121" width="16.77734375" style="93" customWidth="1"/>
    <col min="5122" max="5122" width="17.44140625" style="93" customWidth="1"/>
    <col min="5123" max="5123" width="19" style="93" customWidth="1"/>
    <col min="5124" max="5124" width="8.44140625" style="93"/>
    <col min="5125" max="5125" width="10.44140625" style="93" customWidth="1"/>
    <col min="5126" max="5374" width="8.44140625" style="93"/>
    <col min="5375" max="5375" width="26.44140625" style="93" customWidth="1"/>
    <col min="5376" max="5376" width="18.21875" style="93" customWidth="1"/>
    <col min="5377" max="5377" width="16.77734375" style="93" customWidth="1"/>
    <col min="5378" max="5378" width="17.44140625" style="93" customWidth="1"/>
    <col min="5379" max="5379" width="19" style="93" customWidth="1"/>
    <col min="5380" max="5380" width="8.44140625" style="93"/>
    <col min="5381" max="5381" width="10.44140625" style="93" customWidth="1"/>
    <col min="5382" max="5630" width="8.44140625" style="93"/>
    <col min="5631" max="5631" width="26.44140625" style="93" customWidth="1"/>
    <col min="5632" max="5632" width="18.21875" style="93" customWidth="1"/>
    <col min="5633" max="5633" width="16.77734375" style="93" customWidth="1"/>
    <col min="5634" max="5634" width="17.44140625" style="93" customWidth="1"/>
    <col min="5635" max="5635" width="19" style="93" customWidth="1"/>
    <col min="5636" max="5636" width="8.44140625" style="93"/>
    <col min="5637" max="5637" width="10.44140625" style="93" customWidth="1"/>
    <col min="5638" max="5886" width="8.44140625" style="93"/>
    <col min="5887" max="5887" width="26.44140625" style="93" customWidth="1"/>
    <col min="5888" max="5888" width="18.21875" style="93" customWidth="1"/>
    <col min="5889" max="5889" width="16.77734375" style="93" customWidth="1"/>
    <col min="5890" max="5890" width="17.44140625" style="93" customWidth="1"/>
    <col min="5891" max="5891" width="19" style="93" customWidth="1"/>
    <col min="5892" max="5892" width="8.44140625" style="93"/>
    <col min="5893" max="5893" width="10.44140625" style="93" customWidth="1"/>
    <col min="5894" max="6142" width="8.44140625" style="93"/>
    <col min="6143" max="6143" width="26.44140625" style="93" customWidth="1"/>
    <col min="6144" max="6144" width="18.21875" style="93" customWidth="1"/>
    <col min="6145" max="6145" width="16.77734375" style="93" customWidth="1"/>
    <col min="6146" max="6146" width="17.44140625" style="93" customWidth="1"/>
    <col min="6147" max="6147" width="19" style="93" customWidth="1"/>
    <col min="6148" max="6148" width="8.44140625" style="93"/>
    <col min="6149" max="6149" width="10.44140625" style="93" customWidth="1"/>
    <col min="6150" max="6398" width="8.44140625" style="93"/>
    <col min="6399" max="6399" width="26.44140625" style="93" customWidth="1"/>
    <col min="6400" max="6400" width="18.21875" style="93" customWidth="1"/>
    <col min="6401" max="6401" width="16.77734375" style="93" customWidth="1"/>
    <col min="6402" max="6402" width="17.44140625" style="93" customWidth="1"/>
    <col min="6403" max="6403" width="19" style="93" customWidth="1"/>
    <col min="6404" max="6404" width="8.44140625" style="93"/>
    <col min="6405" max="6405" width="10.44140625" style="93" customWidth="1"/>
    <col min="6406" max="6654" width="8.44140625" style="93"/>
    <col min="6655" max="6655" width="26.44140625" style="93" customWidth="1"/>
    <col min="6656" max="6656" width="18.21875" style="93" customWidth="1"/>
    <col min="6657" max="6657" width="16.77734375" style="93" customWidth="1"/>
    <col min="6658" max="6658" width="17.44140625" style="93" customWidth="1"/>
    <col min="6659" max="6659" width="19" style="93" customWidth="1"/>
    <col min="6660" max="6660" width="8.44140625" style="93"/>
    <col min="6661" max="6661" width="10.44140625" style="93" customWidth="1"/>
    <col min="6662" max="6910" width="8.44140625" style="93"/>
    <col min="6911" max="6911" width="26.44140625" style="93" customWidth="1"/>
    <col min="6912" max="6912" width="18.21875" style="93" customWidth="1"/>
    <col min="6913" max="6913" width="16.77734375" style="93" customWidth="1"/>
    <col min="6914" max="6914" width="17.44140625" style="93" customWidth="1"/>
    <col min="6915" max="6915" width="19" style="93" customWidth="1"/>
    <col min="6916" max="6916" width="8.44140625" style="93"/>
    <col min="6917" max="6917" width="10.44140625" style="93" customWidth="1"/>
    <col min="6918" max="7166" width="8.44140625" style="93"/>
    <col min="7167" max="7167" width="26.44140625" style="93" customWidth="1"/>
    <col min="7168" max="7168" width="18.21875" style="93" customWidth="1"/>
    <col min="7169" max="7169" width="16.77734375" style="93" customWidth="1"/>
    <col min="7170" max="7170" width="17.44140625" style="93" customWidth="1"/>
    <col min="7171" max="7171" width="19" style="93" customWidth="1"/>
    <col min="7172" max="7172" width="8.44140625" style="93"/>
    <col min="7173" max="7173" width="10.44140625" style="93" customWidth="1"/>
    <col min="7174" max="7422" width="8.44140625" style="93"/>
    <col min="7423" max="7423" width="26.44140625" style="93" customWidth="1"/>
    <col min="7424" max="7424" width="18.21875" style="93" customWidth="1"/>
    <col min="7425" max="7425" width="16.77734375" style="93" customWidth="1"/>
    <col min="7426" max="7426" width="17.44140625" style="93" customWidth="1"/>
    <col min="7427" max="7427" width="19" style="93" customWidth="1"/>
    <col min="7428" max="7428" width="8.44140625" style="93"/>
    <col min="7429" max="7429" width="10.44140625" style="93" customWidth="1"/>
    <col min="7430" max="7678" width="8.44140625" style="93"/>
    <col min="7679" max="7679" width="26.44140625" style="93" customWidth="1"/>
    <col min="7680" max="7680" width="18.21875" style="93" customWidth="1"/>
    <col min="7681" max="7681" width="16.77734375" style="93" customWidth="1"/>
    <col min="7682" max="7682" width="17.44140625" style="93" customWidth="1"/>
    <col min="7683" max="7683" width="19" style="93" customWidth="1"/>
    <col min="7684" max="7684" width="8.44140625" style="93"/>
    <col min="7685" max="7685" width="10.44140625" style="93" customWidth="1"/>
    <col min="7686" max="7934" width="8.44140625" style="93"/>
    <col min="7935" max="7935" width="26.44140625" style="93" customWidth="1"/>
    <col min="7936" max="7936" width="18.21875" style="93" customWidth="1"/>
    <col min="7937" max="7937" width="16.77734375" style="93" customWidth="1"/>
    <col min="7938" max="7938" width="17.44140625" style="93" customWidth="1"/>
    <col min="7939" max="7939" width="19" style="93" customWidth="1"/>
    <col min="7940" max="7940" width="8.44140625" style="93"/>
    <col min="7941" max="7941" width="10.44140625" style="93" customWidth="1"/>
    <col min="7942" max="8190" width="8.44140625" style="93"/>
    <col min="8191" max="8191" width="26.44140625" style="93" customWidth="1"/>
    <col min="8192" max="8192" width="18.21875" style="93" customWidth="1"/>
    <col min="8193" max="8193" width="16.77734375" style="93" customWidth="1"/>
    <col min="8194" max="8194" width="17.44140625" style="93" customWidth="1"/>
    <col min="8195" max="8195" width="19" style="93" customWidth="1"/>
    <col min="8196" max="8196" width="8.44140625" style="93"/>
    <col min="8197" max="8197" width="10.44140625" style="93" customWidth="1"/>
    <col min="8198" max="8446" width="8.44140625" style="93"/>
    <col min="8447" max="8447" width="26.44140625" style="93" customWidth="1"/>
    <col min="8448" max="8448" width="18.21875" style="93" customWidth="1"/>
    <col min="8449" max="8449" width="16.77734375" style="93" customWidth="1"/>
    <col min="8450" max="8450" width="17.44140625" style="93" customWidth="1"/>
    <col min="8451" max="8451" width="19" style="93" customWidth="1"/>
    <col min="8452" max="8452" width="8.44140625" style="93"/>
    <col min="8453" max="8453" width="10.44140625" style="93" customWidth="1"/>
    <col min="8454" max="8702" width="8.44140625" style="93"/>
    <col min="8703" max="8703" width="26.44140625" style="93" customWidth="1"/>
    <col min="8704" max="8704" width="18.21875" style="93" customWidth="1"/>
    <col min="8705" max="8705" width="16.77734375" style="93" customWidth="1"/>
    <col min="8706" max="8706" width="17.44140625" style="93" customWidth="1"/>
    <col min="8707" max="8707" width="19" style="93" customWidth="1"/>
    <col min="8708" max="8708" width="8.44140625" style="93"/>
    <col min="8709" max="8709" width="10.44140625" style="93" customWidth="1"/>
    <col min="8710" max="8958" width="8.44140625" style="93"/>
    <col min="8959" max="8959" width="26.44140625" style="93" customWidth="1"/>
    <col min="8960" max="8960" width="18.21875" style="93" customWidth="1"/>
    <col min="8961" max="8961" width="16.77734375" style="93" customWidth="1"/>
    <col min="8962" max="8962" width="17.44140625" style="93" customWidth="1"/>
    <col min="8963" max="8963" width="19" style="93" customWidth="1"/>
    <col min="8964" max="8964" width="8.44140625" style="93"/>
    <col min="8965" max="8965" width="10.44140625" style="93" customWidth="1"/>
    <col min="8966" max="9214" width="8.44140625" style="93"/>
    <col min="9215" max="9215" width="26.44140625" style="93" customWidth="1"/>
    <col min="9216" max="9216" width="18.21875" style="93" customWidth="1"/>
    <col min="9217" max="9217" width="16.77734375" style="93" customWidth="1"/>
    <col min="9218" max="9218" width="17.44140625" style="93" customWidth="1"/>
    <col min="9219" max="9219" width="19" style="93" customWidth="1"/>
    <col min="9220" max="9220" width="8.44140625" style="93"/>
    <col min="9221" max="9221" width="10.44140625" style="93" customWidth="1"/>
    <col min="9222" max="9470" width="8.44140625" style="93"/>
    <col min="9471" max="9471" width="26.44140625" style="93" customWidth="1"/>
    <col min="9472" max="9472" width="18.21875" style="93" customWidth="1"/>
    <col min="9473" max="9473" width="16.77734375" style="93" customWidth="1"/>
    <col min="9474" max="9474" width="17.44140625" style="93" customWidth="1"/>
    <col min="9475" max="9475" width="19" style="93" customWidth="1"/>
    <col min="9476" max="9476" width="8.44140625" style="93"/>
    <col min="9477" max="9477" width="10.44140625" style="93" customWidth="1"/>
    <col min="9478" max="9726" width="8.44140625" style="93"/>
    <col min="9727" max="9727" width="26.44140625" style="93" customWidth="1"/>
    <col min="9728" max="9728" width="18.21875" style="93" customWidth="1"/>
    <col min="9729" max="9729" width="16.77734375" style="93" customWidth="1"/>
    <col min="9730" max="9730" width="17.44140625" style="93" customWidth="1"/>
    <col min="9731" max="9731" width="19" style="93" customWidth="1"/>
    <col min="9732" max="9732" width="8.44140625" style="93"/>
    <col min="9733" max="9733" width="10.44140625" style="93" customWidth="1"/>
    <col min="9734" max="9982" width="8.44140625" style="93"/>
    <col min="9983" max="9983" width="26.44140625" style="93" customWidth="1"/>
    <col min="9984" max="9984" width="18.21875" style="93" customWidth="1"/>
    <col min="9985" max="9985" width="16.77734375" style="93" customWidth="1"/>
    <col min="9986" max="9986" width="17.44140625" style="93" customWidth="1"/>
    <col min="9987" max="9987" width="19" style="93" customWidth="1"/>
    <col min="9988" max="9988" width="8.44140625" style="93"/>
    <col min="9989" max="9989" width="10.44140625" style="93" customWidth="1"/>
    <col min="9990" max="10238" width="8.44140625" style="93"/>
    <col min="10239" max="10239" width="26.44140625" style="93" customWidth="1"/>
    <col min="10240" max="10240" width="18.21875" style="93" customWidth="1"/>
    <col min="10241" max="10241" width="16.77734375" style="93" customWidth="1"/>
    <col min="10242" max="10242" width="17.44140625" style="93" customWidth="1"/>
    <col min="10243" max="10243" width="19" style="93" customWidth="1"/>
    <col min="10244" max="10244" width="8.44140625" style="93"/>
    <col min="10245" max="10245" width="10.44140625" style="93" customWidth="1"/>
    <col min="10246" max="10494" width="8.44140625" style="93"/>
    <col min="10495" max="10495" width="26.44140625" style="93" customWidth="1"/>
    <col min="10496" max="10496" width="18.21875" style="93" customWidth="1"/>
    <col min="10497" max="10497" width="16.77734375" style="93" customWidth="1"/>
    <col min="10498" max="10498" width="17.44140625" style="93" customWidth="1"/>
    <col min="10499" max="10499" width="19" style="93" customWidth="1"/>
    <col min="10500" max="10500" width="8.44140625" style="93"/>
    <col min="10501" max="10501" width="10.44140625" style="93" customWidth="1"/>
    <col min="10502" max="10750" width="8.44140625" style="93"/>
    <col min="10751" max="10751" width="26.44140625" style="93" customWidth="1"/>
    <col min="10752" max="10752" width="18.21875" style="93" customWidth="1"/>
    <col min="10753" max="10753" width="16.77734375" style="93" customWidth="1"/>
    <col min="10754" max="10754" width="17.44140625" style="93" customWidth="1"/>
    <col min="10755" max="10755" width="19" style="93" customWidth="1"/>
    <col min="10756" max="10756" width="8.44140625" style="93"/>
    <col min="10757" max="10757" width="10.44140625" style="93" customWidth="1"/>
    <col min="10758" max="11006" width="8.44140625" style="93"/>
    <col min="11007" max="11007" width="26.44140625" style="93" customWidth="1"/>
    <col min="11008" max="11008" width="18.21875" style="93" customWidth="1"/>
    <col min="11009" max="11009" width="16.77734375" style="93" customWidth="1"/>
    <col min="11010" max="11010" width="17.44140625" style="93" customWidth="1"/>
    <col min="11011" max="11011" width="19" style="93" customWidth="1"/>
    <col min="11012" max="11012" width="8.44140625" style="93"/>
    <col min="11013" max="11013" width="10.44140625" style="93" customWidth="1"/>
    <col min="11014" max="11262" width="8.44140625" style="93"/>
    <col min="11263" max="11263" width="26.44140625" style="93" customWidth="1"/>
    <col min="11264" max="11264" width="18.21875" style="93" customWidth="1"/>
    <col min="11265" max="11265" width="16.77734375" style="93" customWidth="1"/>
    <col min="11266" max="11266" width="17.44140625" style="93" customWidth="1"/>
    <col min="11267" max="11267" width="19" style="93" customWidth="1"/>
    <col min="11268" max="11268" width="8.44140625" style="93"/>
    <col min="11269" max="11269" width="10.44140625" style="93" customWidth="1"/>
    <col min="11270" max="11518" width="8.44140625" style="93"/>
    <col min="11519" max="11519" width="26.44140625" style="93" customWidth="1"/>
    <col min="11520" max="11520" width="18.21875" style="93" customWidth="1"/>
    <col min="11521" max="11521" width="16.77734375" style="93" customWidth="1"/>
    <col min="11522" max="11522" width="17.44140625" style="93" customWidth="1"/>
    <col min="11523" max="11523" width="19" style="93" customWidth="1"/>
    <col min="11524" max="11524" width="8.44140625" style="93"/>
    <col min="11525" max="11525" width="10.44140625" style="93" customWidth="1"/>
    <col min="11526" max="11774" width="8.44140625" style="93"/>
    <col min="11775" max="11775" width="26.44140625" style="93" customWidth="1"/>
    <col min="11776" max="11776" width="18.21875" style="93" customWidth="1"/>
    <col min="11777" max="11777" width="16.77734375" style="93" customWidth="1"/>
    <col min="11778" max="11778" width="17.44140625" style="93" customWidth="1"/>
    <col min="11779" max="11779" width="19" style="93" customWidth="1"/>
    <col min="11780" max="11780" width="8.44140625" style="93"/>
    <col min="11781" max="11781" width="10.44140625" style="93" customWidth="1"/>
    <col min="11782" max="12030" width="8.44140625" style="93"/>
    <col min="12031" max="12031" width="26.44140625" style="93" customWidth="1"/>
    <col min="12032" max="12032" width="18.21875" style="93" customWidth="1"/>
    <col min="12033" max="12033" width="16.77734375" style="93" customWidth="1"/>
    <col min="12034" max="12034" width="17.44140625" style="93" customWidth="1"/>
    <col min="12035" max="12035" width="19" style="93" customWidth="1"/>
    <col min="12036" max="12036" width="8.44140625" style="93"/>
    <col min="12037" max="12037" width="10.44140625" style="93" customWidth="1"/>
    <col min="12038" max="12286" width="8.44140625" style="93"/>
    <col min="12287" max="12287" width="26.44140625" style="93" customWidth="1"/>
    <col min="12288" max="12288" width="18.21875" style="93" customWidth="1"/>
    <col min="12289" max="12289" width="16.77734375" style="93" customWidth="1"/>
    <col min="12290" max="12290" width="17.44140625" style="93" customWidth="1"/>
    <col min="12291" max="12291" width="19" style="93" customWidth="1"/>
    <col min="12292" max="12292" width="8.44140625" style="93"/>
    <col min="12293" max="12293" width="10.44140625" style="93" customWidth="1"/>
    <col min="12294" max="12542" width="8.44140625" style="93"/>
    <col min="12543" max="12543" width="26.44140625" style="93" customWidth="1"/>
    <col min="12544" max="12544" width="18.21875" style="93" customWidth="1"/>
    <col min="12545" max="12545" width="16.77734375" style="93" customWidth="1"/>
    <col min="12546" max="12546" width="17.44140625" style="93" customWidth="1"/>
    <col min="12547" max="12547" width="19" style="93" customWidth="1"/>
    <col min="12548" max="12548" width="8.44140625" style="93"/>
    <col min="12549" max="12549" width="10.44140625" style="93" customWidth="1"/>
    <col min="12550" max="12798" width="8.44140625" style="93"/>
    <col min="12799" max="12799" width="26.44140625" style="93" customWidth="1"/>
    <col min="12800" max="12800" width="18.21875" style="93" customWidth="1"/>
    <col min="12801" max="12801" width="16.77734375" style="93" customWidth="1"/>
    <col min="12802" max="12802" width="17.44140625" style="93" customWidth="1"/>
    <col min="12803" max="12803" width="19" style="93" customWidth="1"/>
    <col min="12804" max="12804" width="8.44140625" style="93"/>
    <col min="12805" max="12805" width="10.44140625" style="93" customWidth="1"/>
    <col min="12806" max="13054" width="8.44140625" style="93"/>
    <col min="13055" max="13055" width="26.44140625" style="93" customWidth="1"/>
    <col min="13056" max="13056" width="18.21875" style="93" customWidth="1"/>
    <col min="13057" max="13057" width="16.77734375" style="93" customWidth="1"/>
    <col min="13058" max="13058" width="17.44140625" style="93" customWidth="1"/>
    <col min="13059" max="13059" width="19" style="93" customWidth="1"/>
    <col min="13060" max="13060" width="8.44140625" style="93"/>
    <col min="13061" max="13061" width="10.44140625" style="93" customWidth="1"/>
    <col min="13062" max="13310" width="8.44140625" style="93"/>
    <col min="13311" max="13311" width="26.44140625" style="93" customWidth="1"/>
    <col min="13312" max="13312" width="18.21875" style="93" customWidth="1"/>
    <col min="13313" max="13313" width="16.77734375" style="93" customWidth="1"/>
    <col min="13314" max="13314" width="17.44140625" style="93" customWidth="1"/>
    <col min="13315" max="13315" width="19" style="93" customWidth="1"/>
    <col min="13316" max="13316" width="8.44140625" style="93"/>
    <col min="13317" max="13317" width="10.44140625" style="93" customWidth="1"/>
    <col min="13318" max="13566" width="8.44140625" style="93"/>
    <col min="13567" max="13567" width="26.44140625" style="93" customWidth="1"/>
    <col min="13568" max="13568" width="18.21875" style="93" customWidth="1"/>
    <col min="13569" max="13569" width="16.77734375" style="93" customWidth="1"/>
    <col min="13570" max="13570" width="17.44140625" style="93" customWidth="1"/>
    <col min="13571" max="13571" width="19" style="93" customWidth="1"/>
    <col min="13572" max="13572" width="8.44140625" style="93"/>
    <col min="13573" max="13573" width="10.44140625" style="93" customWidth="1"/>
    <col min="13574" max="13822" width="8.44140625" style="93"/>
    <col min="13823" max="13823" width="26.44140625" style="93" customWidth="1"/>
    <col min="13824" max="13824" width="18.21875" style="93" customWidth="1"/>
    <col min="13825" max="13825" width="16.77734375" style="93" customWidth="1"/>
    <col min="13826" max="13826" width="17.44140625" style="93" customWidth="1"/>
    <col min="13827" max="13827" width="19" style="93" customWidth="1"/>
    <col min="13828" max="13828" width="8.44140625" style="93"/>
    <col min="13829" max="13829" width="10.44140625" style="93" customWidth="1"/>
    <col min="13830" max="14078" width="8.44140625" style="93"/>
    <col min="14079" max="14079" width="26.44140625" style="93" customWidth="1"/>
    <col min="14080" max="14080" width="18.21875" style="93" customWidth="1"/>
    <col min="14081" max="14081" width="16.77734375" style="93" customWidth="1"/>
    <col min="14082" max="14082" width="17.44140625" style="93" customWidth="1"/>
    <col min="14083" max="14083" width="19" style="93" customWidth="1"/>
    <col min="14084" max="14084" width="8.44140625" style="93"/>
    <col min="14085" max="14085" width="10.44140625" style="93" customWidth="1"/>
    <col min="14086" max="14334" width="8.44140625" style="93"/>
    <col min="14335" max="14335" width="26.44140625" style="93" customWidth="1"/>
    <col min="14336" max="14336" width="18.21875" style="93" customWidth="1"/>
    <col min="14337" max="14337" width="16.77734375" style="93" customWidth="1"/>
    <col min="14338" max="14338" width="17.44140625" style="93" customWidth="1"/>
    <col min="14339" max="14339" width="19" style="93" customWidth="1"/>
    <col min="14340" max="14340" width="8.44140625" style="93"/>
    <col min="14341" max="14341" width="10.44140625" style="93" customWidth="1"/>
    <col min="14342" max="14590" width="8.44140625" style="93"/>
    <col min="14591" max="14591" width="26.44140625" style="93" customWidth="1"/>
    <col min="14592" max="14592" width="18.21875" style="93" customWidth="1"/>
    <col min="14593" max="14593" width="16.77734375" style="93" customWidth="1"/>
    <col min="14594" max="14594" width="17.44140625" style="93" customWidth="1"/>
    <col min="14595" max="14595" width="19" style="93" customWidth="1"/>
    <col min="14596" max="14596" width="8.44140625" style="93"/>
    <col min="14597" max="14597" width="10.44140625" style="93" customWidth="1"/>
    <col min="14598" max="14846" width="8.44140625" style="93"/>
    <col min="14847" max="14847" width="26.44140625" style="93" customWidth="1"/>
    <col min="14848" max="14848" width="18.21875" style="93" customWidth="1"/>
    <col min="14849" max="14849" width="16.77734375" style="93" customWidth="1"/>
    <col min="14850" max="14850" width="17.44140625" style="93" customWidth="1"/>
    <col min="14851" max="14851" width="19" style="93" customWidth="1"/>
    <col min="14852" max="14852" width="8.44140625" style="93"/>
    <col min="14853" max="14853" width="10.44140625" style="93" customWidth="1"/>
    <col min="14854" max="15102" width="8.44140625" style="93"/>
    <col min="15103" max="15103" width="26.44140625" style="93" customWidth="1"/>
    <col min="15104" max="15104" width="18.21875" style="93" customWidth="1"/>
    <col min="15105" max="15105" width="16.77734375" style="93" customWidth="1"/>
    <col min="15106" max="15106" width="17.44140625" style="93" customWidth="1"/>
    <col min="15107" max="15107" width="19" style="93" customWidth="1"/>
    <col min="15108" max="15108" width="8.44140625" style="93"/>
    <col min="15109" max="15109" width="10.44140625" style="93" customWidth="1"/>
    <col min="15110" max="15358" width="8.44140625" style="93"/>
    <col min="15359" max="15359" width="26.44140625" style="93" customWidth="1"/>
    <col min="15360" max="15360" width="18.21875" style="93" customWidth="1"/>
    <col min="15361" max="15361" width="16.77734375" style="93" customWidth="1"/>
    <col min="15362" max="15362" width="17.44140625" style="93" customWidth="1"/>
    <col min="15363" max="15363" width="19" style="93" customWidth="1"/>
    <col min="15364" max="15364" width="8.44140625" style="93"/>
    <col min="15365" max="15365" width="10.44140625" style="93" customWidth="1"/>
    <col min="15366" max="15614" width="8.44140625" style="93"/>
    <col min="15615" max="15615" width="26.44140625" style="93" customWidth="1"/>
    <col min="15616" max="15616" width="18.21875" style="93" customWidth="1"/>
    <col min="15617" max="15617" width="16.77734375" style="93" customWidth="1"/>
    <col min="15618" max="15618" width="17.44140625" style="93" customWidth="1"/>
    <col min="15619" max="15619" width="19" style="93" customWidth="1"/>
    <col min="15620" max="15620" width="8.44140625" style="93"/>
    <col min="15621" max="15621" width="10.44140625" style="93" customWidth="1"/>
    <col min="15622" max="15870" width="8.44140625" style="93"/>
    <col min="15871" max="15871" width="26.44140625" style="93" customWidth="1"/>
    <col min="15872" max="15872" width="18.21875" style="93" customWidth="1"/>
    <col min="15873" max="15873" width="16.77734375" style="93" customWidth="1"/>
    <col min="15874" max="15874" width="17.44140625" style="93" customWidth="1"/>
    <col min="15875" max="15875" width="19" style="93" customWidth="1"/>
    <col min="15876" max="15876" width="8.44140625" style="93"/>
    <col min="15877" max="15877" width="10.44140625" style="93" customWidth="1"/>
    <col min="15878" max="16126" width="8.44140625" style="93"/>
    <col min="16127" max="16127" width="26.44140625" style="93" customWidth="1"/>
    <col min="16128" max="16128" width="18.21875" style="93" customWidth="1"/>
    <col min="16129" max="16129" width="16.77734375" style="93" customWidth="1"/>
    <col min="16130" max="16130" width="17.44140625" style="93" customWidth="1"/>
    <col min="16131" max="16131" width="19" style="93" customWidth="1"/>
    <col min="16132" max="16132" width="8.44140625" style="93"/>
    <col min="16133" max="16133" width="10.44140625" style="93" customWidth="1"/>
    <col min="16134" max="16383" width="8.44140625" style="93"/>
    <col min="16384" max="16384" width="8.44140625" style="93" customWidth="1"/>
  </cols>
  <sheetData>
    <row r="2" spans="1:7" ht="21">
      <c r="B2" s="337" t="s">
        <v>168</v>
      </c>
      <c r="C2" s="338"/>
    </row>
    <row r="3" spans="1:7" ht="27.75" customHeight="1">
      <c r="B3" s="338" t="s">
        <v>169</v>
      </c>
      <c r="C3" s="338"/>
    </row>
    <row r="4" spans="1:7">
      <c r="E4" s="95"/>
      <c r="G4" s="96"/>
    </row>
    <row r="5" spans="1:7" ht="21.75" customHeight="1">
      <c r="A5" s="93" t="s">
        <v>170</v>
      </c>
      <c r="D5" s="97"/>
    </row>
    <row r="6" spans="1:7" s="98" customFormat="1" ht="26.25" customHeight="1">
      <c r="A6" s="98" t="s">
        <v>171</v>
      </c>
      <c r="D6" s="99" t="s">
        <v>172</v>
      </c>
      <c r="E6" s="100"/>
    </row>
    <row r="7" spans="1:7" s="98" customFormat="1" ht="34.5" customHeight="1">
      <c r="A7" s="98" t="s">
        <v>173</v>
      </c>
      <c r="B7" s="101"/>
      <c r="D7" s="102" t="s">
        <v>174</v>
      </c>
      <c r="E7" s="103"/>
    </row>
    <row r="9" spans="1:7" ht="24.75" customHeight="1">
      <c r="A9" s="93" t="s">
        <v>175</v>
      </c>
      <c r="B9" s="284" t="s">
        <v>543</v>
      </c>
      <c r="E9" s="287" t="s">
        <v>544</v>
      </c>
    </row>
    <row r="10" spans="1:7" s="106" customFormat="1" ht="29.25" customHeight="1">
      <c r="A10" s="286" t="s">
        <v>545</v>
      </c>
      <c r="B10" s="104" t="s">
        <v>176</v>
      </c>
      <c r="C10" s="104" t="s">
        <v>177</v>
      </c>
      <c r="D10" s="104" t="s">
        <v>178</v>
      </c>
      <c r="E10" s="104" t="s">
        <v>179</v>
      </c>
      <c r="F10" s="105" t="s">
        <v>180</v>
      </c>
      <c r="G10" s="119" t="s">
        <v>189</v>
      </c>
    </row>
    <row r="11" spans="1:7" ht="30.6" customHeight="1">
      <c r="A11" s="109"/>
      <c r="B11" s="186"/>
      <c r="C11" s="107"/>
      <c r="D11" s="108"/>
      <c r="E11" s="285"/>
      <c r="F11" s="118">
        <f>D11*E11</f>
        <v>0</v>
      </c>
      <c r="G11" s="276"/>
    </row>
    <row r="12" spans="1:7" ht="23.1" customHeight="1">
      <c r="A12" s="109"/>
      <c r="B12" s="187"/>
      <c r="C12" s="107"/>
      <c r="D12" s="108"/>
      <c r="E12" s="187"/>
      <c r="F12" s="118">
        <f t="shared" ref="F12:F13" si="0">D12*E12</f>
        <v>0</v>
      </c>
      <c r="G12" s="276"/>
    </row>
    <row r="13" spans="1:7" ht="30" customHeight="1">
      <c r="A13" s="109"/>
      <c r="B13" s="186"/>
      <c r="C13" s="107"/>
      <c r="D13" s="108"/>
      <c r="E13" s="187"/>
      <c r="F13" s="118">
        <f t="shared" si="0"/>
        <v>0</v>
      </c>
      <c r="G13" s="276"/>
    </row>
    <row r="14" spans="1:7" ht="23.1" customHeight="1">
      <c r="A14" s="109"/>
      <c r="B14" s="188"/>
      <c r="C14" s="111"/>
      <c r="D14" s="108"/>
      <c r="E14" s="187"/>
      <c r="F14" s="118">
        <f t="shared" ref="F14:F19" si="1">D14*E14</f>
        <v>0</v>
      </c>
      <c r="G14" s="276"/>
    </row>
    <row r="15" spans="1:7" ht="23.1" customHeight="1">
      <c r="A15" s="109"/>
      <c r="B15" s="188"/>
      <c r="C15" s="110"/>
      <c r="D15" s="108"/>
      <c r="E15" s="188"/>
      <c r="F15" s="118">
        <f t="shared" si="1"/>
        <v>0</v>
      </c>
      <c r="G15" s="276"/>
    </row>
    <row r="16" spans="1:7" ht="23.1" customHeight="1">
      <c r="A16" s="109"/>
      <c r="B16" s="188"/>
      <c r="C16" s="110"/>
      <c r="D16" s="108"/>
      <c r="E16" s="188"/>
      <c r="F16" s="118">
        <f t="shared" si="1"/>
        <v>0</v>
      </c>
      <c r="G16" s="276"/>
    </row>
    <row r="17" spans="1:7" ht="23.1" customHeight="1">
      <c r="A17" s="109"/>
      <c r="B17" s="188"/>
      <c r="C17" s="110"/>
      <c r="D17" s="108"/>
      <c r="E17" s="188"/>
      <c r="F17" s="118">
        <f t="shared" si="1"/>
        <v>0</v>
      </c>
      <c r="G17" s="276"/>
    </row>
    <row r="18" spans="1:7" ht="23.1" customHeight="1">
      <c r="A18" s="109"/>
      <c r="B18" s="187"/>
      <c r="C18" s="108"/>
      <c r="D18" s="108"/>
      <c r="E18" s="187"/>
      <c r="F18" s="118">
        <f t="shared" si="1"/>
        <v>0</v>
      </c>
      <c r="G18" s="276"/>
    </row>
    <row r="19" spans="1:7" ht="23.1" customHeight="1">
      <c r="A19" s="109"/>
      <c r="B19" s="188"/>
      <c r="C19" s="110"/>
      <c r="D19" s="110"/>
      <c r="E19" s="187"/>
      <c r="F19" s="118">
        <f t="shared" si="1"/>
        <v>0</v>
      </c>
      <c r="G19" s="276"/>
    </row>
    <row r="21" spans="1:7" ht="17.25" customHeight="1">
      <c r="A21" s="339" t="s">
        <v>181</v>
      </c>
      <c r="B21" s="340"/>
      <c r="C21" s="340"/>
      <c r="D21" s="340"/>
      <c r="E21" s="340"/>
    </row>
    <row r="22" spans="1:7" ht="12" customHeight="1">
      <c r="A22" s="339"/>
      <c r="B22" s="340"/>
      <c r="C22" s="340"/>
      <c r="D22" s="340"/>
      <c r="E22" s="340"/>
    </row>
    <row r="23" spans="1:7" ht="18" customHeight="1">
      <c r="B23" s="113"/>
    </row>
    <row r="25" spans="1:7" ht="23.25" customHeight="1">
      <c r="A25" s="98" t="s">
        <v>182</v>
      </c>
      <c r="B25" s="114"/>
    </row>
    <row r="26" spans="1:7" ht="26.25" customHeight="1">
      <c r="A26" s="112" t="s">
        <v>183</v>
      </c>
      <c r="B26" s="115"/>
    </row>
    <row r="28" spans="1:7" ht="31.2" customHeight="1">
      <c r="A28" s="112" t="s">
        <v>184</v>
      </c>
      <c r="B28" s="116"/>
      <c r="C28" s="98"/>
      <c r="D28" s="98" t="s">
        <v>185</v>
      </c>
      <c r="E28" s="117"/>
    </row>
    <row r="29" spans="1:7" ht="28.5" customHeight="1">
      <c r="A29" s="112" t="s">
        <v>186</v>
      </c>
      <c r="B29" s="98"/>
      <c r="C29" s="98"/>
      <c r="D29" s="98" t="s">
        <v>185</v>
      </c>
      <c r="E29" s="117"/>
    </row>
    <row r="30" spans="1:7" ht="28.5" customHeight="1">
      <c r="A30" s="112" t="s">
        <v>187</v>
      </c>
      <c r="B30" s="98"/>
      <c r="C30" s="98"/>
      <c r="D30" s="98" t="s">
        <v>185</v>
      </c>
      <c r="E30" s="117"/>
    </row>
    <row r="31" spans="1:7" ht="28.5" customHeight="1">
      <c r="A31" s="112" t="s">
        <v>188</v>
      </c>
      <c r="B31" s="98"/>
      <c r="C31" s="98"/>
      <c r="D31" s="98" t="s">
        <v>185</v>
      </c>
      <c r="E31" s="117"/>
    </row>
  </sheetData>
  <mergeCells count="4">
    <mergeCell ref="B2:C2"/>
    <mergeCell ref="B3:C3"/>
    <mergeCell ref="A21:A22"/>
    <mergeCell ref="B21:E22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17F3-DCF3-4CB2-A916-226122CF91CD}">
  <dimension ref="A1:K86"/>
  <sheetViews>
    <sheetView workbookViewId="0">
      <pane ySplit="1" topLeftCell="A2" activePane="bottomLeft" state="frozen"/>
      <selection pane="bottomLeft" activeCell="H15" sqref="H15"/>
    </sheetView>
  </sheetViews>
  <sheetFormatPr defaultRowHeight="13.8"/>
  <cols>
    <col min="1" max="2" width="14.33203125" bestFit="1" customWidth="1"/>
    <col min="3" max="3" width="17.33203125" bestFit="1" customWidth="1"/>
    <col min="5" max="5" width="35.109375" customWidth="1"/>
    <col min="6" max="7" width="10.5546875" bestFit="1" customWidth="1"/>
    <col min="8" max="8" width="12.6640625" bestFit="1" customWidth="1"/>
    <col min="9" max="9" width="11.33203125" bestFit="1" customWidth="1"/>
    <col min="10" max="10" width="10.21875" bestFit="1" customWidth="1"/>
  </cols>
  <sheetData>
    <row r="1" spans="1:11">
      <c r="A1" t="s">
        <v>272</v>
      </c>
      <c r="B1" t="s">
        <v>273</v>
      </c>
      <c r="C1" t="s">
        <v>274</v>
      </c>
      <c r="D1" t="s">
        <v>149</v>
      </c>
      <c r="E1" t="s">
        <v>148</v>
      </c>
      <c r="F1" t="s">
        <v>275</v>
      </c>
      <c r="G1" t="s">
        <v>460</v>
      </c>
      <c r="H1" t="s">
        <v>276</v>
      </c>
      <c r="I1" t="s">
        <v>277</v>
      </c>
    </row>
    <row r="2" spans="1:11">
      <c r="A2" t="s">
        <v>278</v>
      </c>
      <c r="C2" t="s">
        <v>279</v>
      </c>
      <c r="D2" t="s">
        <v>280</v>
      </c>
      <c r="E2" t="s">
        <v>281</v>
      </c>
      <c r="F2" s="194">
        <v>8012.8720836363636</v>
      </c>
      <c r="G2" s="194">
        <f>H2+I2</f>
        <v>4407.0796460000001</v>
      </c>
      <c r="H2" s="189">
        <v>4407.0796460000001</v>
      </c>
      <c r="I2" s="189">
        <v>0</v>
      </c>
      <c r="J2" s="189"/>
      <c r="K2" s="194"/>
    </row>
    <row r="3" spans="1:11">
      <c r="A3" t="s">
        <v>404</v>
      </c>
      <c r="C3" s="1" t="s">
        <v>495</v>
      </c>
      <c r="D3" t="s">
        <v>282</v>
      </c>
      <c r="E3" t="s">
        <v>283</v>
      </c>
      <c r="F3">
        <v>10670.940710000001</v>
      </c>
      <c r="G3" s="194">
        <f t="shared" ref="G3:G66" si="0">H3+I3</f>
        <v>5760.2563479999999</v>
      </c>
      <c r="H3" s="190">
        <v>0</v>
      </c>
      <c r="I3" s="190">
        <v>5760.2563479999999</v>
      </c>
      <c r="J3" s="189"/>
      <c r="K3" s="194"/>
    </row>
    <row r="4" spans="1:11">
      <c r="A4" t="s">
        <v>404</v>
      </c>
      <c r="C4" t="s">
        <v>284</v>
      </c>
      <c r="D4" t="str">
        <f t="shared" ref="D4:D5" si="1">D3</f>
        <v>路贝狮</v>
      </c>
      <c r="E4" t="s">
        <v>285</v>
      </c>
      <c r="F4">
        <v>3061.89912</v>
      </c>
      <c r="G4" s="194">
        <f t="shared" si="0"/>
        <v>1666.8376459999999</v>
      </c>
      <c r="H4" s="189">
        <v>1666.8376459999999</v>
      </c>
      <c r="I4" s="189">
        <v>0</v>
      </c>
      <c r="J4" s="189"/>
      <c r="K4" s="194"/>
    </row>
    <row r="5" spans="1:11">
      <c r="A5" t="s">
        <v>404</v>
      </c>
      <c r="C5" t="s">
        <v>286</v>
      </c>
      <c r="D5" t="str">
        <f t="shared" si="1"/>
        <v>路贝狮</v>
      </c>
      <c r="E5" t="s">
        <v>287</v>
      </c>
      <c r="F5">
        <v>3061.89912</v>
      </c>
      <c r="G5" s="194">
        <f t="shared" si="0"/>
        <v>1666.8376459999999</v>
      </c>
      <c r="H5" s="189">
        <v>1666.8376459999999</v>
      </c>
      <c r="I5" s="189">
        <v>0</v>
      </c>
      <c r="J5" s="189"/>
      <c r="K5" s="194"/>
    </row>
    <row r="6" spans="1:11">
      <c r="A6" t="s">
        <v>404</v>
      </c>
      <c r="C6" t="s">
        <v>288</v>
      </c>
      <c r="D6" t="s">
        <v>289</v>
      </c>
      <c r="E6" t="s">
        <v>290</v>
      </c>
      <c r="F6">
        <v>236.78584000000001</v>
      </c>
      <c r="G6" s="194">
        <f t="shared" si="0"/>
        <v>16.370000839999999</v>
      </c>
      <c r="H6" s="189">
        <v>16.370000839999999</v>
      </c>
      <c r="I6" s="189">
        <v>0</v>
      </c>
      <c r="J6" s="189"/>
      <c r="K6" s="194"/>
    </row>
    <row r="7" spans="1:11">
      <c r="A7" t="s">
        <v>404</v>
      </c>
      <c r="C7" t="s">
        <v>291</v>
      </c>
      <c r="D7" t="str">
        <f>D6</f>
        <v xml:space="preserve">PPG PLUS </v>
      </c>
      <c r="E7" t="s">
        <v>292</v>
      </c>
      <c r="F7">
        <v>204.22035</v>
      </c>
      <c r="G7" s="194">
        <f t="shared" si="0"/>
        <v>14.600000380000001</v>
      </c>
      <c r="H7" s="189">
        <v>14.600000380000001</v>
      </c>
      <c r="I7" s="189">
        <v>0</v>
      </c>
      <c r="J7" s="189"/>
      <c r="K7" s="194"/>
    </row>
    <row r="8" spans="1:11">
      <c r="A8" t="s">
        <v>404</v>
      </c>
      <c r="C8" t="s">
        <v>293</v>
      </c>
      <c r="D8" t="s">
        <v>294</v>
      </c>
      <c r="E8" t="s">
        <v>295</v>
      </c>
      <c r="F8">
        <v>23532.234509999998</v>
      </c>
      <c r="G8" s="194">
        <f t="shared" si="0"/>
        <v>16913.810549999998</v>
      </c>
      <c r="H8" s="189">
        <v>0</v>
      </c>
      <c r="I8" s="189">
        <v>16913.810549999998</v>
      </c>
      <c r="J8" s="189"/>
      <c r="K8" s="194"/>
    </row>
    <row r="9" spans="1:11">
      <c r="A9" t="s">
        <v>404</v>
      </c>
      <c r="C9" t="s">
        <v>296</v>
      </c>
      <c r="D9" t="str">
        <f t="shared" ref="D9:D17" si="2">D8</f>
        <v>Festool</v>
      </c>
      <c r="E9" t="s">
        <v>297</v>
      </c>
      <c r="F9">
        <v>16748.435839999998</v>
      </c>
      <c r="G9" s="194">
        <f t="shared" si="0"/>
        <v>11097.83008</v>
      </c>
      <c r="H9" s="189">
        <v>0</v>
      </c>
      <c r="I9" s="189">
        <v>11097.83008</v>
      </c>
      <c r="J9" s="189"/>
      <c r="K9" s="194"/>
    </row>
    <row r="10" spans="1:11">
      <c r="A10" t="s">
        <v>404</v>
      </c>
      <c r="C10" t="s">
        <v>298</v>
      </c>
      <c r="D10" t="str">
        <f t="shared" si="2"/>
        <v>Festool</v>
      </c>
      <c r="E10" t="s">
        <v>299</v>
      </c>
      <c r="F10">
        <v>10368.25885</v>
      </c>
      <c r="G10" s="194">
        <f t="shared" si="0"/>
        <v>7049.25</v>
      </c>
      <c r="H10" s="189">
        <v>0</v>
      </c>
      <c r="I10" s="189">
        <v>7049.25</v>
      </c>
      <c r="J10" s="189"/>
      <c r="K10" s="194"/>
    </row>
    <row r="11" spans="1:11">
      <c r="A11" t="s">
        <v>404</v>
      </c>
      <c r="C11" t="s">
        <v>300</v>
      </c>
      <c r="D11" t="str">
        <f t="shared" si="2"/>
        <v>Festool</v>
      </c>
      <c r="E11" t="s">
        <v>301</v>
      </c>
      <c r="F11" s="194">
        <v>5729.4726563636359</v>
      </c>
      <c r="G11" s="194">
        <f t="shared" si="0"/>
        <v>3151.209961</v>
      </c>
      <c r="H11" s="189">
        <v>3151.209961</v>
      </c>
      <c r="I11" s="189">
        <v>0</v>
      </c>
      <c r="J11" s="189"/>
      <c r="K11" s="194"/>
    </row>
    <row r="12" spans="1:11">
      <c r="A12" t="s">
        <v>404</v>
      </c>
      <c r="C12" t="s">
        <v>302</v>
      </c>
      <c r="D12" t="str">
        <f t="shared" si="2"/>
        <v>Festool</v>
      </c>
      <c r="E12" t="s">
        <v>303</v>
      </c>
      <c r="F12" s="194">
        <v>5897.3450818181818</v>
      </c>
      <c r="G12" s="194">
        <f t="shared" si="0"/>
        <v>3243.5397950000001</v>
      </c>
      <c r="H12" s="189">
        <v>3243.5397950000001</v>
      </c>
      <c r="I12" s="189">
        <v>0</v>
      </c>
      <c r="J12" s="189"/>
      <c r="K12" s="194"/>
    </row>
    <row r="13" spans="1:11">
      <c r="A13" t="s">
        <v>404</v>
      </c>
      <c r="C13" t="s">
        <v>304</v>
      </c>
      <c r="D13" t="str">
        <f t="shared" si="2"/>
        <v>Festool</v>
      </c>
      <c r="E13" t="s">
        <v>305</v>
      </c>
      <c r="F13">
        <v>11548.111150000001</v>
      </c>
      <c r="G13" s="194">
        <f t="shared" si="0"/>
        <v>3243.5397950000001</v>
      </c>
      <c r="H13" s="189">
        <v>3243.5397950000001</v>
      </c>
      <c r="I13" s="189">
        <v>0</v>
      </c>
      <c r="J13" s="189"/>
      <c r="K13" s="194"/>
    </row>
    <row r="14" spans="1:11">
      <c r="A14" t="s">
        <v>404</v>
      </c>
      <c r="C14" t="s">
        <v>306</v>
      </c>
      <c r="D14" t="str">
        <f t="shared" si="2"/>
        <v>Festool</v>
      </c>
      <c r="E14" t="s">
        <v>307</v>
      </c>
      <c r="F14" s="194">
        <v>5223.8907145454541</v>
      </c>
      <c r="G14" s="194">
        <f t="shared" si="0"/>
        <v>2873.139893</v>
      </c>
      <c r="H14" s="189">
        <v>2873.139893</v>
      </c>
      <c r="I14" s="189">
        <v>0</v>
      </c>
      <c r="J14" s="189"/>
      <c r="K14" s="194"/>
    </row>
    <row r="15" spans="1:11">
      <c r="A15" t="s">
        <v>404</v>
      </c>
      <c r="C15" t="s">
        <v>308</v>
      </c>
      <c r="D15" t="str">
        <f t="shared" si="2"/>
        <v>Festool</v>
      </c>
      <c r="E15" t="s">
        <v>309</v>
      </c>
      <c r="F15" s="194">
        <v>5223.8907145454541</v>
      </c>
      <c r="G15" s="194">
        <f t="shared" si="0"/>
        <v>2873.139893</v>
      </c>
      <c r="H15" s="189">
        <v>2873.139893</v>
      </c>
      <c r="I15" s="189">
        <v>0</v>
      </c>
      <c r="J15" s="189"/>
      <c r="K15" s="194"/>
    </row>
    <row r="16" spans="1:11">
      <c r="A16" t="s">
        <v>404</v>
      </c>
      <c r="C16" t="s">
        <v>310</v>
      </c>
      <c r="D16" t="str">
        <f t="shared" si="2"/>
        <v>Festool</v>
      </c>
      <c r="E16" t="s">
        <v>311</v>
      </c>
      <c r="F16">
        <v>7919.36283</v>
      </c>
      <c r="G16" s="194">
        <f t="shared" si="0"/>
        <v>3594.0200199999999</v>
      </c>
      <c r="H16" s="189">
        <v>3594.0200199999999</v>
      </c>
      <c r="I16" s="189">
        <v>0</v>
      </c>
      <c r="J16" s="189"/>
      <c r="K16" s="194"/>
    </row>
    <row r="17" spans="1:11">
      <c r="A17" t="s">
        <v>404</v>
      </c>
      <c r="C17" t="s">
        <v>312</v>
      </c>
      <c r="D17" t="str">
        <f t="shared" si="2"/>
        <v>Festool</v>
      </c>
      <c r="E17" t="s">
        <v>313</v>
      </c>
      <c r="F17" s="194">
        <v>2623.163618181818</v>
      </c>
      <c r="G17" s="194">
        <f t="shared" si="0"/>
        <v>1442.73999</v>
      </c>
      <c r="H17" s="189">
        <v>1442.73999</v>
      </c>
      <c r="I17" s="189">
        <v>0</v>
      </c>
      <c r="J17" s="189"/>
      <c r="K17" s="194"/>
    </row>
    <row r="18" spans="1:11">
      <c r="A18" t="s">
        <v>314</v>
      </c>
      <c r="B18" t="s">
        <v>315</v>
      </c>
      <c r="C18" t="s">
        <v>455</v>
      </c>
      <c r="D18" t="s">
        <v>316</v>
      </c>
      <c r="E18" t="s">
        <v>317</v>
      </c>
      <c r="F18">
        <v>796.46018000000004</v>
      </c>
      <c r="G18" s="194">
        <f t="shared" si="0"/>
        <v>424.77874759999997</v>
      </c>
      <c r="H18" s="189">
        <v>424.77874759999997</v>
      </c>
      <c r="I18" s="189">
        <v>0</v>
      </c>
      <c r="J18" s="189"/>
      <c r="K18" s="194"/>
    </row>
    <row r="19" spans="1:11">
      <c r="A19" t="s">
        <v>405</v>
      </c>
      <c r="B19" t="s">
        <v>318</v>
      </c>
      <c r="C19" t="s">
        <v>319</v>
      </c>
      <c r="D19" t="s">
        <v>320</v>
      </c>
      <c r="E19" t="s">
        <v>321</v>
      </c>
      <c r="F19" s="194">
        <v>8181.8181818181811</v>
      </c>
      <c r="G19" s="194">
        <f t="shared" si="0"/>
        <v>4500</v>
      </c>
      <c r="H19" s="189">
        <v>4500</v>
      </c>
      <c r="I19" s="189">
        <v>0</v>
      </c>
      <c r="J19" s="189"/>
      <c r="K19" s="194"/>
    </row>
    <row r="20" spans="1:11">
      <c r="A20" t="s">
        <v>405</v>
      </c>
      <c r="B20" t="s">
        <v>406</v>
      </c>
      <c r="C20" t="s">
        <v>322</v>
      </c>
      <c r="D20" t="s">
        <v>323</v>
      </c>
      <c r="E20" t="s">
        <v>324</v>
      </c>
      <c r="F20">
        <v>5451.9230799999996</v>
      </c>
      <c r="G20" s="194">
        <f t="shared" si="0"/>
        <v>2944.2478030000002</v>
      </c>
      <c r="H20" s="189">
        <v>2944.2478030000002</v>
      </c>
      <c r="I20" s="189">
        <v>0</v>
      </c>
      <c r="J20" s="189"/>
      <c r="K20" s="194"/>
    </row>
    <row r="21" spans="1:11">
      <c r="A21" t="s">
        <v>405</v>
      </c>
      <c r="B21" t="s">
        <v>406</v>
      </c>
      <c r="C21" t="s">
        <v>325</v>
      </c>
      <c r="D21" t="s">
        <v>320</v>
      </c>
      <c r="E21" t="s">
        <v>326</v>
      </c>
      <c r="F21">
        <v>3969</v>
      </c>
      <c r="G21" s="194">
        <f t="shared" si="0"/>
        <v>2241</v>
      </c>
      <c r="H21" s="189">
        <v>2241</v>
      </c>
      <c r="I21" s="189">
        <v>0</v>
      </c>
      <c r="J21" s="189"/>
      <c r="K21" s="194"/>
    </row>
    <row r="22" spans="1:11">
      <c r="A22" t="s">
        <v>405</v>
      </c>
      <c r="B22" t="s">
        <v>327</v>
      </c>
      <c r="C22" t="s">
        <v>328</v>
      </c>
      <c r="D22" t="s">
        <v>320</v>
      </c>
      <c r="E22" t="s">
        <v>329</v>
      </c>
      <c r="F22" s="194">
        <v>8181.8181818181811</v>
      </c>
      <c r="G22" s="194">
        <f t="shared" si="0"/>
        <v>4500</v>
      </c>
      <c r="H22" s="189">
        <v>4500</v>
      </c>
      <c r="I22" s="189">
        <v>0</v>
      </c>
      <c r="J22" s="189"/>
      <c r="K22" s="194"/>
    </row>
    <row r="23" spans="1:11">
      <c r="A23" t="s">
        <v>405</v>
      </c>
      <c r="B23" t="s">
        <v>407</v>
      </c>
      <c r="C23" t="s">
        <v>330</v>
      </c>
      <c r="D23" t="s">
        <v>323</v>
      </c>
      <c r="E23" t="s">
        <v>331</v>
      </c>
      <c r="F23">
        <v>5451.9230799999996</v>
      </c>
      <c r="G23" s="194">
        <f t="shared" si="0"/>
        <v>3037.1682129999999</v>
      </c>
      <c r="H23" s="189">
        <v>3037.1682129999999</v>
      </c>
      <c r="I23" s="189">
        <v>0</v>
      </c>
      <c r="J23" s="189"/>
      <c r="K23" s="194"/>
    </row>
    <row r="24" spans="1:11">
      <c r="A24" t="s">
        <v>405</v>
      </c>
      <c r="B24" t="s">
        <v>407</v>
      </c>
      <c r="C24" t="s">
        <v>332</v>
      </c>
      <c r="D24" t="s">
        <v>323</v>
      </c>
      <c r="E24" t="s">
        <v>333</v>
      </c>
      <c r="F24">
        <v>5450.9538499999999</v>
      </c>
      <c r="G24" s="194">
        <f t="shared" si="0"/>
        <v>3037.1682129999999</v>
      </c>
      <c r="H24" s="189">
        <v>3037.1682129999999</v>
      </c>
      <c r="I24" s="189">
        <v>0</v>
      </c>
      <c r="J24" s="189"/>
      <c r="K24" s="194"/>
    </row>
    <row r="25" spans="1:11">
      <c r="A25" t="s">
        <v>405</v>
      </c>
      <c r="B25" t="s">
        <v>407</v>
      </c>
      <c r="C25" t="s">
        <v>334</v>
      </c>
      <c r="D25" t="s">
        <v>323</v>
      </c>
      <c r="E25" t="s">
        <v>335</v>
      </c>
      <c r="F25">
        <v>3053</v>
      </c>
      <c r="G25" s="194">
        <f t="shared" si="0"/>
        <v>5309.734375</v>
      </c>
      <c r="H25" s="189">
        <v>0</v>
      </c>
      <c r="I25" s="189">
        <v>5309.734375</v>
      </c>
      <c r="J25" s="189"/>
      <c r="K25" s="194"/>
    </row>
    <row r="26" spans="1:11">
      <c r="A26" t="s">
        <v>405</v>
      </c>
      <c r="B26" t="s">
        <v>407</v>
      </c>
      <c r="C26" t="s">
        <v>336</v>
      </c>
      <c r="D26" t="s">
        <v>323</v>
      </c>
      <c r="E26" t="s">
        <v>337</v>
      </c>
      <c r="F26">
        <v>7020</v>
      </c>
      <c r="G26" s="194">
        <f t="shared" si="0"/>
        <v>5309.734375</v>
      </c>
      <c r="H26" s="189">
        <v>0</v>
      </c>
      <c r="I26" s="189">
        <v>5309.734375</v>
      </c>
      <c r="J26" s="189"/>
      <c r="K26" s="194"/>
    </row>
    <row r="27" spans="1:11">
      <c r="A27" t="s">
        <v>405</v>
      </c>
      <c r="B27" t="s">
        <v>407</v>
      </c>
      <c r="C27" t="s">
        <v>338</v>
      </c>
      <c r="D27" t="s">
        <v>323</v>
      </c>
      <c r="E27" t="s">
        <v>339</v>
      </c>
      <c r="F27">
        <v>10856.389380000001</v>
      </c>
      <c r="G27" s="194">
        <f t="shared" si="0"/>
        <v>6561.9467770000001</v>
      </c>
      <c r="H27" s="189">
        <v>0</v>
      </c>
      <c r="I27" s="189">
        <v>6561.9467770000001</v>
      </c>
      <c r="J27" s="189"/>
      <c r="K27" s="194"/>
    </row>
    <row r="28" spans="1:11">
      <c r="A28" t="s">
        <v>405</v>
      </c>
      <c r="B28" t="s">
        <v>407</v>
      </c>
      <c r="C28" t="s">
        <v>340</v>
      </c>
      <c r="D28" t="s">
        <v>323</v>
      </c>
      <c r="E28" t="s">
        <v>341</v>
      </c>
      <c r="F28">
        <v>10856.389380000001</v>
      </c>
      <c r="G28" s="194">
        <f t="shared" si="0"/>
        <v>6561.9467770000001</v>
      </c>
      <c r="H28" s="189">
        <v>0</v>
      </c>
      <c r="I28" s="189">
        <v>6561.9467770000001</v>
      </c>
      <c r="J28" s="189"/>
      <c r="K28" s="194"/>
    </row>
    <row r="29" spans="1:11">
      <c r="A29" t="s">
        <v>405</v>
      </c>
      <c r="B29" t="s">
        <v>407</v>
      </c>
      <c r="C29" t="s">
        <v>342</v>
      </c>
      <c r="D29" t="s">
        <v>320</v>
      </c>
      <c r="E29" t="s">
        <v>343</v>
      </c>
      <c r="F29">
        <v>3969</v>
      </c>
      <c r="G29" s="194">
        <f t="shared" si="0"/>
        <v>2241</v>
      </c>
      <c r="H29" s="189">
        <v>2241</v>
      </c>
      <c r="I29" s="189">
        <v>0</v>
      </c>
      <c r="J29" s="189"/>
      <c r="K29" s="194"/>
    </row>
    <row r="30" spans="1:11">
      <c r="A30" t="s">
        <v>405</v>
      </c>
      <c r="B30" t="s">
        <v>344</v>
      </c>
      <c r="C30" t="s">
        <v>345</v>
      </c>
      <c r="D30" t="s">
        <v>323</v>
      </c>
      <c r="E30" t="s">
        <v>346</v>
      </c>
      <c r="F30" s="194">
        <v>10307.690872727271</v>
      </c>
      <c r="G30" s="194">
        <f t="shared" si="0"/>
        <v>5669.2299800000001</v>
      </c>
      <c r="H30" s="189">
        <v>0</v>
      </c>
      <c r="I30" s="189">
        <v>5669.2299800000001</v>
      </c>
      <c r="J30" s="189"/>
      <c r="K30" s="194"/>
    </row>
    <row r="31" spans="1:11">
      <c r="A31" t="s">
        <v>405</v>
      </c>
      <c r="B31" t="s">
        <v>408</v>
      </c>
      <c r="C31" t="s">
        <v>456</v>
      </c>
      <c r="D31" t="s">
        <v>320</v>
      </c>
      <c r="E31" t="s">
        <v>347</v>
      </c>
      <c r="F31">
        <v>997.33846000000005</v>
      </c>
      <c r="G31" s="194">
        <f t="shared" si="0"/>
        <v>676</v>
      </c>
      <c r="H31" s="189">
        <v>676</v>
      </c>
      <c r="I31" s="189">
        <v>0</v>
      </c>
      <c r="J31" s="189"/>
      <c r="K31" s="194"/>
    </row>
    <row r="32" spans="1:11">
      <c r="A32" t="s">
        <v>405</v>
      </c>
      <c r="B32" t="s">
        <v>408</v>
      </c>
      <c r="C32" t="s">
        <v>457</v>
      </c>
      <c r="D32" t="s">
        <v>320</v>
      </c>
      <c r="E32" t="s">
        <v>348</v>
      </c>
      <c r="F32" s="194">
        <v>4876.363636363636</v>
      </c>
      <c r="G32" s="194">
        <f t="shared" si="0"/>
        <v>2682</v>
      </c>
      <c r="H32" s="189">
        <v>2682</v>
      </c>
      <c r="I32" s="189">
        <v>0</v>
      </c>
      <c r="J32" s="189"/>
      <c r="K32" s="194"/>
    </row>
    <row r="33" spans="1:11">
      <c r="A33" t="s">
        <v>405</v>
      </c>
      <c r="B33" t="s">
        <v>408</v>
      </c>
      <c r="C33" t="s">
        <v>349</v>
      </c>
      <c r="D33" t="s">
        <v>350</v>
      </c>
      <c r="E33" t="s">
        <v>351</v>
      </c>
      <c r="F33">
        <v>3419.4461500000002</v>
      </c>
      <c r="G33" s="194">
        <f t="shared" si="0"/>
        <v>1692.3077390000001</v>
      </c>
      <c r="H33" s="189">
        <v>1692.3077390000001</v>
      </c>
      <c r="I33" s="189">
        <v>0</v>
      </c>
      <c r="J33" s="189"/>
      <c r="K33" s="194"/>
    </row>
    <row r="34" spans="1:11">
      <c r="A34" t="s">
        <v>405</v>
      </c>
      <c r="B34" t="s">
        <v>408</v>
      </c>
      <c r="C34" t="s">
        <v>352</v>
      </c>
      <c r="D34" t="s">
        <v>353</v>
      </c>
      <c r="E34" t="s">
        <v>354</v>
      </c>
      <c r="F34">
        <v>997.33846000000005</v>
      </c>
      <c r="G34" s="194">
        <f t="shared" si="0"/>
        <v>676</v>
      </c>
      <c r="H34" s="189">
        <v>676</v>
      </c>
      <c r="I34" s="189">
        <v>0</v>
      </c>
      <c r="J34" s="189"/>
      <c r="K34" s="194"/>
    </row>
    <row r="35" spans="1:11">
      <c r="A35" t="s">
        <v>405</v>
      </c>
      <c r="B35" t="s">
        <v>408</v>
      </c>
      <c r="C35" t="s">
        <v>355</v>
      </c>
      <c r="D35" t="s">
        <v>320</v>
      </c>
      <c r="E35" t="s">
        <v>356</v>
      </c>
      <c r="F35">
        <v>5699.0769200000004</v>
      </c>
      <c r="G35" s="194">
        <f t="shared" si="0"/>
        <v>4105.919922</v>
      </c>
      <c r="H35" s="189">
        <v>4105.919922</v>
      </c>
      <c r="I35" s="189">
        <v>0</v>
      </c>
      <c r="J35" s="189"/>
      <c r="K35" s="194"/>
    </row>
    <row r="36" spans="1:11">
      <c r="A36" t="s">
        <v>405</v>
      </c>
      <c r="B36" t="s">
        <v>408</v>
      </c>
      <c r="C36" t="s">
        <v>357</v>
      </c>
      <c r="D36" t="s">
        <v>320</v>
      </c>
      <c r="E36" t="s">
        <v>358</v>
      </c>
      <c r="F36">
        <v>4723.0615399999997</v>
      </c>
      <c r="G36" s="194">
        <f t="shared" si="0"/>
        <v>3149.1201169999999</v>
      </c>
      <c r="H36" s="189">
        <v>3149.1201169999999</v>
      </c>
      <c r="I36" s="189">
        <v>0</v>
      </c>
      <c r="J36" s="189"/>
      <c r="K36" s="194"/>
    </row>
    <row r="37" spans="1:11">
      <c r="A37" t="s">
        <v>405</v>
      </c>
      <c r="B37" t="s">
        <v>408</v>
      </c>
      <c r="C37" t="s">
        <v>359</v>
      </c>
      <c r="D37" t="s">
        <v>280</v>
      </c>
      <c r="E37" t="s">
        <v>360</v>
      </c>
      <c r="F37">
        <v>71.238460000000003</v>
      </c>
      <c r="G37" s="194">
        <f t="shared" si="0"/>
        <v>15.575221060000001</v>
      </c>
      <c r="H37" s="189">
        <v>15.575221060000001</v>
      </c>
      <c r="I37" s="189">
        <v>0</v>
      </c>
      <c r="J37" s="189"/>
      <c r="K37" s="194"/>
    </row>
    <row r="38" spans="1:11">
      <c r="A38" t="s">
        <v>361</v>
      </c>
      <c r="C38" t="s">
        <v>362</v>
      </c>
      <c r="D38" t="s">
        <v>363</v>
      </c>
      <c r="E38" t="s">
        <v>364</v>
      </c>
      <c r="F38">
        <v>891.14336000000003</v>
      </c>
      <c r="G38" s="194">
        <f t="shared" si="0"/>
        <v>344.83190919999998</v>
      </c>
      <c r="H38" s="189">
        <v>344.83190919999998</v>
      </c>
      <c r="I38" s="189">
        <v>0</v>
      </c>
      <c r="J38" s="189"/>
      <c r="K38" s="194"/>
    </row>
    <row r="39" spans="1:11">
      <c r="A39" t="s">
        <v>409</v>
      </c>
      <c r="C39" t="s">
        <v>365</v>
      </c>
      <c r="D39" t="s">
        <v>366</v>
      </c>
      <c r="E39" t="s">
        <v>367</v>
      </c>
      <c r="F39">
        <v>10264.65517</v>
      </c>
      <c r="G39" s="194">
        <f t="shared" si="0"/>
        <v>5132.9399409999996</v>
      </c>
      <c r="H39" s="189">
        <v>0</v>
      </c>
      <c r="I39" s="189">
        <v>5132.9399409999996</v>
      </c>
      <c r="J39" s="189"/>
      <c r="K39" s="194"/>
    </row>
    <row r="40" spans="1:11">
      <c r="A40" t="s">
        <v>409</v>
      </c>
      <c r="C40" t="s">
        <v>368</v>
      </c>
      <c r="D40" t="str">
        <f t="shared" ref="D40:D43" si="3">D39</f>
        <v>三华</v>
      </c>
      <c r="E40" t="s">
        <v>369</v>
      </c>
      <c r="F40">
        <v>10264.65517</v>
      </c>
      <c r="G40" s="194">
        <f t="shared" si="0"/>
        <v>4561.3100590000004</v>
      </c>
      <c r="H40" s="189">
        <v>4561.3100590000004</v>
      </c>
      <c r="I40" s="189">
        <v>0</v>
      </c>
      <c r="J40" s="189"/>
      <c r="K40" s="194"/>
    </row>
    <row r="41" spans="1:11">
      <c r="A41" t="s">
        <v>409</v>
      </c>
      <c r="C41" t="s">
        <v>370</v>
      </c>
      <c r="D41" t="str">
        <f t="shared" si="3"/>
        <v>三华</v>
      </c>
      <c r="E41" t="s">
        <v>371</v>
      </c>
      <c r="F41">
        <v>10264.65517</v>
      </c>
      <c r="G41" s="194">
        <f t="shared" si="0"/>
        <v>5012.5600590000004</v>
      </c>
      <c r="H41" s="189">
        <v>0</v>
      </c>
      <c r="I41" s="189">
        <v>5012.5600590000004</v>
      </c>
      <c r="J41" s="189"/>
      <c r="K41" s="194"/>
    </row>
    <row r="42" spans="1:11">
      <c r="A42" t="s">
        <v>409</v>
      </c>
      <c r="C42" t="s">
        <v>372</v>
      </c>
      <c r="D42" t="str">
        <f t="shared" si="3"/>
        <v>三华</v>
      </c>
      <c r="E42" t="s">
        <v>373</v>
      </c>
      <c r="F42">
        <v>10264.65517</v>
      </c>
      <c r="G42" s="194">
        <f t="shared" si="0"/>
        <v>5871.2700199999999</v>
      </c>
      <c r="H42" s="189">
        <v>0</v>
      </c>
      <c r="I42" s="189">
        <v>5871.2700199999999</v>
      </c>
      <c r="J42" s="189"/>
      <c r="K42" s="194"/>
    </row>
    <row r="43" spans="1:11">
      <c r="A43" t="s">
        <v>409</v>
      </c>
      <c r="C43" t="s">
        <v>374</v>
      </c>
      <c r="D43" t="str">
        <f t="shared" si="3"/>
        <v>三华</v>
      </c>
      <c r="E43" t="s">
        <v>375</v>
      </c>
      <c r="F43">
        <v>10264.65517</v>
      </c>
      <c r="G43" s="194">
        <f t="shared" si="0"/>
        <v>5132.9399409999996</v>
      </c>
      <c r="H43" s="189">
        <v>0</v>
      </c>
      <c r="I43" s="189">
        <v>5132.9399409999996</v>
      </c>
      <c r="J43" s="189"/>
      <c r="K43" s="194"/>
    </row>
    <row r="44" spans="1:11">
      <c r="A44" t="s">
        <v>409</v>
      </c>
      <c r="C44" t="s">
        <v>483</v>
      </c>
      <c r="D44" t="s">
        <v>484</v>
      </c>
      <c r="E44" t="s">
        <v>376</v>
      </c>
      <c r="F44">
        <v>8723.0769199999995</v>
      </c>
      <c r="G44" s="194">
        <f t="shared" si="0"/>
        <v>2946.580078</v>
      </c>
      <c r="H44" s="190">
        <v>2946.580078</v>
      </c>
      <c r="I44" s="190">
        <v>0</v>
      </c>
      <c r="J44" s="189"/>
      <c r="K44" s="194"/>
    </row>
    <row r="45" spans="1:11">
      <c r="A45" t="s">
        <v>409</v>
      </c>
      <c r="C45" t="s">
        <v>482</v>
      </c>
      <c r="D45" t="s">
        <v>485</v>
      </c>
      <c r="E45" t="s">
        <v>376</v>
      </c>
      <c r="F45">
        <v>29.01</v>
      </c>
      <c r="G45" s="194">
        <f t="shared" si="0"/>
        <v>8.25</v>
      </c>
      <c r="H45" s="190">
        <v>8.25</v>
      </c>
      <c r="I45" s="190">
        <v>0</v>
      </c>
      <c r="J45" s="189"/>
      <c r="K45" s="194"/>
    </row>
    <row r="46" spans="1:11">
      <c r="A46" t="s">
        <v>409</v>
      </c>
      <c r="C46" t="s">
        <v>486</v>
      </c>
      <c r="D46" t="s">
        <v>484</v>
      </c>
      <c r="E46" t="s">
        <v>377</v>
      </c>
      <c r="F46">
        <v>15328.551729999999</v>
      </c>
      <c r="G46" s="194">
        <f t="shared" si="0"/>
        <v>2357.2700199999999</v>
      </c>
      <c r="H46" s="190">
        <v>2357.2700199999999</v>
      </c>
      <c r="I46" s="190">
        <v>0</v>
      </c>
      <c r="J46" s="189"/>
      <c r="K46" s="194"/>
    </row>
    <row r="47" spans="1:11">
      <c r="A47" t="s">
        <v>409</v>
      </c>
      <c r="C47" t="s">
        <v>482</v>
      </c>
      <c r="D47" t="s">
        <v>485</v>
      </c>
      <c r="E47" t="s">
        <v>377</v>
      </c>
      <c r="F47">
        <v>29.01</v>
      </c>
      <c r="G47" s="194">
        <f t="shared" si="0"/>
        <v>8.25</v>
      </c>
      <c r="H47" s="190">
        <v>8.25</v>
      </c>
      <c r="I47" s="190">
        <v>0</v>
      </c>
      <c r="J47" s="189"/>
      <c r="K47" s="194"/>
    </row>
    <row r="48" spans="1:11">
      <c r="A48" t="s">
        <v>409</v>
      </c>
      <c r="C48" t="s">
        <v>487</v>
      </c>
      <c r="D48" t="s">
        <v>484</v>
      </c>
      <c r="E48" t="s">
        <v>378</v>
      </c>
      <c r="F48" s="194">
        <v>5357.4183236363633</v>
      </c>
      <c r="G48" s="194">
        <f t="shared" si="0"/>
        <v>2946.580078</v>
      </c>
      <c r="H48" s="190">
        <v>2946.580078</v>
      </c>
      <c r="I48" s="190">
        <v>0</v>
      </c>
      <c r="J48" s="189"/>
      <c r="K48" s="194"/>
    </row>
    <row r="49" spans="1:11">
      <c r="A49" t="s">
        <v>409</v>
      </c>
      <c r="C49" t="s">
        <v>482</v>
      </c>
      <c r="D49" t="s">
        <v>485</v>
      </c>
      <c r="E49" t="s">
        <v>378</v>
      </c>
      <c r="F49">
        <v>29.01</v>
      </c>
      <c r="G49" s="194">
        <f t="shared" si="0"/>
        <v>8.25</v>
      </c>
      <c r="H49" s="190">
        <v>8.25</v>
      </c>
      <c r="I49" s="190">
        <v>0</v>
      </c>
      <c r="J49" s="189"/>
      <c r="K49" s="194"/>
    </row>
    <row r="50" spans="1:11">
      <c r="A50" t="s">
        <v>409</v>
      </c>
      <c r="C50" t="s">
        <v>488</v>
      </c>
      <c r="D50" t="s">
        <v>484</v>
      </c>
      <c r="E50" t="s">
        <v>379</v>
      </c>
      <c r="F50" s="194">
        <v>4285.94549090909</v>
      </c>
      <c r="G50" s="194">
        <f t="shared" si="0"/>
        <v>2357.2700199999999</v>
      </c>
      <c r="H50" s="190">
        <v>2357.2700199999999</v>
      </c>
      <c r="I50" s="190">
        <v>0</v>
      </c>
      <c r="J50" s="189"/>
      <c r="K50" s="194"/>
    </row>
    <row r="51" spans="1:11">
      <c r="A51" t="s">
        <v>409</v>
      </c>
      <c r="C51" t="s">
        <v>482</v>
      </c>
      <c r="D51" t="s">
        <v>485</v>
      </c>
      <c r="E51" t="s">
        <v>379</v>
      </c>
      <c r="F51">
        <v>29.01</v>
      </c>
      <c r="G51" s="194">
        <f t="shared" si="0"/>
        <v>8.25</v>
      </c>
      <c r="H51" s="190">
        <v>8.25</v>
      </c>
      <c r="I51" s="190">
        <v>0</v>
      </c>
      <c r="J51" s="189"/>
      <c r="K51" s="194"/>
    </row>
    <row r="52" spans="1:11">
      <c r="A52" t="s">
        <v>409</v>
      </c>
      <c r="C52" t="s">
        <v>489</v>
      </c>
      <c r="D52" t="s">
        <v>484</v>
      </c>
      <c r="E52" t="s">
        <v>380</v>
      </c>
      <c r="F52" s="194">
        <v>5439.0052381818177</v>
      </c>
      <c r="G52" s="194">
        <f t="shared" si="0"/>
        <v>2991.4528810000002</v>
      </c>
      <c r="H52" s="190">
        <v>2991.4528810000002</v>
      </c>
      <c r="I52" s="190">
        <v>0</v>
      </c>
      <c r="J52" s="189"/>
      <c r="K52" s="194"/>
    </row>
    <row r="53" spans="1:11">
      <c r="A53" t="s">
        <v>409</v>
      </c>
      <c r="C53" t="s">
        <v>482</v>
      </c>
      <c r="D53" t="s">
        <v>485</v>
      </c>
      <c r="E53" t="s">
        <v>380</v>
      </c>
      <c r="F53">
        <v>29.01</v>
      </c>
      <c r="G53" s="194">
        <f t="shared" si="0"/>
        <v>8.25</v>
      </c>
      <c r="H53" s="190">
        <v>8.25</v>
      </c>
      <c r="I53" s="190">
        <v>0</v>
      </c>
      <c r="J53" s="189"/>
      <c r="K53" s="194"/>
    </row>
    <row r="54" spans="1:11">
      <c r="A54" t="s">
        <v>409</v>
      </c>
      <c r="C54" t="s">
        <v>490</v>
      </c>
      <c r="D54" t="s">
        <v>484</v>
      </c>
      <c r="E54" t="s">
        <v>381</v>
      </c>
      <c r="F54" s="194">
        <v>5439.0052381818177</v>
      </c>
      <c r="G54" s="194">
        <f t="shared" si="0"/>
        <v>2991.4528810000002</v>
      </c>
      <c r="H54" s="190">
        <v>2991.4528810000002</v>
      </c>
      <c r="I54" s="190">
        <v>0</v>
      </c>
      <c r="J54" s="189"/>
      <c r="K54" s="194"/>
    </row>
    <row r="55" spans="1:11">
      <c r="A55" t="s">
        <v>409</v>
      </c>
      <c r="C55" t="s">
        <v>482</v>
      </c>
      <c r="D55" t="s">
        <v>485</v>
      </c>
      <c r="E55" t="s">
        <v>381</v>
      </c>
      <c r="F55">
        <v>29.01</v>
      </c>
      <c r="G55" s="194">
        <f t="shared" si="0"/>
        <v>8.25</v>
      </c>
      <c r="H55" s="190">
        <v>8.25</v>
      </c>
      <c r="I55" s="190">
        <v>0</v>
      </c>
      <c r="J55" s="189"/>
      <c r="K55" s="194"/>
    </row>
    <row r="56" spans="1:11">
      <c r="A56" t="s">
        <v>409</v>
      </c>
      <c r="C56" t="s">
        <v>491</v>
      </c>
      <c r="D56" t="s">
        <v>484</v>
      </c>
      <c r="E56" t="s">
        <v>382</v>
      </c>
      <c r="F56">
        <v>6045.4955799999998</v>
      </c>
      <c r="G56" s="194">
        <f t="shared" si="0"/>
        <v>2441.4499510000001</v>
      </c>
      <c r="H56" s="190">
        <v>2441.4499510000001</v>
      </c>
      <c r="I56" s="190">
        <v>0</v>
      </c>
      <c r="J56" s="189"/>
      <c r="K56" s="194"/>
    </row>
    <row r="57" spans="1:11">
      <c r="A57" t="s">
        <v>409</v>
      </c>
      <c r="C57" t="s">
        <v>482</v>
      </c>
      <c r="D57" t="s">
        <v>485</v>
      </c>
      <c r="E57" t="s">
        <v>382</v>
      </c>
      <c r="F57">
        <v>29.01</v>
      </c>
      <c r="G57" s="194">
        <f t="shared" si="0"/>
        <v>8.25</v>
      </c>
      <c r="H57" s="190">
        <v>8.25</v>
      </c>
      <c r="I57" s="190">
        <v>0</v>
      </c>
      <c r="J57" s="189"/>
      <c r="K57" s="194"/>
    </row>
    <row r="58" spans="1:11">
      <c r="A58" t="s">
        <v>409</v>
      </c>
      <c r="C58" t="s">
        <v>492</v>
      </c>
      <c r="D58" t="s">
        <v>484</v>
      </c>
      <c r="E58" t="s">
        <v>383</v>
      </c>
      <c r="F58">
        <v>4169.3097299999999</v>
      </c>
      <c r="G58" s="194">
        <f t="shared" si="0"/>
        <v>1683.76001</v>
      </c>
      <c r="H58" s="190">
        <v>1683.76001</v>
      </c>
      <c r="I58" s="190">
        <v>0</v>
      </c>
      <c r="J58" s="189"/>
      <c r="K58" s="194"/>
    </row>
    <row r="59" spans="1:11">
      <c r="A59" t="s">
        <v>409</v>
      </c>
      <c r="C59" t="s">
        <v>482</v>
      </c>
      <c r="D59" t="s">
        <v>485</v>
      </c>
      <c r="E59" t="s">
        <v>383</v>
      </c>
      <c r="F59">
        <v>29.01</v>
      </c>
      <c r="G59" s="194">
        <f t="shared" si="0"/>
        <v>8.25</v>
      </c>
      <c r="H59" s="190">
        <v>8.25</v>
      </c>
      <c r="I59" s="190">
        <v>0</v>
      </c>
      <c r="J59" s="189"/>
      <c r="K59" s="194"/>
    </row>
    <row r="60" spans="1:11">
      <c r="A60" t="s">
        <v>409</v>
      </c>
      <c r="C60" t="s">
        <v>493</v>
      </c>
      <c r="D60" t="s">
        <v>484</v>
      </c>
      <c r="E60" t="s">
        <v>384</v>
      </c>
      <c r="F60" s="194">
        <v>4506.5999999999995</v>
      </c>
      <c r="G60" s="194">
        <f t="shared" si="0"/>
        <v>2478.63</v>
      </c>
      <c r="H60" s="190">
        <v>2478.63</v>
      </c>
      <c r="I60" s="190">
        <v>0</v>
      </c>
      <c r="J60" s="189"/>
      <c r="K60" s="194"/>
    </row>
    <row r="61" spans="1:11">
      <c r="A61" t="s">
        <v>409</v>
      </c>
      <c r="C61" t="s">
        <v>482</v>
      </c>
      <c r="D61" t="s">
        <v>485</v>
      </c>
      <c r="E61" t="s">
        <v>384</v>
      </c>
      <c r="F61">
        <v>29.01</v>
      </c>
      <c r="G61" s="194">
        <f t="shared" si="0"/>
        <v>8.25</v>
      </c>
      <c r="H61" s="190">
        <v>8.25</v>
      </c>
      <c r="I61" s="190">
        <v>0</v>
      </c>
      <c r="J61" s="189"/>
      <c r="K61" s="194"/>
    </row>
    <row r="62" spans="1:11">
      <c r="A62" t="s">
        <v>409</v>
      </c>
      <c r="C62" t="s">
        <v>494</v>
      </c>
      <c r="D62" t="s">
        <v>484</v>
      </c>
      <c r="E62" t="s">
        <v>385</v>
      </c>
      <c r="F62">
        <v>3865.2923099999998</v>
      </c>
      <c r="G62" s="194">
        <f t="shared" si="0"/>
        <v>1683.76001</v>
      </c>
      <c r="H62" s="190">
        <v>1683.76001</v>
      </c>
      <c r="I62" s="190">
        <v>0</v>
      </c>
      <c r="J62" s="189"/>
      <c r="K62" s="194"/>
    </row>
    <row r="63" spans="1:11">
      <c r="A63" t="s">
        <v>409</v>
      </c>
      <c r="C63" t="s">
        <v>482</v>
      </c>
      <c r="D63" t="s">
        <v>485</v>
      </c>
      <c r="E63" t="s">
        <v>385</v>
      </c>
      <c r="F63">
        <v>29.01</v>
      </c>
      <c r="G63" s="194">
        <f t="shared" si="0"/>
        <v>8.25</v>
      </c>
      <c r="H63" s="190">
        <v>8.25</v>
      </c>
      <c r="I63" s="190">
        <v>0</v>
      </c>
      <c r="J63" s="189"/>
      <c r="K63" s="194"/>
    </row>
    <row r="64" spans="1:11">
      <c r="A64" t="s">
        <v>409</v>
      </c>
      <c r="C64" t="s">
        <v>386</v>
      </c>
      <c r="D64" t="s">
        <v>387</v>
      </c>
      <c r="E64" t="s">
        <v>388</v>
      </c>
      <c r="F64">
        <v>4070.7692299999999</v>
      </c>
      <c r="G64" s="194">
        <f t="shared" si="0"/>
        <v>1752.1400149999999</v>
      </c>
      <c r="H64" s="190">
        <v>1752.1400149999999</v>
      </c>
      <c r="I64" s="190">
        <v>0</v>
      </c>
      <c r="J64" s="189"/>
      <c r="K64" s="194"/>
    </row>
    <row r="65" spans="1:11">
      <c r="A65" t="s">
        <v>409</v>
      </c>
      <c r="C65" t="s">
        <v>389</v>
      </c>
      <c r="D65" t="str">
        <f>D64</f>
        <v>赛多利斯</v>
      </c>
      <c r="E65" t="s">
        <v>390</v>
      </c>
      <c r="F65">
        <v>4070.7692299999999</v>
      </c>
      <c r="G65" s="194">
        <f t="shared" si="0"/>
        <v>2136.75</v>
      </c>
      <c r="H65" s="190">
        <v>2136.75</v>
      </c>
      <c r="I65" s="190">
        <v>0</v>
      </c>
      <c r="J65" s="189"/>
      <c r="K65" s="194"/>
    </row>
    <row r="66" spans="1:11">
      <c r="A66" t="s">
        <v>409</v>
      </c>
      <c r="C66" t="s">
        <v>391</v>
      </c>
      <c r="D66" t="s">
        <v>392</v>
      </c>
      <c r="E66" t="s">
        <v>393</v>
      </c>
      <c r="F66" s="194">
        <v>4725.454545454545</v>
      </c>
      <c r="G66" s="194">
        <f t="shared" si="0"/>
        <v>2599</v>
      </c>
      <c r="H66" s="190">
        <v>2599</v>
      </c>
      <c r="I66" s="190">
        <v>0</v>
      </c>
      <c r="J66" s="189"/>
      <c r="K66" s="194"/>
    </row>
    <row r="67" spans="1:11">
      <c r="A67" t="s">
        <v>409</v>
      </c>
      <c r="C67" t="s">
        <v>394</v>
      </c>
      <c r="D67" t="str">
        <f t="shared" ref="D67:D71" si="4">D66</f>
        <v>梅特勒</v>
      </c>
      <c r="E67" t="s">
        <v>395</v>
      </c>
      <c r="F67">
        <v>1282.29231</v>
      </c>
      <c r="G67" s="194">
        <f t="shared" ref="G67:G86" si="5">H67+I67</f>
        <v>897.44000240000003</v>
      </c>
      <c r="H67" s="190">
        <v>897.44000240000003</v>
      </c>
      <c r="I67" s="190">
        <v>0</v>
      </c>
      <c r="J67" s="189"/>
      <c r="K67" s="194"/>
    </row>
    <row r="68" spans="1:11">
      <c r="A68" t="s">
        <v>409</v>
      </c>
      <c r="C68" t="s">
        <v>396</v>
      </c>
      <c r="D68" t="str">
        <f t="shared" si="4"/>
        <v>梅特勒</v>
      </c>
      <c r="E68" t="s">
        <v>397</v>
      </c>
      <c r="F68">
        <v>627.09231</v>
      </c>
      <c r="G68" s="194">
        <f t="shared" si="5"/>
        <v>478.63000490000002</v>
      </c>
      <c r="H68" s="190">
        <v>478.63000490000002</v>
      </c>
      <c r="I68" s="190">
        <v>0</v>
      </c>
      <c r="J68" s="189"/>
      <c r="K68" s="194"/>
    </row>
    <row r="69" spans="1:11">
      <c r="A69" t="s">
        <v>409</v>
      </c>
      <c r="C69" t="s">
        <v>398</v>
      </c>
      <c r="D69" t="str">
        <f t="shared" si="4"/>
        <v>梅特勒</v>
      </c>
      <c r="E69" t="s">
        <v>399</v>
      </c>
      <c r="F69">
        <v>427.43077</v>
      </c>
      <c r="G69" s="194">
        <f t="shared" si="5"/>
        <v>68.379997250000002</v>
      </c>
      <c r="H69" s="190">
        <v>68.379997250000002</v>
      </c>
      <c r="I69" s="190">
        <v>0</v>
      </c>
      <c r="J69" s="189"/>
      <c r="K69" s="194"/>
    </row>
    <row r="70" spans="1:11">
      <c r="A70" t="s">
        <v>409</v>
      </c>
      <c r="C70" t="s">
        <v>400</v>
      </c>
      <c r="D70" t="str">
        <f t="shared" si="4"/>
        <v>梅特勒</v>
      </c>
      <c r="E70" t="s">
        <v>401</v>
      </c>
      <c r="F70">
        <v>39.15692</v>
      </c>
      <c r="G70" s="194">
        <f t="shared" si="5"/>
        <v>27.350000380000001</v>
      </c>
      <c r="H70" s="190">
        <v>27.350000380000001</v>
      </c>
      <c r="I70" s="190">
        <v>0</v>
      </c>
      <c r="J70" s="189"/>
      <c r="K70" s="194"/>
    </row>
    <row r="71" spans="1:11">
      <c r="A71" t="s">
        <v>409</v>
      </c>
      <c r="C71" t="s">
        <v>402</v>
      </c>
      <c r="D71" t="str">
        <f t="shared" si="4"/>
        <v>梅特勒</v>
      </c>
      <c r="E71" t="s">
        <v>410</v>
      </c>
      <c r="F71">
        <v>10.66154</v>
      </c>
      <c r="G71" s="194">
        <f t="shared" si="5"/>
        <v>6.8379998210000004</v>
      </c>
      <c r="H71" s="190">
        <v>6.8379998210000004</v>
      </c>
      <c r="I71" s="190">
        <v>0</v>
      </c>
      <c r="J71" s="189"/>
      <c r="K71" s="194"/>
    </row>
    <row r="72" spans="1:11">
      <c r="A72" t="s">
        <v>461</v>
      </c>
      <c r="C72" t="s">
        <v>462</v>
      </c>
      <c r="D72" t="s">
        <v>51</v>
      </c>
      <c r="E72" t="s">
        <v>465</v>
      </c>
      <c r="F72" s="194">
        <v>296.36363636363632</v>
      </c>
      <c r="G72" s="194">
        <f t="shared" si="5"/>
        <v>163</v>
      </c>
      <c r="H72" s="190">
        <v>163</v>
      </c>
      <c r="I72" s="190">
        <v>0</v>
      </c>
      <c r="J72" s="189"/>
      <c r="K72" s="194"/>
    </row>
    <row r="73" spans="1:11">
      <c r="A73" t="s">
        <v>461</v>
      </c>
      <c r="C73" t="s">
        <v>463</v>
      </c>
      <c r="D73" t="s">
        <v>464</v>
      </c>
      <c r="E73" t="s">
        <v>466</v>
      </c>
      <c r="F73">
        <v>3519.3103500000002</v>
      </c>
      <c r="G73" s="194">
        <f t="shared" si="5"/>
        <v>341.88034190000002</v>
      </c>
      <c r="H73" s="190">
        <v>341.88034190000002</v>
      </c>
      <c r="I73" s="190">
        <v>0</v>
      </c>
      <c r="J73" s="189"/>
      <c r="K73" s="194"/>
    </row>
    <row r="74" spans="1:11">
      <c r="A74" t="s">
        <v>467</v>
      </c>
      <c r="C74" t="s">
        <v>468</v>
      </c>
      <c r="E74" t="s">
        <v>472</v>
      </c>
      <c r="F74">
        <v>24.227429999999998</v>
      </c>
      <c r="G74" s="194">
        <f t="shared" si="5"/>
        <v>11.539999959999999</v>
      </c>
      <c r="H74" s="190">
        <v>11.539999959999999</v>
      </c>
      <c r="I74" s="190">
        <v>0</v>
      </c>
      <c r="J74" s="189"/>
      <c r="K74" s="194"/>
    </row>
    <row r="75" spans="1:11">
      <c r="A75" t="s">
        <v>467</v>
      </c>
      <c r="C75" t="s">
        <v>469</v>
      </c>
      <c r="E75" t="s">
        <v>472</v>
      </c>
      <c r="F75">
        <v>84.811499999999995</v>
      </c>
      <c r="G75" s="194">
        <f t="shared" si="5"/>
        <v>32.630001069999999</v>
      </c>
      <c r="H75" s="190">
        <v>32.630001069999999</v>
      </c>
      <c r="I75" s="190">
        <v>0</v>
      </c>
      <c r="J75" s="189"/>
      <c r="K75" s="194"/>
    </row>
    <row r="76" spans="1:11">
      <c r="A76" t="s">
        <v>467</v>
      </c>
      <c r="C76" t="s">
        <v>470</v>
      </c>
      <c r="E76" t="s">
        <v>472</v>
      </c>
      <c r="F76" s="194">
        <v>2.9818181563636363</v>
      </c>
      <c r="G76" s="194">
        <f t="shared" si="5"/>
        <v>1.6399999860000001</v>
      </c>
      <c r="H76" s="190">
        <v>1.6399999860000001</v>
      </c>
      <c r="I76" s="190">
        <v>0</v>
      </c>
      <c r="J76" s="189"/>
      <c r="K76" s="194"/>
    </row>
    <row r="77" spans="1:11">
      <c r="A77" t="s">
        <v>467</v>
      </c>
      <c r="C77" t="s">
        <v>471</v>
      </c>
      <c r="E77" t="s">
        <v>472</v>
      </c>
      <c r="F77" s="194">
        <v>5.3090910472727266</v>
      </c>
      <c r="G77" s="194">
        <f t="shared" si="5"/>
        <v>2.920000076</v>
      </c>
      <c r="H77" s="190">
        <v>2.920000076</v>
      </c>
      <c r="I77" s="190">
        <v>0</v>
      </c>
      <c r="J77" s="189"/>
      <c r="K77" s="194"/>
    </row>
    <row r="78" spans="1:11">
      <c r="A78" t="s">
        <v>467</v>
      </c>
      <c r="C78" t="s">
        <v>468</v>
      </c>
      <c r="E78" t="s">
        <v>475</v>
      </c>
      <c r="F78">
        <v>24.227429999999998</v>
      </c>
      <c r="G78" s="194">
        <f t="shared" si="5"/>
        <v>11.539999959999999</v>
      </c>
      <c r="H78" s="190">
        <v>11.539999959999999</v>
      </c>
      <c r="I78" s="190">
        <v>0</v>
      </c>
      <c r="J78" s="189"/>
      <c r="K78" s="194"/>
    </row>
    <row r="79" spans="1:11">
      <c r="A79" t="s">
        <v>467</v>
      </c>
      <c r="C79" t="s">
        <v>473</v>
      </c>
      <c r="E79" t="s">
        <v>475</v>
      </c>
      <c r="F79">
        <v>131.62477999999999</v>
      </c>
      <c r="G79" s="194">
        <f t="shared" si="5"/>
        <v>51.27999878</v>
      </c>
      <c r="H79" s="190">
        <v>51.27999878</v>
      </c>
      <c r="I79" s="190">
        <v>0</v>
      </c>
      <c r="J79" s="189"/>
      <c r="K79" s="194"/>
    </row>
    <row r="80" spans="1:11">
      <c r="A80" t="s">
        <v>467</v>
      </c>
      <c r="C80" t="s">
        <v>474</v>
      </c>
      <c r="E80" t="s">
        <v>475</v>
      </c>
      <c r="F80">
        <v>44.1</v>
      </c>
      <c r="G80" s="194">
        <f t="shared" si="5"/>
        <v>9.8479995729999992</v>
      </c>
      <c r="H80" s="190">
        <v>9.8479995729999992</v>
      </c>
      <c r="I80" s="190">
        <v>0</v>
      </c>
      <c r="J80" s="189"/>
      <c r="K80" s="194"/>
    </row>
    <row r="81" spans="1:11">
      <c r="A81" t="s">
        <v>467</v>
      </c>
      <c r="C81" t="s">
        <v>470</v>
      </c>
      <c r="E81" t="s">
        <v>475</v>
      </c>
      <c r="F81" s="194">
        <v>2.9818181563636363</v>
      </c>
      <c r="G81" s="194">
        <f t="shared" si="5"/>
        <v>1.6399999860000001</v>
      </c>
      <c r="H81" s="190">
        <v>1.6399999860000001</v>
      </c>
      <c r="I81" s="190">
        <v>0</v>
      </c>
      <c r="J81" s="189"/>
      <c r="K81" s="194"/>
    </row>
    <row r="82" spans="1:11">
      <c r="A82" t="s">
        <v>467</v>
      </c>
      <c r="C82" t="s">
        <v>471</v>
      </c>
      <c r="E82" t="s">
        <v>475</v>
      </c>
      <c r="F82" s="194">
        <v>5.3090910472727266</v>
      </c>
      <c r="G82" s="194">
        <f t="shared" si="5"/>
        <v>2.920000076</v>
      </c>
      <c r="H82" s="190">
        <v>2.920000076</v>
      </c>
      <c r="I82" s="190">
        <v>0</v>
      </c>
      <c r="J82" s="189"/>
      <c r="K82" s="194"/>
    </row>
    <row r="83" spans="1:11">
      <c r="A83" t="s">
        <v>467</v>
      </c>
      <c r="C83" t="s">
        <v>471</v>
      </c>
      <c r="E83" t="s">
        <v>476</v>
      </c>
      <c r="F83" s="194">
        <v>5.3090910472727266</v>
      </c>
      <c r="G83" s="194">
        <f t="shared" si="5"/>
        <v>2.920000076</v>
      </c>
      <c r="H83" s="190">
        <v>2.920000076</v>
      </c>
      <c r="I83" s="190">
        <v>0</v>
      </c>
      <c r="J83" s="189"/>
      <c r="K83" s="194"/>
    </row>
    <row r="84" spans="1:11">
      <c r="A84" t="s">
        <v>467</v>
      </c>
      <c r="C84" t="s">
        <v>470</v>
      </c>
      <c r="E84" t="s">
        <v>476</v>
      </c>
      <c r="F84" s="194">
        <v>2.9818181563636363</v>
      </c>
      <c r="G84" s="194">
        <f t="shared" si="5"/>
        <v>1.6399999860000001</v>
      </c>
      <c r="H84" s="190">
        <v>1.6399999860000001</v>
      </c>
      <c r="I84" s="190">
        <v>0</v>
      </c>
      <c r="J84" s="189"/>
      <c r="K84" s="194"/>
    </row>
    <row r="85" spans="1:11">
      <c r="A85" t="s">
        <v>477</v>
      </c>
      <c r="C85" t="s">
        <v>478</v>
      </c>
      <c r="E85" t="s">
        <v>480</v>
      </c>
      <c r="F85" s="194">
        <v>46.822204581818177</v>
      </c>
      <c r="G85" s="194">
        <f t="shared" si="5"/>
        <v>25.75221252</v>
      </c>
      <c r="H85" s="190">
        <v>25.75221252</v>
      </c>
      <c r="I85" s="190">
        <v>0</v>
      </c>
      <c r="J85" s="189"/>
      <c r="K85" s="194"/>
    </row>
    <row r="86" spans="1:11">
      <c r="A86" t="s">
        <v>477</v>
      </c>
      <c r="C86" t="s">
        <v>479</v>
      </c>
      <c r="E86" t="s">
        <v>481</v>
      </c>
      <c r="F86" s="194">
        <v>62.268704509090902</v>
      </c>
      <c r="G86" s="194">
        <f t="shared" si="5"/>
        <v>34.24778748</v>
      </c>
      <c r="H86" s="190">
        <v>34.24778748</v>
      </c>
      <c r="I86" s="190">
        <v>0</v>
      </c>
      <c r="J86" s="189"/>
      <c r="K86" s="194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4C00-9F7F-4069-9C8C-FFBABD249DCD}">
  <dimension ref="A1:L32"/>
  <sheetViews>
    <sheetView workbookViewId="0">
      <selection activeCell="C4" sqref="C4:C13"/>
    </sheetView>
  </sheetViews>
  <sheetFormatPr defaultRowHeight="13.8"/>
  <sheetData>
    <row r="1" spans="1:12" ht="14.4">
      <c r="A1" s="7" t="s">
        <v>13</v>
      </c>
      <c r="B1" t="s">
        <v>63</v>
      </c>
      <c r="C1" t="s">
        <v>64</v>
      </c>
      <c r="D1" t="s">
        <v>34</v>
      </c>
      <c r="E1" t="s">
        <v>92</v>
      </c>
      <c r="F1" t="s">
        <v>88</v>
      </c>
      <c r="G1" s="30" t="s">
        <v>105</v>
      </c>
      <c r="H1" t="s">
        <v>403</v>
      </c>
      <c r="J1" t="s">
        <v>512</v>
      </c>
      <c r="L1" t="s">
        <v>521</v>
      </c>
    </row>
    <row r="2" spans="1:12">
      <c r="A2" t="s">
        <v>14</v>
      </c>
      <c r="B2" t="s">
        <v>35</v>
      </c>
      <c r="C2" t="s">
        <v>74</v>
      </c>
      <c r="D2" t="s">
        <v>23</v>
      </c>
      <c r="E2" t="s">
        <v>89</v>
      </c>
      <c r="F2" t="s">
        <v>93</v>
      </c>
      <c r="G2" t="s">
        <v>106</v>
      </c>
      <c r="H2" t="s">
        <v>35</v>
      </c>
      <c r="J2" t="s">
        <v>514</v>
      </c>
      <c r="L2" t="s">
        <v>523</v>
      </c>
    </row>
    <row r="3" spans="1:12">
      <c r="A3" t="s">
        <v>15</v>
      </c>
      <c r="B3" t="s">
        <v>36</v>
      </c>
      <c r="C3" t="s">
        <v>73</v>
      </c>
      <c r="D3" t="s">
        <v>62</v>
      </c>
      <c r="E3" t="s">
        <v>80</v>
      </c>
      <c r="F3" t="s">
        <v>94</v>
      </c>
      <c r="G3" t="s">
        <v>108</v>
      </c>
      <c r="H3" t="s">
        <v>36</v>
      </c>
      <c r="J3" t="s">
        <v>515</v>
      </c>
      <c r="L3" t="s">
        <v>524</v>
      </c>
    </row>
    <row r="4" spans="1:12">
      <c r="B4" t="s">
        <v>22</v>
      </c>
      <c r="C4" t="s">
        <v>75</v>
      </c>
      <c r="E4" t="s">
        <v>90</v>
      </c>
      <c r="F4" t="s">
        <v>95</v>
      </c>
      <c r="G4" t="s">
        <v>560</v>
      </c>
      <c r="H4" t="s">
        <v>22</v>
      </c>
    </row>
    <row r="5" spans="1:12">
      <c r="B5" t="s">
        <v>37</v>
      </c>
      <c r="C5" t="s">
        <v>76</v>
      </c>
      <c r="E5" t="s">
        <v>91</v>
      </c>
      <c r="F5" t="s">
        <v>96</v>
      </c>
      <c r="G5" t="s">
        <v>561</v>
      </c>
      <c r="H5" t="s">
        <v>37</v>
      </c>
    </row>
    <row r="6" spans="1:12">
      <c r="B6" t="s">
        <v>38</v>
      </c>
      <c r="C6" t="s">
        <v>77</v>
      </c>
      <c r="F6" t="s">
        <v>97</v>
      </c>
      <c r="H6" t="s">
        <v>38</v>
      </c>
    </row>
    <row r="7" spans="1:12">
      <c r="B7" t="s">
        <v>40</v>
      </c>
      <c r="C7" t="s">
        <v>65</v>
      </c>
      <c r="F7" t="s">
        <v>98</v>
      </c>
      <c r="H7" t="s">
        <v>39</v>
      </c>
    </row>
    <row r="8" spans="1:12">
      <c r="B8" t="s">
        <v>41</v>
      </c>
      <c r="C8" t="s">
        <v>66</v>
      </c>
      <c r="H8" t="s">
        <v>40</v>
      </c>
    </row>
    <row r="9" spans="1:12">
      <c r="B9" t="s">
        <v>42</v>
      </c>
      <c r="C9" t="s">
        <v>67</v>
      </c>
      <c r="H9" t="s">
        <v>41</v>
      </c>
    </row>
    <row r="10" spans="1:12">
      <c r="B10" t="s">
        <v>43</v>
      </c>
      <c r="C10" t="s">
        <v>68</v>
      </c>
      <c r="H10" t="s">
        <v>42</v>
      </c>
    </row>
    <row r="11" spans="1:12">
      <c r="B11" t="s">
        <v>45</v>
      </c>
      <c r="C11" t="s">
        <v>69</v>
      </c>
      <c r="H11" t="s">
        <v>43</v>
      </c>
    </row>
    <row r="12" spans="1:12">
      <c r="B12" t="s">
        <v>46</v>
      </c>
      <c r="C12" t="s">
        <v>70</v>
      </c>
      <c r="H12" t="s">
        <v>44</v>
      </c>
    </row>
    <row r="13" spans="1:12">
      <c r="B13" t="s">
        <v>47</v>
      </c>
      <c r="C13" t="s">
        <v>71</v>
      </c>
      <c r="H13" t="s">
        <v>45</v>
      </c>
    </row>
    <row r="14" spans="1:12">
      <c r="B14" t="s">
        <v>49</v>
      </c>
      <c r="H14" t="s">
        <v>46</v>
      </c>
    </row>
    <row r="15" spans="1:12">
      <c r="B15" t="s">
        <v>50</v>
      </c>
      <c r="H15" t="s">
        <v>47</v>
      </c>
    </row>
    <row r="16" spans="1:12">
      <c r="B16" t="s">
        <v>584</v>
      </c>
      <c r="H16" t="s">
        <v>48</v>
      </c>
    </row>
    <row r="17" spans="2:8">
      <c r="B17" t="s">
        <v>51</v>
      </c>
      <c r="H17" t="s">
        <v>49</v>
      </c>
    </row>
    <row r="18" spans="2:8">
      <c r="B18" t="s">
        <v>582</v>
      </c>
      <c r="H18" t="s">
        <v>50</v>
      </c>
    </row>
    <row r="19" spans="2:8">
      <c r="B19" t="s">
        <v>52</v>
      </c>
      <c r="H19" t="s">
        <v>74</v>
      </c>
    </row>
    <row r="20" spans="2:8">
      <c r="B20" t="s">
        <v>53</v>
      </c>
      <c r="H20" t="s">
        <v>73</v>
      </c>
    </row>
    <row r="21" spans="2:8">
      <c r="B21" t="s">
        <v>58</v>
      </c>
      <c r="H21" t="s">
        <v>75</v>
      </c>
    </row>
    <row r="22" spans="2:8">
      <c r="B22" t="s">
        <v>54</v>
      </c>
      <c r="H22" t="s">
        <v>76</v>
      </c>
    </row>
    <row r="23" spans="2:8">
      <c r="B23" t="s">
        <v>55</v>
      </c>
      <c r="H23" t="s">
        <v>77</v>
      </c>
    </row>
    <row r="24" spans="2:8">
      <c r="B24" t="s">
        <v>56</v>
      </c>
      <c r="H24" t="s">
        <v>65</v>
      </c>
    </row>
    <row r="25" spans="2:8">
      <c r="B25" t="s">
        <v>57</v>
      </c>
      <c r="H25" t="s">
        <v>66</v>
      </c>
    </row>
    <row r="26" spans="2:8">
      <c r="B26" t="s">
        <v>59</v>
      </c>
      <c r="H26" t="s">
        <v>67</v>
      </c>
    </row>
    <row r="27" spans="2:8">
      <c r="B27" t="s">
        <v>53</v>
      </c>
      <c r="H27" t="s">
        <v>68</v>
      </c>
    </row>
    <row r="28" spans="2:8">
      <c r="B28" t="s">
        <v>46</v>
      </c>
      <c r="H28" t="s">
        <v>69</v>
      </c>
    </row>
    <row r="29" spans="2:8">
      <c r="B29" t="s">
        <v>60</v>
      </c>
      <c r="H29" t="s">
        <v>70</v>
      </c>
    </row>
    <row r="30" spans="2:8">
      <c r="B30" t="s">
        <v>496</v>
      </c>
      <c r="H30" t="s">
        <v>71</v>
      </c>
    </row>
    <row r="31" spans="2:8">
      <c r="B31" t="s">
        <v>61</v>
      </c>
      <c r="H31" t="s">
        <v>23</v>
      </c>
    </row>
    <row r="32" spans="2:8">
      <c r="H32" t="s">
        <v>62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Template</vt:lpstr>
      <vt:lpstr>change</vt:lpstr>
      <vt:lpstr>MM&amp;MSO项目信息</vt:lpstr>
      <vt:lpstr>设备借用分摊明细</vt:lpstr>
      <vt:lpstr>免费物料申请表</vt:lpstr>
      <vt:lpstr>设备投入清单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Rong, Riva</dc:creator>
  <cp:lastModifiedBy>Rong, Riva</cp:lastModifiedBy>
  <dcterms:created xsi:type="dcterms:W3CDTF">2024-04-16T09:22:33Z</dcterms:created>
  <dcterms:modified xsi:type="dcterms:W3CDTF">2024-05-27T09:38:16Z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