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My" sheetId="1" r:id="rId1"/>
    <sheet name="My2" sheetId="3" r:id="rId2"/>
    <sheet name="My2018" sheetId="4" r:id="rId3"/>
    <sheet name="My2019_gp" sheetId="6" r:id="rId4"/>
    <sheet name="My2019" sheetId="5" r:id="rId5"/>
    <sheet name="My2019B" sheetId="7" r:id="rId6"/>
    <sheet name="流星花园" sheetId="2" r:id="rId7"/>
  </sheets>
  <calcPr calcId="144525"/>
</workbook>
</file>

<file path=xl/sharedStrings.xml><?xml version="1.0" encoding="utf-8"?>
<sst xmlns="http://schemas.openxmlformats.org/spreadsheetml/2006/main" count="355" uniqueCount="185">
  <si>
    <t>收入</t>
  </si>
  <si>
    <t>月度</t>
  </si>
  <si>
    <t>月数</t>
  </si>
  <si>
    <t>税</t>
  </si>
  <si>
    <t>税后</t>
  </si>
  <si>
    <t>税前</t>
  </si>
  <si>
    <t>工资</t>
  </si>
  <si>
    <t>年终加班工资</t>
  </si>
  <si>
    <t>公积金</t>
  </si>
  <si>
    <t>奖金</t>
  </si>
  <si>
    <t>TUP2014</t>
  </si>
  <si>
    <t>TUP2015</t>
  </si>
  <si>
    <t>TUP2016</t>
  </si>
  <si>
    <t>TUP2017</t>
  </si>
  <si>
    <t>GP</t>
  </si>
  <si>
    <t>GP2017</t>
  </si>
  <si>
    <t>房租</t>
  </si>
  <si>
    <t>汇总</t>
  </si>
  <si>
    <t>支出</t>
  </si>
  <si>
    <t>养老</t>
  </si>
  <si>
    <t>医疗</t>
  </si>
  <si>
    <t>失业</t>
  </si>
  <si>
    <t>住房</t>
  </si>
  <si>
    <t>房贷</t>
  </si>
  <si>
    <t>上学</t>
  </si>
  <si>
    <t>课外</t>
  </si>
  <si>
    <t>保险-花妈</t>
  </si>
  <si>
    <t>保险-花</t>
  </si>
  <si>
    <t>日常开支</t>
  </si>
  <si>
    <t>花爸</t>
  </si>
  <si>
    <t>旅游</t>
  </si>
  <si>
    <t>盈余</t>
  </si>
  <si>
    <t>配股总额</t>
  </si>
  <si>
    <t>平台借用</t>
  </si>
  <si>
    <t>预计归还总额</t>
  </si>
  <si>
    <t>分红税后</t>
  </si>
  <si>
    <t>小贝借用</t>
  </si>
  <si>
    <t>小贝借用购股数</t>
  </si>
  <si>
    <t>税前分红</t>
  </si>
  <si>
    <t>预计归还小贝</t>
  </si>
  <si>
    <t>已入帐</t>
  </si>
  <si>
    <t>余额</t>
  </si>
  <si>
    <t>已经支出</t>
  </si>
  <si>
    <t>将要支出</t>
  </si>
  <si>
    <t>美术考级</t>
  </si>
  <si>
    <t>医保</t>
  </si>
  <si>
    <t>民生银行</t>
  </si>
  <si>
    <t>社保</t>
  </si>
  <si>
    <t>朱新庄房租</t>
  </si>
  <si>
    <t>中国银行</t>
  </si>
  <si>
    <t>支付宝</t>
  </si>
  <si>
    <t>S</t>
  </si>
  <si>
    <t>GP2017以前</t>
  </si>
  <si>
    <t>GP2018</t>
  </si>
  <si>
    <t>Type</t>
  </si>
  <si>
    <t>TOTAL</t>
  </si>
  <si>
    <t>TUP</t>
  </si>
  <si>
    <t>分红</t>
  </si>
  <si>
    <t>增值</t>
  </si>
  <si>
    <t>税前总收入</t>
  </si>
  <si>
    <t>税后总收入</t>
  </si>
  <si>
    <t>每股价值</t>
  </si>
  <si>
    <t>总价值</t>
  </si>
  <si>
    <t>GP_ADJ_2018</t>
  </si>
  <si>
    <t>GP_REAL_2018</t>
  </si>
  <si>
    <t>GP_ADJ_2019</t>
  </si>
  <si>
    <t>GP_REAL_2019</t>
  </si>
  <si>
    <t>付款方式</t>
  </si>
  <si>
    <t>付款时间</t>
  </si>
  <si>
    <t>工资卡</t>
  </si>
  <si>
    <t>工资+TUP</t>
  </si>
  <si>
    <t>分红尚未转出</t>
  </si>
  <si>
    <t>均价</t>
  </si>
  <si>
    <t>沙河出售</t>
  </si>
  <si>
    <t>均价-不含装修</t>
  </si>
  <si>
    <t>流星花园买入-不含装修</t>
  </si>
  <si>
    <t>均价-含装修</t>
  </si>
  <si>
    <t>流星花园买入-含装修</t>
  </si>
  <si>
    <t>定金</t>
  </si>
  <si>
    <t>理房通</t>
  </si>
  <si>
    <t>理财金首付</t>
  </si>
  <si>
    <t>首付</t>
  </si>
  <si>
    <t>户口保证金</t>
  </si>
  <si>
    <t>物业</t>
  </si>
  <si>
    <t>中介费</t>
  </si>
  <si>
    <t>房本费</t>
  </si>
  <si>
    <t>2018年物业费</t>
  </si>
  <si>
    <t>1月领契税原件</t>
  </si>
  <si>
    <t>6月领房本原件</t>
  </si>
  <si>
    <r>
      <rPr>
        <sz val="11"/>
        <color theme="1"/>
        <rFont val="宋体"/>
        <charset val="134"/>
        <scheme val="minor"/>
      </rPr>
      <t>公积金还款建行卡4</t>
    </r>
    <r>
      <rPr>
        <sz val="11"/>
        <color theme="1"/>
        <rFont val="宋体"/>
        <charset val="134"/>
        <scheme val="minor"/>
      </rPr>
      <t>921~5800</t>
    </r>
  </si>
  <si>
    <t>流星花园首次装修</t>
  </si>
  <si>
    <t>水电维修</t>
  </si>
  <si>
    <t>沙发</t>
  </si>
  <si>
    <t>塑钢</t>
  </si>
  <si>
    <t>家具（床、衣柜、折叠桌、隔断柜）</t>
  </si>
  <si>
    <r>
      <rPr>
        <sz val="11"/>
        <color theme="1"/>
        <rFont val="宋体"/>
        <charset val="134"/>
        <scheme val="minor"/>
      </rPr>
      <t>家电(冰箱、洗衣机</t>
    </r>
    <r>
      <rPr>
        <sz val="11"/>
        <color theme="1"/>
        <rFont val="宋体"/>
        <charset val="134"/>
        <scheme val="minor"/>
      </rPr>
      <t>)</t>
    </r>
  </si>
  <si>
    <t>燃气</t>
  </si>
  <si>
    <t>流星花园二次装修</t>
  </si>
  <si>
    <t>备注</t>
  </si>
  <si>
    <t>百分比</t>
  </si>
  <si>
    <t>汇款账号</t>
  </si>
  <si>
    <t>安装日期</t>
  </si>
  <si>
    <t>当前日期</t>
  </si>
  <si>
    <t>还有几天</t>
  </si>
  <si>
    <t>家具</t>
  </si>
  <si>
    <t>司米橱柜待退定金</t>
  </si>
  <si>
    <t>红星美凯龙</t>
  </si>
  <si>
    <t>兰馨游泳</t>
  </si>
  <si>
    <t>微信</t>
  </si>
  <si>
    <t>ETC信用卡</t>
  </si>
  <si>
    <t>索菲亚待退定金</t>
  </si>
  <si>
    <t>其它橱柜待退定金</t>
  </si>
  <si>
    <t>橱柜-定金</t>
  </si>
  <si>
    <t>郭晨曼</t>
  </si>
  <si>
    <t>橱柜-基础1560/m？,加长1000/m</t>
  </si>
  <si>
    <t>橱柜-吊柜</t>
  </si>
  <si>
    <t>橱柜-五金</t>
  </si>
  <si>
    <t>橱柜-碗柜</t>
  </si>
  <si>
    <t>橱柜-水盆</t>
  </si>
  <si>
    <t>橱柜-台面加厚</t>
  </si>
  <si>
    <t>橱柜-微信</t>
  </si>
  <si>
    <t>陈伟男</t>
  </si>
  <si>
    <t>橱柜-微信尾款</t>
  </si>
  <si>
    <t>源氏木语-待退款-待退款</t>
  </si>
  <si>
    <t>支付宝-燕</t>
  </si>
  <si>
    <t>淘宝-源氏木语</t>
  </si>
  <si>
    <t>源氏木语-双人床</t>
  </si>
  <si>
    <t>源氏木语-书柜</t>
  </si>
  <si>
    <t>上海朵艺</t>
  </si>
  <si>
    <t>源氏木语-五门衣柜</t>
  </si>
  <si>
    <t>上海澜蒂</t>
  </si>
  <si>
    <t>源氏木语-五门顶柜</t>
  </si>
  <si>
    <t>维莎-2个椅子+1个床垫</t>
  </si>
  <si>
    <t>民生银行-张峰</t>
  </si>
  <si>
    <t>宜家-床</t>
  </si>
  <si>
    <t>宜家</t>
  </si>
  <si>
    <t>宜家-垫-待退款</t>
  </si>
  <si>
    <t>宜家-沙发床-待退款</t>
  </si>
  <si>
    <t>宜家-电视柜</t>
  </si>
  <si>
    <t>宜家-镜</t>
  </si>
  <si>
    <t>宜家-安装费</t>
  </si>
  <si>
    <t>微信-燕</t>
  </si>
  <si>
    <t>工商银行转账</t>
  </si>
  <si>
    <t>宜家-玄关柜</t>
  </si>
  <si>
    <t>宜家-阳台架</t>
  </si>
  <si>
    <t>宜家-折叠餐桌</t>
  </si>
  <si>
    <t>宜家-安装费2</t>
  </si>
  <si>
    <t>折叠餐桌</t>
  </si>
  <si>
    <t>淘宝-燕</t>
  </si>
  <si>
    <t>隔断</t>
  </si>
  <si>
    <t>隔断定金</t>
  </si>
  <si>
    <t>黄近发</t>
  </si>
  <si>
    <t>卫浴</t>
  </si>
  <si>
    <t>门定金</t>
  </si>
  <si>
    <t>给欧曼地板影</t>
  </si>
  <si>
    <t>门</t>
  </si>
  <si>
    <t>骑着毛驴逛京城</t>
  </si>
  <si>
    <t>门-尾款</t>
  </si>
  <si>
    <t>洗手台、淋浴房定金</t>
  </si>
  <si>
    <t>洗手台、淋浴房</t>
  </si>
  <si>
    <t>地板/地面</t>
  </si>
  <si>
    <t>木地板定金</t>
  </si>
  <si>
    <t>清水(*玉梅)</t>
  </si>
  <si>
    <t>木地板</t>
  </si>
  <si>
    <t>地面找平定金</t>
  </si>
  <si>
    <t>地面找平</t>
  </si>
  <si>
    <t>地面找平-尾款</t>
  </si>
  <si>
    <t>电/燃气</t>
  </si>
  <si>
    <t>大灯</t>
  </si>
  <si>
    <t>2小灯</t>
  </si>
  <si>
    <t>燃气改管道</t>
  </si>
  <si>
    <t>电视</t>
  </si>
  <si>
    <t>京东-燕</t>
  </si>
  <si>
    <t>民生银行信用卡</t>
  </si>
  <si>
    <t>洗衣机</t>
  </si>
  <si>
    <t>白条</t>
  </si>
  <si>
    <t>冰箱</t>
  </si>
  <si>
    <t>烟机灶具</t>
  </si>
  <si>
    <t>阳台</t>
  </si>
  <si>
    <t>晾衣杆定金</t>
  </si>
  <si>
    <t>陈恩智妈妈</t>
  </si>
  <si>
    <t>晾衣杆</t>
  </si>
  <si>
    <t>防盗窗定金</t>
  </si>
  <si>
    <t>防盗窗</t>
  </si>
  <si>
    <t>阳台隔板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</si>
</sst>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#,##0_ "/>
    <numFmt numFmtId="178" formatCode="0_ "/>
    <numFmt numFmtId="179" formatCode="yyyy&quot;年&quot;m&quot;月&quot;d&quot;日&quot;;@"/>
    <numFmt numFmtId="180" formatCode="\¥#,##0;\¥\-#,##0"/>
    <numFmt numFmtId="181" formatCode="0_);[Red]\(0\)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7" borderId="1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9" borderId="12" applyNumberFormat="0" applyAlignment="0" applyProtection="0">
      <alignment vertical="center"/>
    </xf>
    <xf numFmtId="0" fontId="13" fillId="29" borderId="9" applyNumberFormat="0" applyAlignment="0" applyProtection="0">
      <alignment vertical="center"/>
    </xf>
    <xf numFmtId="0" fontId="7" fillId="22" borderId="7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2" borderId="1" xfId="0" applyFont="1" applyFill="1" applyBorder="1" applyAlignment="1">
      <alignment horizontal="left" vertical="center" wrapText="1"/>
    </xf>
    <xf numFmtId="180" fontId="0" fillId="2" borderId="1" xfId="0" applyNumberFormat="1" applyFont="1" applyFill="1" applyBorder="1" applyAlignment="1">
      <alignment horizontal="left" vertical="center" wrapText="1"/>
    </xf>
    <xf numFmtId="180" fontId="0" fillId="3" borderId="1" xfId="0" applyNumberForma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right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178" fontId="0" fillId="3" borderId="1" xfId="0" applyNumberFormat="1" applyFill="1" applyBorder="1" applyAlignment="1">
      <alignment horizontal="right" vertical="center" wrapText="1"/>
    </xf>
    <xf numFmtId="176" fontId="0" fillId="3" borderId="1" xfId="0" applyNumberFormat="1" applyFill="1" applyBorder="1" applyAlignment="1">
      <alignment horizontal="right" vertical="center" wrapText="1"/>
    </xf>
    <xf numFmtId="179" fontId="0" fillId="0" borderId="1" xfId="0" applyNumberForma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178" fontId="0" fillId="0" borderId="1" xfId="0" applyNumberFormat="1" applyFill="1" applyBorder="1" applyAlignment="1">
      <alignment horizontal="right" vertical="center" wrapText="1"/>
    </xf>
    <xf numFmtId="176" fontId="0" fillId="0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178" fontId="0" fillId="2" borderId="1" xfId="0" applyNumberFormat="1" applyFill="1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right" vertical="center" wrapText="1"/>
    </xf>
    <xf numFmtId="176" fontId="0" fillId="0" borderId="1" xfId="0" applyNumberForma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178" fontId="0" fillId="0" borderId="2" xfId="0" applyNumberFormat="1" applyBorder="1" applyAlignment="1">
      <alignment horizontal="right" vertical="center" wrapText="1"/>
    </xf>
    <xf numFmtId="176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center" vertical="center" wrapText="1"/>
    </xf>
    <xf numFmtId="179" fontId="0" fillId="0" borderId="2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176" fontId="0" fillId="0" borderId="2" xfId="0" applyNumberFormat="1" applyFill="1" applyBorder="1" applyAlignment="1">
      <alignment vertical="center" wrapText="1"/>
    </xf>
    <xf numFmtId="179" fontId="0" fillId="0" borderId="3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78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179" fontId="0" fillId="0" borderId="4" xfId="0" applyNumberFormat="1" applyBorder="1" applyAlignment="1">
      <alignment horizontal="center" vertical="center" wrapText="1"/>
    </xf>
    <xf numFmtId="176" fontId="0" fillId="0" borderId="4" xfId="0" applyNumberForma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 wrapText="1"/>
    </xf>
    <xf numFmtId="178" fontId="1" fillId="0" borderId="1" xfId="0" applyNumberFormat="1" applyFont="1" applyFill="1" applyBorder="1" applyAlignment="1">
      <alignment horizontal="right" vertical="center" wrapText="1"/>
    </xf>
    <xf numFmtId="176" fontId="1" fillId="0" borderId="1" xfId="0" applyNumberFormat="1" applyFont="1" applyFill="1" applyBorder="1" applyAlignment="1">
      <alignment horizontal="right" vertical="center" wrapText="1"/>
    </xf>
    <xf numFmtId="181" fontId="0" fillId="0" borderId="1" xfId="0" applyNumberFormat="1" applyBorder="1" applyAlignment="1">
      <alignment horizontal="center" vertical="center" wrapText="1"/>
    </xf>
    <xf numFmtId="181" fontId="0" fillId="0" borderId="1" xfId="0" applyNumberFormat="1" applyFill="1" applyBorder="1" applyAlignment="1">
      <alignment horizontal="center" vertical="center" wrapText="1"/>
    </xf>
    <xf numFmtId="181" fontId="0" fillId="0" borderId="2" xfId="0" applyNumberFormat="1" applyBorder="1" applyAlignment="1">
      <alignment horizontal="center" vertical="center" wrapText="1"/>
    </xf>
    <xf numFmtId="181" fontId="0" fillId="0" borderId="3" xfId="0" applyNumberFormat="1" applyBorder="1" applyAlignment="1">
      <alignment horizontal="center" vertical="center" wrapText="1"/>
    </xf>
    <xf numFmtId="181" fontId="0" fillId="0" borderId="4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selection activeCell="A14" sqref="$A14:$XFD14"/>
    </sheetView>
  </sheetViews>
  <sheetFormatPr defaultColWidth="9" defaultRowHeight="13.5"/>
  <cols>
    <col min="1" max="1" width="12.875" style="70" customWidth="1"/>
    <col min="2" max="6" width="9" style="70"/>
    <col min="7" max="7" width="13" style="70" customWidth="1"/>
    <col min="8" max="8" width="11" style="70" customWidth="1"/>
    <col min="9" max="9" width="13" style="70" customWidth="1"/>
    <col min="10" max="10" width="15.125" style="70" customWidth="1"/>
    <col min="11" max="13" width="13" style="70" customWidth="1"/>
    <col min="14" max="16384" width="9" style="70"/>
  </cols>
  <sheetData>
    <row r="1" spans="1:6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</row>
    <row r="2" spans="1:6">
      <c r="A2" s="73" t="s">
        <v>6</v>
      </c>
      <c r="B2" s="73">
        <v>23000</v>
      </c>
      <c r="C2" s="73">
        <v>12</v>
      </c>
      <c r="D2" s="74">
        <v>0</v>
      </c>
      <c r="E2" s="73">
        <f>(B2-SUM(B18:B22))*12</f>
        <v>187572</v>
      </c>
      <c r="F2" s="73">
        <f>B2*C2</f>
        <v>276000</v>
      </c>
    </row>
    <row r="3" spans="1:6">
      <c r="A3" s="73" t="s">
        <v>7</v>
      </c>
      <c r="B3" s="73">
        <v>12000</v>
      </c>
      <c r="C3" s="73">
        <v>1</v>
      </c>
      <c r="D3" s="74">
        <v>0.2</v>
      </c>
      <c r="E3" s="73">
        <f>B3*C3*(1-D3)</f>
        <v>9600</v>
      </c>
      <c r="F3" s="73">
        <f>B3*C3</f>
        <v>12000</v>
      </c>
    </row>
    <row r="4" spans="1:6">
      <c r="A4" s="73" t="s">
        <v>8</v>
      </c>
      <c r="B4" s="73">
        <v>5040</v>
      </c>
      <c r="C4" s="73">
        <v>12</v>
      </c>
      <c r="D4" s="74">
        <v>0</v>
      </c>
      <c r="E4" s="73">
        <f t="shared" ref="E4:E13" si="0">B4*C4*(1-D4)</f>
        <v>60480</v>
      </c>
      <c r="F4" s="73">
        <f t="shared" ref="F4:F13" si="1">B4*C4</f>
        <v>60480</v>
      </c>
    </row>
    <row r="5" spans="1:6">
      <c r="A5" s="75"/>
      <c r="B5" s="73"/>
      <c r="C5" s="73"/>
      <c r="D5" s="74"/>
      <c r="E5" s="73"/>
      <c r="F5" s="73"/>
    </row>
    <row r="6" spans="1:6">
      <c r="A6" s="73" t="s">
        <v>9</v>
      </c>
      <c r="B6" s="73">
        <v>280000</v>
      </c>
      <c r="C6" s="73">
        <v>1</v>
      </c>
      <c r="D6" s="74">
        <v>0.2</v>
      </c>
      <c r="E6" s="73">
        <f>B6*C6*(1-D6)</f>
        <v>224000</v>
      </c>
      <c r="F6" s="73">
        <f>B6*C6</f>
        <v>280000</v>
      </c>
    </row>
    <row r="7" spans="1:6">
      <c r="A7" s="73"/>
      <c r="B7" s="73"/>
      <c r="C7" s="73"/>
      <c r="D7" s="74"/>
      <c r="E7" s="73"/>
      <c r="F7" s="73"/>
    </row>
    <row r="8" spans="1:6">
      <c r="A8" s="73" t="s">
        <v>10</v>
      </c>
      <c r="B8" s="73">
        <v>9000</v>
      </c>
      <c r="C8" s="73">
        <v>2.83</v>
      </c>
      <c r="D8" s="74">
        <v>0.2</v>
      </c>
      <c r="E8" s="73">
        <f t="shared" si="0"/>
        <v>20376</v>
      </c>
      <c r="F8" s="73">
        <f t="shared" si="1"/>
        <v>25470</v>
      </c>
    </row>
    <row r="9" spans="1:6">
      <c r="A9" s="73" t="s">
        <v>11</v>
      </c>
      <c r="B9" s="73">
        <v>12000</v>
      </c>
      <c r="C9" s="73">
        <f t="shared" ref="C9:C11" si="2">C8</f>
        <v>2.83</v>
      </c>
      <c r="D9" s="74">
        <v>0.2</v>
      </c>
      <c r="E9" s="73">
        <f t="shared" si="0"/>
        <v>27168</v>
      </c>
      <c r="F9" s="73">
        <f t="shared" si="1"/>
        <v>33960</v>
      </c>
    </row>
    <row r="10" spans="1:6">
      <c r="A10" s="73" t="s">
        <v>12</v>
      </c>
      <c r="B10" s="73">
        <v>30000</v>
      </c>
      <c r="C10" s="73">
        <f t="shared" si="2"/>
        <v>2.83</v>
      </c>
      <c r="D10" s="74">
        <v>0.2</v>
      </c>
      <c r="E10" s="73">
        <f t="shared" si="0"/>
        <v>67920</v>
      </c>
      <c r="F10" s="73">
        <f t="shared" si="1"/>
        <v>84900</v>
      </c>
    </row>
    <row r="11" spans="1:6">
      <c r="A11" s="73" t="s">
        <v>13</v>
      </c>
      <c r="B11" s="73">
        <v>11000</v>
      </c>
      <c r="C11" s="73">
        <f t="shared" si="2"/>
        <v>2.83</v>
      </c>
      <c r="D11" s="74">
        <v>0.2</v>
      </c>
      <c r="E11" s="73">
        <f t="shared" si="0"/>
        <v>24904</v>
      </c>
      <c r="F11" s="73">
        <f t="shared" si="1"/>
        <v>31130</v>
      </c>
    </row>
    <row r="12" spans="1:6">
      <c r="A12" s="73" t="s">
        <v>14</v>
      </c>
      <c r="B12" s="73">
        <v>70000</v>
      </c>
      <c r="C12" s="73">
        <v>1.02</v>
      </c>
      <c r="D12" s="74">
        <v>0.2</v>
      </c>
      <c r="E12" s="73">
        <f t="shared" si="0"/>
        <v>57120</v>
      </c>
      <c r="F12" s="73">
        <f t="shared" si="1"/>
        <v>71400</v>
      </c>
    </row>
    <row r="13" spans="1:6">
      <c r="A13" s="75" t="s">
        <v>15</v>
      </c>
      <c r="B13" s="73">
        <v>24000</v>
      </c>
      <c r="C13" s="73">
        <f>C12</f>
        <v>1.02</v>
      </c>
      <c r="D13" s="74">
        <v>0.2</v>
      </c>
      <c r="E13" s="73">
        <f t="shared" si="0"/>
        <v>19584</v>
      </c>
      <c r="F13" s="73">
        <f t="shared" si="1"/>
        <v>24480</v>
      </c>
    </row>
    <row r="14" spans="1:6">
      <c r="A14" s="73"/>
      <c r="B14" s="73"/>
      <c r="C14" s="73"/>
      <c r="D14" s="74"/>
      <c r="E14" s="73"/>
      <c r="F14" s="73"/>
    </row>
    <row r="15" spans="1:6">
      <c r="A15" s="73" t="s">
        <v>16</v>
      </c>
      <c r="B15" s="73">
        <v>4300</v>
      </c>
      <c r="C15" s="73">
        <v>12</v>
      </c>
      <c r="D15" s="74">
        <v>0</v>
      </c>
      <c r="E15" s="73">
        <f>B15*C15*(1-D15)</f>
        <v>51600</v>
      </c>
      <c r="F15" s="73">
        <f>B15*C15</f>
        <v>51600</v>
      </c>
    </row>
    <row r="16" spans="1:6">
      <c r="A16" s="77" t="s">
        <v>17</v>
      </c>
      <c r="B16" s="77"/>
      <c r="C16" s="77"/>
      <c r="D16" s="78"/>
      <c r="E16" s="77">
        <f>SUM(E2:E15)</f>
        <v>750324</v>
      </c>
      <c r="F16" s="77">
        <f>SUM(F2:F15)</f>
        <v>951420</v>
      </c>
    </row>
    <row r="17" spans="1:6">
      <c r="A17" s="71" t="s">
        <v>18</v>
      </c>
      <c r="B17" s="71" t="s">
        <v>1</v>
      </c>
      <c r="C17" s="71" t="s">
        <v>2</v>
      </c>
      <c r="D17" s="88"/>
      <c r="E17" s="71"/>
      <c r="F17" s="71"/>
    </row>
    <row r="18" spans="1:6">
      <c r="A18" s="73" t="s">
        <v>19</v>
      </c>
      <c r="B18" s="73">
        <v>1680</v>
      </c>
      <c r="C18" s="73">
        <v>12</v>
      </c>
      <c r="D18" s="74">
        <v>0</v>
      </c>
      <c r="E18" s="73">
        <f>B18*C18*(1-D18)</f>
        <v>20160</v>
      </c>
      <c r="F18" s="73"/>
    </row>
    <row r="19" spans="1:6">
      <c r="A19" s="73" t="s">
        <v>20</v>
      </c>
      <c r="B19" s="73">
        <v>423</v>
      </c>
      <c r="C19" s="73">
        <v>12</v>
      </c>
      <c r="D19" s="74">
        <v>0</v>
      </c>
      <c r="E19" s="73">
        <f>B19*C19*(1-D19)</f>
        <v>5076</v>
      </c>
      <c r="F19" s="73"/>
    </row>
    <row r="20" spans="1:6">
      <c r="A20" s="73" t="s">
        <v>21</v>
      </c>
      <c r="B20" s="73">
        <v>42</v>
      </c>
      <c r="C20" s="73">
        <v>12</v>
      </c>
      <c r="D20" s="74">
        <v>0</v>
      </c>
      <c r="E20" s="73">
        <f>B20*C20*(1-D20)</f>
        <v>504</v>
      </c>
      <c r="F20" s="73"/>
    </row>
    <row r="21" spans="1:6">
      <c r="A21" s="73" t="s">
        <v>22</v>
      </c>
      <c r="B21" s="73">
        <v>2520</v>
      </c>
      <c r="C21" s="73">
        <v>12</v>
      </c>
      <c r="D21" s="74">
        <v>0</v>
      </c>
      <c r="E21" s="73">
        <f>B21*C21*(1-D21)</f>
        <v>30240</v>
      </c>
      <c r="F21" s="73"/>
    </row>
    <row r="22" spans="1:6">
      <c r="A22" s="73" t="s">
        <v>3</v>
      </c>
      <c r="B22" s="73">
        <v>2704</v>
      </c>
      <c r="C22" s="73">
        <v>12</v>
      </c>
      <c r="D22" s="74">
        <v>0</v>
      </c>
      <c r="E22" s="73">
        <f>B22*C22*(1-D22)</f>
        <v>32448</v>
      </c>
      <c r="F22" s="73"/>
    </row>
    <row r="23" spans="1:6">
      <c r="A23" s="73"/>
      <c r="B23" s="73"/>
      <c r="C23" s="73"/>
      <c r="D23" s="74"/>
      <c r="E23" s="73"/>
      <c r="F23" s="73"/>
    </row>
    <row r="24" spans="1:6">
      <c r="A24" s="73" t="s">
        <v>16</v>
      </c>
      <c r="B24" s="73">
        <v>3800</v>
      </c>
      <c r="C24" s="73">
        <v>12</v>
      </c>
      <c r="D24" s="74">
        <v>0</v>
      </c>
      <c r="E24" s="73">
        <f t="shared" ref="E24:E36" si="3">B24*C24*(1-D24)</f>
        <v>45600</v>
      </c>
      <c r="F24" s="73"/>
    </row>
    <row r="25" spans="1:6">
      <c r="A25" s="73" t="s">
        <v>23</v>
      </c>
      <c r="B25" s="73">
        <v>5800</v>
      </c>
      <c r="C25" s="73">
        <v>12</v>
      </c>
      <c r="D25" s="74">
        <v>0</v>
      </c>
      <c r="E25" s="73">
        <f t="shared" si="3"/>
        <v>69600</v>
      </c>
      <c r="F25" s="73"/>
    </row>
    <row r="26" spans="1:6">
      <c r="A26" s="73"/>
      <c r="B26" s="73"/>
      <c r="C26" s="73"/>
      <c r="D26" s="74"/>
      <c r="E26" s="73"/>
      <c r="F26" s="73"/>
    </row>
    <row r="27" spans="1:6">
      <c r="A27" s="73" t="s">
        <v>24</v>
      </c>
      <c r="B27" s="73">
        <v>88000</v>
      </c>
      <c r="C27" s="73">
        <v>1</v>
      </c>
      <c r="D27" s="74">
        <v>0</v>
      </c>
      <c r="E27" s="73">
        <f t="shared" si="3"/>
        <v>88000</v>
      </c>
      <c r="F27" s="73"/>
    </row>
    <row r="28" spans="1:6">
      <c r="A28" s="73" t="s">
        <v>25</v>
      </c>
      <c r="B28" s="73">
        <v>40000</v>
      </c>
      <c r="C28" s="73">
        <v>1</v>
      </c>
      <c r="D28" s="74">
        <v>0</v>
      </c>
      <c r="E28" s="73">
        <f t="shared" si="3"/>
        <v>40000</v>
      </c>
      <c r="F28" s="73"/>
    </row>
    <row r="29" spans="1:6">
      <c r="A29" s="73"/>
      <c r="B29" s="73"/>
      <c r="C29" s="73"/>
      <c r="D29" s="74"/>
      <c r="E29" s="73"/>
      <c r="F29" s="73"/>
    </row>
    <row r="30" spans="1:6">
      <c r="A30" s="73" t="s">
        <v>26</v>
      </c>
      <c r="B30" s="73">
        <v>1500</v>
      </c>
      <c r="C30" s="73">
        <v>12</v>
      </c>
      <c r="D30" s="74">
        <v>0</v>
      </c>
      <c r="E30" s="73">
        <f t="shared" si="3"/>
        <v>18000</v>
      </c>
      <c r="F30" s="73"/>
    </row>
    <row r="31" spans="1:6">
      <c r="A31" s="73" t="s">
        <v>27</v>
      </c>
      <c r="B31" s="73">
        <v>6000</v>
      </c>
      <c r="C31" s="73">
        <v>1</v>
      </c>
      <c r="D31" s="74">
        <v>0</v>
      </c>
      <c r="E31" s="73">
        <f t="shared" si="3"/>
        <v>6000</v>
      </c>
      <c r="F31" s="73"/>
    </row>
    <row r="32" spans="1:6">
      <c r="A32" s="73"/>
      <c r="B32" s="73"/>
      <c r="C32" s="73"/>
      <c r="D32" s="74"/>
      <c r="E32" s="73"/>
      <c r="F32" s="73"/>
    </row>
    <row r="33" spans="1:6">
      <c r="A33" s="73" t="s">
        <v>28</v>
      </c>
      <c r="B33" s="73">
        <v>7000</v>
      </c>
      <c r="C33" s="73">
        <v>12</v>
      </c>
      <c r="D33" s="74">
        <v>0</v>
      </c>
      <c r="E33" s="73">
        <f t="shared" si="3"/>
        <v>84000</v>
      </c>
      <c r="F33" s="73"/>
    </row>
    <row r="34" spans="1:6">
      <c r="A34" s="73"/>
      <c r="B34" s="73"/>
      <c r="C34" s="73"/>
      <c r="D34" s="74"/>
      <c r="E34" s="73"/>
      <c r="F34" s="73"/>
    </row>
    <row r="35" spans="1:6">
      <c r="A35" s="73" t="s">
        <v>29</v>
      </c>
      <c r="B35" s="73">
        <v>3000</v>
      </c>
      <c r="C35" s="73">
        <v>12</v>
      </c>
      <c r="D35" s="74">
        <v>0</v>
      </c>
      <c r="E35" s="73">
        <f t="shared" si="3"/>
        <v>36000</v>
      </c>
      <c r="F35" s="73"/>
    </row>
    <row r="36" spans="1:6">
      <c r="A36" s="73" t="s">
        <v>30</v>
      </c>
      <c r="B36" s="73">
        <v>10000</v>
      </c>
      <c r="C36" s="73">
        <v>1</v>
      </c>
      <c r="D36" s="74">
        <v>0</v>
      </c>
      <c r="E36" s="73">
        <f t="shared" si="3"/>
        <v>10000</v>
      </c>
      <c r="F36" s="73"/>
    </row>
    <row r="37" spans="1:6">
      <c r="A37" s="77" t="s">
        <v>17</v>
      </c>
      <c r="B37" s="77"/>
      <c r="C37" s="77"/>
      <c r="D37" s="78"/>
      <c r="E37" s="77">
        <f>SUM(E18:E36)</f>
        <v>485628</v>
      </c>
      <c r="F37" s="77"/>
    </row>
    <row r="38" spans="1:6">
      <c r="A38" s="79" t="s">
        <v>31</v>
      </c>
      <c r="B38" s="79"/>
      <c r="C38" s="79"/>
      <c r="D38" s="80"/>
      <c r="E38" s="79">
        <f>E16-E37</f>
        <v>264696</v>
      </c>
      <c r="F38" s="79"/>
    </row>
    <row r="39" spans="8:14">
      <c r="H39" s="72" t="s">
        <v>32</v>
      </c>
      <c r="I39" s="73"/>
      <c r="J39" s="73"/>
      <c r="K39" s="73"/>
      <c r="L39" s="72" t="s">
        <v>33</v>
      </c>
      <c r="M39" s="72" t="s">
        <v>34</v>
      </c>
      <c r="N39" s="72" t="s">
        <v>35</v>
      </c>
    </row>
    <row r="40" spans="8:14">
      <c r="H40" s="75">
        <f>B13*7.85</f>
        <v>188400</v>
      </c>
      <c r="I40" s="73"/>
      <c r="J40" s="73"/>
      <c r="K40" s="73"/>
      <c r="L40" s="75">
        <f>H40*0.6</f>
        <v>113040</v>
      </c>
      <c r="M40" s="73">
        <f>L40+L42</f>
        <v>163610</v>
      </c>
      <c r="N40" s="73">
        <f>SUM(F8:F13)*0.8</f>
        <v>217072</v>
      </c>
    </row>
    <row r="41" spans="8:13">
      <c r="H41" s="73"/>
      <c r="I41" s="75" t="s">
        <v>36</v>
      </c>
      <c r="J41" s="75" t="s">
        <v>37</v>
      </c>
      <c r="K41" s="75" t="s">
        <v>38</v>
      </c>
      <c r="L41" s="75" t="s">
        <v>39</v>
      </c>
      <c r="M41" s="89"/>
    </row>
    <row r="42" spans="8:13">
      <c r="H42" s="73"/>
      <c r="I42" s="73">
        <v>39250</v>
      </c>
      <c r="J42" s="73">
        <f>I42/7.85</f>
        <v>5000</v>
      </c>
      <c r="K42" s="73">
        <f>C8*J42</f>
        <v>14150</v>
      </c>
      <c r="L42" s="73">
        <f>I42+K42*0.8</f>
        <v>50570</v>
      </c>
      <c r="M42" s="7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workbookViewId="0">
      <selection activeCell="L17" sqref="L17"/>
    </sheetView>
  </sheetViews>
  <sheetFormatPr defaultColWidth="9" defaultRowHeight="13.5"/>
  <cols>
    <col min="1" max="8" width="11" style="70" customWidth="1"/>
    <col min="9" max="16384" width="9" style="70"/>
  </cols>
  <sheetData>
    <row r="1" spans="1:8">
      <c r="A1" s="82">
        <v>43359</v>
      </c>
      <c r="B1" s="82"/>
      <c r="C1" s="82"/>
      <c r="D1" s="82"/>
      <c r="E1" s="82"/>
      <c r="F1" s="82"/>
      <c r="G1" s="82"/>
      <c r="H1" s="82"/>
    </row>
    <row r="2" spans="1:8">
      <c r="A2" s="83" t="s">
        <v>40</v>
      </c>
      <c r="B2" s="84"/>
      <c r="C2" s="85" t="s">
        <v>41</v>
      </c>
      <c r="D2" s="86"/>
      <c r="E2" s="83" t="s">
        <v>42</v>
      </c>
      <c r="F2" s="84"/>
      <c r="G2" s="83" t="s">
        <v>43</v>
      </c>
      <c r="H2" s="84"/>
    </row>
    <row r="3" spans="1:8">
      <c r="A3" s="83">
        <f>SUM(A4:A1000)</f>
        <v>38777.75</v>
      </c>
      <c r="B3" s="84"/>
      <c r="C3" s="85">
        <f>A3-E3-G3</f>
        <v>8559.75</v>
      </c>
      <c r="D3" s="86"/>
      <c r="E3" s="83">
        <f>SUM(E4:E1000)</f>
        <v>23118</v>
      </c>
      <c r="F3" s="84"/>
      <c r="G3" s="83">
        <f>SUM(G4:G1000)</f>
        <v>7100</v>
      </c>
      <c r="H3" s="84"/>
    </row>
    <row r="4" spans="1:8">
      <c r="A4" s="73">
        <v>17777.75</v>
      </c>
      <c r="B4" s="73"/>
      <c r="C4" s="73"/>
      <c r="D4" s="73"/>
      <c r="E4" s="73">
        <v>140</v>
      </c>
      <c r="F4" s="75" t="s">
        <v>44</v>
      </c>
      <c r="G4" s="73"/>
      <c r="H4" s="75"/>
    </row>
    <row r="5" spans="1:8">
      <c r="A5" s="73">
        <v>21000</v>
      </c>
      <c r="B5" s="75" t="s">
        <v>45</v>
      </c>
      <c r="C5" s="73"/>
      <c r="D5" s="73"/>
      <c r="E5" s="73">
        <v>4000</v>
      </c>
      <c r="F5" s="75" t="s">
        <v>46</v>
      </c>
      <c r="G5" s="73">
        <v>1500</v>
      </c>
      <c r="H5" s="75" t="s">
        <v>47</v>
      </c>
    </row>
    <row r="6" spans="1:8">
      <c r="A6" s="73"/>
      <c r="B6" s="75"/>
      <c r="C6" s="73"/>
      <c r="D6" s="73"/>
      <c r="E6" s="73">
        <v>2500</v>
      </c>
      <c r="F6" s="75" t="s">
        <v>46</v>
      </c>
      <c r="G6" s="73">
        <f>3800*3-5800</f>
        <v>5600</v>
      </c>
      <c r="H6" s="75" t="s">
        <v>48</v>
      </c>
    </row>
    <row r="7" spans="1:8">
      <c r="A7" s="73"/>
      <c r="B7" s="73"/>
      <c r="C7" s="73"/>
      <c r="D7" s="73"/>
      <c r="E7" s="73">
        <v>3164</v>
      </c>
      <c r="F7" s="75" t="s">
        <v>49</v>
      </c>
      <c r="G7" s="73"/>
      <c r="H7" s="73"/>
    </row>
    <row r="8" spans="1:8">
      <c r="A8" s="73"/>
      <c r="B8" s="73"/>
      <c r="C8" s="73"/>
      <c r="D8" s="73"/>
      <c r="E8" s="73">
        <v>600</v>
      </c>
      <c r="F8" s="75" t="s">
        <v>49</v>
      </c>
      <c r="G8" s="73"/>
      <c r="H8" s="73"/>
    </row>
    <row r="9" spans="1:8">
      <c r="A9" s="73"/>
      <c r="B9" s="73"/>
      <c r="C9" s="73"/>
      <c r="D9" s="73"/>
      <c r="E9" s="73">
        <v>3300</v>
      </c>
      <c r="F9" s="75" t="s">
        <v>23</v>
      </c>
      <c r="G9" s="73"/>
      <c r="H9" s="73"/>
    </row>
    <row r="10" spans="1:8">
      <c r="A10" s="73"/>
      <c r="B10" s="73"/>
      <c r="C10" s="73"/>
      <c r="D10" s="73"/>
      <c r="E10" s="73">
        <v>3300</v>
      </c>
      <c r="F10" s="75" t="s">
        <v>23</v>
      </c>
      <c r="G10" s="73"/>
      <c r="H10" s="73"/>
    </row>
    <row r="11" spans="1:8">
      <c r="A11" s="73"/>
      <c r="B11" s="73"/>
      <c r="C11" s="73"/>
      <c r="D11" s="73"/>
      <c r="E11" s="73">
        <v>68</v>
      </c>
      <c r="F11" s="87">
        <v>43362</v>
      </c>
      <c r="G11" s="73"/>
      <c r="H11" s="73"/>
    </row>
    <row r="12" spans="1:8">
      <c r="A12" s="73"/>
      <c r="B12" s="73"/>
      <c r="C12" s="73"/>
      <c r="D12" s="73"/>
      <c r="E12" s="73">
        <v>46</v>
      </c>
      <c r="F12" s="87">
        <v>43362</v>
      </c>
      <c r="G12" s="73"/>
      <c r="H12" s="73"/>
    </row>
    <row r="13" spans="1:8">
      <c r="A13" s="73"/>
      <c r="B13" s="73"/>
      <c r="C13" s="73"/>
      <c r="D13" s="73"/>
      <c r="E13" s="73">
        <v>6000</v>
      </c>
      <c r="F13" s="75" t="s">
        <v>50</v>
      </c>
      <c r="G13" s="73"/>
      <c r="H13" s="73"/>
    </row>
    <row r="14" spans="1:8">
      <c r="A14" s="73"/>
      <c r="B14" s="73"/>
      <c r="C14" s="73"/>
      <c r="D14" s="73"/>
      <c r="E14" s="73"/>
      <c r="F14" s="73"/>
      <c r="G14" s="73"/>
      <c r="H14" s="73"/>
    </row>
    <row r="15" spans="1:8">
      <c r="A15" s="73"/>
      <c r="B15" s="73"/>
      <c r="C15" s="73"/>
      <c r="D15" s="73"/>
      <c r="E15" s="73"/>
      <c r="F15" s="73"/>
      <c r="G15" s="73"/>
      <c r="H15" s="73"/>
    </row>
    <row r="16" spans="1:12">
      <c r="A16" s="73"/>
      <c r="B16" s="73"/>
      <c r="C16" s="73"/>
      <c r="D16" s="73"/>
      <c r="E16" s="73"/>
      <c r="F16" s="73"/>
      <c r="G16" s="73"/>
      <c r="H16" s="73"/>
      <c r="I16" s="70">
        <v>3800</v>
      </c>
      <c r="J16" s="70">
        <v>3</v>
      </c>
      <c r="K16" s="70">
        <v>5800</v>
      </c>
      <c r="L16" s="70">
        <f>I16*J16-K16</f>
        <v>5600</v>
      </c>
    </row>
    <row r="17" spans="1:12">
      <c r="A17" s="73"/>
      <c r="B17" s="73"/>
      <c r="C17" s="73"/>
      <c r="D17" s="73"/>
      <c r="E17" s="73"/>
      <c r="F17" s="73"/>
      <c r="G17" s="73"/>
      <c r="H17" s="73"/>
      <c r="L17" s="70" t="s">
        <v>51</v>
      </c>
    </row>
    <row r="18" spans="1:8">
      <c r="A18" s="73"/>
      <c r="B18" s="73"/>
      <c r="C18" s="73"/>
      <c r="D18" s="73"/>
      <c r="E18" s="73"/>
      <c r="F18" s="73"/>
      <c r="G18" s="73"/>
      <c r="H18" s="73"/>
    </row>
    <row r="19" spans="1:8">
      <c r="A19" s="73"/>
      <c r="B19" s="73"/>
      <c r="C19" s="73"/>
      <c r="D19" s="73"/>
      <c r="E19" s="73"/>
      <c r="F19" s="73"/>
      <c r="G19" s="73"/>
      <c r="H19" s="73"/>
    </row>
    <row r="20" spans="1:8">
      <c r="A20" s="73"/>
      <c r="B20" s="73"/>
      <c r="C20" s="73"/>
      <c r="D20" s="73"/>
      <c r="E20" s="73"/>
      <c r="F20" s="73"/>
      <c r="G20" s="73"/>
      <c r="H20" s="73"/>
    </row>
    <row r="21" spans="1:8">
      <c r="A21" s="73"/>
      <c r="B21" s="73"/>
      <c r="C21" s="73"/>
      <c r="D21" s="73"/>
      <c r="E21" s="73"/>
      <c r="F21" s="73"/>
      <c r="G21" s="73"/>
      <c r="H21" s="73"/>
    </row>
    <row r="22" spans="1:8">
      <c r="A22" s="73"/>
      <c r="B22" s="73"/>
      <c r="C22" s="73"/>
      <c r="D22" s="73"/>
      <c r="E22" s="73"/>
      <c r="F22" s="73"/>
      <c r="G22" s="73"/>
      <c r="H22" s="73"/>
    </row>
    <row r="23" spans="1:8">
      <c r="A23" s="73"/>
      <c r="B23" s="73"/>
      <c r="C23" s="73"/>
      <c r="D23" s="73"/>
      <c r="E23" s="73"/>
      <c r="F23" s="73"/>
      <c r="G23" s="73"/>
      <c r="H23" s="73"/>
    </row>
    <row r="24" spans="1:8">
      <c r="A24" s="73"/>
      <c r="B24" s="73"/>
      <c r="C24" s="73"/>
      <c r="D24" s="73"/>
      <c r="E24" s="73"/>
      <c r="F24" s="73"/>
      <c r="G24" s="73"/>
      <c r="H24" s="73"/>
    </row>
    <row r="25" spans="1:8">
      <c r="A25" s="73"/>
      <c r="B25" s="73"/>
      <c r="C25" s="73"/>
      <c r="D25" s="73"/>
      <c r="E25" s="73"/>
      <c r="F25" s="73"/>
      <c r="G25" s="73"/>
      <c r="H25" s="73"/>
    </row>
    <row r="26" spans="1:8">
      <c r="A26" s="73"/>
      <c r="B26" s="73"/>
      <c r="C26" s="73"/>
      <c r="D26" s="73"/>
      <c r="E26" s="73"/>
      <c r="F26" s="73"/>
      <c r="G26" s="73"/>
      <c r="H26" s="73"/>
    </row>
    <row r="27" spans="1:8">
      <c r="A27" s="73"/>
      <c r="B27" s="73"/>
      <c r="C27" s="73"/>
      <c r="D27" s="73"/>
      <c r="E27" s="73"/>
      <c r="F27" s="73"/>
      <c r="G27" s="73"/>
      <c r="H27" s="73"/>
    </row>
    <row r="28" spans="1:8">
      <c r="A28" s="73"/>
      <c r="B28" s="73"/>
      <c r="C28" s="73"/>
      <c r="D28" s="73"/>
      <c r="E28" s="73"/>
      <c r="F28" s="73"/>
      <c r="G28" s="73"/>
      <c r="H28" s="73"/>
    </row>
    <row r="29" spans="1:8">
      <c r="A29" s="73"/>
      <c r="B29" s="73"/>
      <c r="C29" s="73"/>
      <c r="D29" s="73"/>
      <c r="E29" s="73"/>
      <c r="F29" s="73"/>
      <c r="G29" s="73"/>
      <c r="H29" s="73"/>
    </row>
    <row r="30" spans="1:8">
      <c r="A30" s="73"/>
      <c r="B30" s="73"/>
      <c r="C30" s="73"/>
      <c r="D30" s="73"/>
      <c r="E30" s="73"/>
      <c r="F30" s="73"/>
      <c r="G30" s="73"/>
      <c r="H30" s="73"/>
    </row>
    <row r="31" spans="1:8">
      <c r="A31" s="73"/>
      <c r="B31" s="73"/>
      <c r="C31" s="73"/>
      <c r="D31" s="73"/>
      <c r="E31" s="73"/>
      <c r="F31" s="73"/>
      <c r="G31" s="73"/>
      <c r="H31" s="73"/>
    </row>
    <row r="32" spans="1:8">
      <c r="A32" s="73"/>
      <c r="B32" s="73"/>
      <c r="C32" s="73"/>
      <c r="D32" s="73"/>
      <c r="E32" s="73"/>
      <c r="F32" s="73"/>
      <c r="G32" s="73"/>
      <c r="H32" s="73"/>
    </row>
    <row r="33" spans="1:8">
      <c r="A33" s="73"/>
      <c r="B33" s="73"/>
      <c r="C33" s="73"/>
      <c r="D33" s="73"/>
      <c r="E33" s="73"/>
      <c r="F33" s="73"/>
      <c r="G33" s="73"/>
      <c r="H33" s="73"/>
    </row>
    <row r="34" spans="1:8">
      <c r="A34" s="73"/>
      <c r="B34" s="73"/>
      <c r="C34" s="73"/>
      <c r="D34" s="73"/>
      <c r="E34" s="73"/>
      <c r="F34" s="73"/>
      <c r="G34" s="73"/>
      <c r="H34" s="73"/>
    </row>
    <row r="35" spans="1:8">
      <c r="A35" s="73"/>
      <c r="B35" s="73"/>
      <c r="C35" s="73"/>
      <c r="D35" s="73"/>
      <c r="E35" s="73"/>
      <c r="F35" s="73"/>
      <c r="G35" s="73"/>
      <c r="H35" s="73"/>
    </row>
    <row r="36" spans="1:8">
      <c r="A36" s="73"/>
      <c r="B36" s="73"/>
      <c r="C36" s="73"/>
      <c r="D36" s="73"/>
      <c r="E36" s="73"/>
      <c r="F36" s="73"/>
      <c r="G36" s="73"/>
      <c r="H36" s="73"/>
    </row>
    <row r="37" spans="1:8">
      <c r="A37" s="73"/>
      <c r="B37" s="73"/>
      <c r="C37" s="73"/>
      <c r="D37" s="73"/>
      <c r="E37" s="73"/>
      <c r="F37" s="73"/>
      <c r="G37" s="73"/>
      <c r="H37" s="73"/>
    </row>
    <row r="38" spans="1:8">
      <c r="A38" s="73"/>
      <c r="B38" s="73"/>
      <c r="C38" s="73"/>
      <c r="D38" s="73"/>
      <c r="E38" s="73"/>
      <c r="F38" s="73"/>
      <c r="G38" s="73"/>
      <c r="H38" s="73"/>
    </row>
  </sheetData>
  <mergeCells count="9">
    <mergeCell ref="A1:H1"/>
    <mergeCell ref="A2:B2"/>
    <mergeCell ref="C2:D2"/>
    <mergeCell ref="E2:F2"/>
    <mergeCell ref="G2:H2"/>
    <mergeCell ref="A3:B3"/>
    <mergeCell ref="C3:D3"/>
    <mergeCell ref="E3:F3"/>
    <mergeCell ref="G3:H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selection activeCell="B16" sqref="B16:B18"/>
    </sheetView>
  </sheetViews>
  <sheetFormatPr defaultColWidth="9" defaultRowHeight="13.5" outlineLevelCol="7"/>
  <cols>
    <col min="1" max="1" width="12.875" style="70" customWidth="1"/>
    <col min="2" max="6" width="9" style="70"/>
    <col min="7" max="7" width="13" style="70" customWidth="1"/>
    <col min="8" max="16384" width="9" style="70"/>
  </cols>
  <sheetData>
    <row r="1" spans="1:6">
      <c r="A1" s="71" t="s">
        <v>0</v>
      </c>
      <c r="B1" s="71" t="s">
        <v>1</v>
      </c>
      <c r="C1" s="71" t="s">
        <v>2</v>
      </c>
      <c r="D1" s="71" t="s">
        <v>3</v>
      </c>
      <c r="E1" s="72" t="s">
        <v>5</v>
      </c>
      <c r="F1" s="72" t="s">
        <v>4</v>
      </c>
    </row>
    <row r="2" spans="1:6">
      <c r="A2" s="73" t="s">
        <v>16</v>
      </c>
      <c r="B2" s="73">
        <v>4300</v>
      </c>
      <c r="C2" s="73">
        <v>12</v>
      </c>
      <c r="D2" s="74">
        <v>0</v>
      </c>
      <c r="E2" s="73">
        <f>B2*C2*(1-D2)</f>
        <v>51600</v>
      </c>
      <c r="F2" s="73">
        <f>B2*C2</f>
        <v>51600</v>
      </c>
    </row>
    <row r="3" spans="1:6">
      <c r="A3" s="73"/>
      <c r="B3" s="73"/>
      <c r="C3" s="73"/>
      <c r="D3" s="74"/>
      <c r="E3" s="73"/>
      <c r="F3" s="73"/>
    </row>
    <row r="4" spans="1:6">
      <c r="A4" s="73" t="s">
        <v>6</v>
      </c>
      <c r="B4" s="73">
        <v>23000</v>
      </c>
      <c r="C4" s="75">
        <v>4</v>
      </c>
      <c r="D4" s="74">
        <v>0</v>
      </c>
      <c r="E4" s="73">
        <f>(B4-SUM(B21:B25))*12</f>
        <v>187572</v>
      </c>
      <c r="F4" s="73">
        <f>B4*C4</f>
        <v>92000</v>
      </c>
    </row>
    <row r="5" spans="1:6">
      <c r="A5" s="73"/>
      <c r="B5" s="73">
        <v>25000</v>
      </c>
      <c r="C5" s="73">
        <v>4</v>
      </c>
      <c r="D5" s="74">
        <v>0</v>
      </c>
      <c r="E5" s="73">
        <f>(B5-SUM(B22:B26))*12</f>
        <v>231732</v>
      </c>
      <c r="F5" s="73">
        <f>B5*C5</f>
        <v>100000</v>
      </c>
    </row>
    <row r="6" spans="1:6">
      <c r="A6" s="73"/>
      <c r="B6" s="73">
        <v>33000</v>
      </c>
      <c r="C6" s="73">
        <v>4</v>
      </c>
      <c r="D6" s="74">
        <v>0</v>
      </c>
      <c r="E6" s="73">
        <f>(B6-SUM(B23:B33))*12</f>
        <v>200424</v>
      </c>
      <c r="F6" s="73">
        <f>B6*C6</f>
        <v>132000</v>
      </c>
    </row>
    <row r="7" spans="1:6">
      <c r="A7" s="73"/>
      <c r="B7" s="73"/>
      <c r="C7" s="73"/>
      <c r="D7" s="74"/>
      <c r="E7" s="73"/>
      <c r="F7" s="73"/>
    </row>
    <row r="8" spans="1:6">
      <c r="A8" s="73" t="s">
        <v>8</v>
      </c>
      <c r="B8" s="73">
        <v>2500</v>
      </c>
      <c r="C8" s="73">
        <v>12</v>
      </c>
      <c r="D8" s="74">
        <v>0</v>
      </c>
      <c r="E8" s="73">
        <f t="shared" ref="E8:E17" si="0">B8*C8*(1-D8)</f>
        <v>30000</v>
      </c>
      <c r="F8" s="73">
        <f t="shared" ref="F8:F17" si="1">B8*C8</f>
        <v>30000</v>
      </c>
    </row>
    <row r="9" spans="1:7">
      <c r="A9" s="75"/>
      <c r="B9" s="73"/>
      <c r="C9" s="73"/>
      <c r="D9" s="74"/>
      <c r="E9" s="73"/>
      <c r="F9" s="73"/>
      <c r="G9" s="76"/>
    </row>
    <row r="10" spans="1:6">
      <c r="A10" s="73" t="s">
        <v>9</v>
      </c>
      <c r="B10" s="73">
        <v>0</v>
      </c>
      <c r="C10" s="73">
        <v>1</v>
      </c>
      <c r="D10" s="74">
        <v>0.2</v>
      </c>
      <c r="E10" s="73">
        <f>B10*C10*(1-D10)</f>
        <v>0</v>
      </c>
      <c r="F10" s="73">
        <f>B10*C10</f>
        <v>0</v>
      </c>
    </row>
    <row r="11" spans="1:6">
      <c r="A11" s="73"/>
      <c r="B11" s="73"/>
      <c r="C11" s="73"/>
      <c r="D11" s="74"/>
      <c r="E11" s="73"/>
      <c r="F11" s="73"/>
    </row>
    <row r="12" spans="1:6">
      <c r="A12" s="73" t="s">
        <v>10</v>
      </c>
      <c r="B12" s="73">
        <v>9000</v>
      </c>
      <c r="C12" s="73">
        <v>2.61</v>
      </c>
      <c r="D12" s="74">
        <v>0.2</v>
      </c>
      <c r="E12" s="73">
        <f t="shared" si="0"/>
        <v>18792</v>
      </c>
      <c r="F12" s="73">
        <f t="shared" si="1"/>
        <v>23490</v>
      </c>
    </row>
    <row r="13" spans="1:6">
      <c r="A13" s="73" t="s">
        <v>11</v>
      </c>
      <c r="B13" s="73">
        <v>12000</v>
      </c>
      <c r="C13" s="73">
        <f>C12</f>
        <v>2.61</v>
      </c>
      <c r="D13" s="74">
        <v>0.2</v>
      </c>
      <c r="E13" s="73">
        <f t="shared" si="0"/>
        <v>25056</v>
      </c>
      <c r="F13" s="73">
        <f t="shared" si="1"/>
        <v>31320</v>
      </c>
    </row>
    <row r="14" spans="1:6">
      <c r="A14" s="73" t="s">
        <v>12</v>
      </c>
      <c r="B14" s="73">
        <v>30000</v>
      </c>
      <c r="C14" s="73">
        <f t="shared" ref="C14:C15" si="2">C13</f>
        <v>2.61</v>
      </c>
      <c r="D14" s="74">
        <v>0.2</v>
      </c>
      <c r="E14" s="73">
        <f t="shared" si="0"/>
        <v>62640</v>
      </c>
      <c r="F14" s="73">
        <f t="shared" si="1"/>
        <v>78300</v>
      </c>
    </row>
    <row r="15" spans="1:6">
      <c r="A15" s="73" t="s">
        <v>13</v>
      </c>
      <c r="B15" s="73">
        <v>11000</v>
      </c>
      <c r="C15" s="73">
        <f t="shared" si="2"/>
        <v>2.61</v>
      </c>
      <c r="D15" s="74">
        <v>0.2</v>
      </c>
      <c r="E15" s="73">
        <f t="shared" si="0"/>
        <v>22968</v>
      </c>
      <c r="F15" s="73">
        <f t="shared" si="1"/>
        <v>28710</v>
      </c>
    </row>
    <row r="16" spans="1:8">
      <c r="A16" s="75" t="s">
        <v>52</v>
      </c>
      <c r="B16" s="73">
        <f>70000*1.23</f>
        <v>86100</v>
      </c>
      <c r="C16" s="73">
        <v>1.02</v>
      </c>
      <c r="D16" s="74">
        <v>0.2</v>
      </c>
      <c r="E16" s="73">
        <f t="shared" si="0"/>
        <v>70257.6</v>
      </c>
      <c r="F16" s="73">
        <f t="shared" si="1"/>
        <v>87822</v>
      </c>
      <c r="G16" s="73">
        <v>7.85</v>
      </c>
      <c r="H16" s="73">
        <f>B16*G16</f>
        <v>675885</v>
      </c>
    </row>
    <row r="17" spans="1:8">
      <c r="A17" s="75" t="s">
        <v>15</v>
      </c>
      <c r="B17" s="73">
        <f>24000*1.23</f>
        <v>29520</v>
      </c>
      <c r="C17" s="73">
        <f>C16</f>
        <v>1.02</v>
      </c>
      <c r="D17" s="74">
        <v>0.2</v>
      </c>
      <c r="E17" s="73">
        <f t="shared" si="0"/>
        <v>24088.32</v>
      </c>
      <c r="F17" s="73">
        <f t="shared" si="1"/>
        <v>30110.4</v>
      </c>
      <c r="G17" s="73">
        <v>7.85</v>
      </c>
      <c r="H17" s="73">
        <f>B17*G17</f>
        <v>231732</v>
      </c>
    </row>
    <row r="18" spans="1:8">
      <c r="A18" s="75" t="s">
        <v>53</v>
      </c>
      <c r="B18" s="73">
        <v>30000</v>
      </c>
      <c r="C18" s="73">
        <f>C17</f>
        <v>1.02</v>
      </c>
      <c r="D18" s="74">
        <v>0.2</v>
      </c>
      <c r="E18" s="73">
        <f t="shared" ref="E18" si="3">B18*C18*(1-D18)</f>
        <v>24480</v>
      </c>
      <c r="F18" s="73">
        <f t="shared" ref="F18" si="4">B18*C18</f>
        <v>30600</v>
      </c>
      <c r="G18" s="73">
        <v>7.85</v>
      </c>
      <c r="H18" s="73">
        <f>B18*G18</f>
        <v>235500</v>
      </c>
    </row>
    <row r="19" spans="1:8">
      <c r="A19" s="77" t="s">
        <v>17</v>
      </c>
      <c r="B19" s="77"/>
      <c r="C19" s="77"/>
      <c r="D19" s="78"/>
      <c r="E19" s="77">
        <f>SUM(E4:E18)</f>
        <v>898009.92</v>
      </c>
      <c r="F19" s="77">
        <f>SUM(F4:F18)</f>
        <v>664352.4</v>
      </c>
      <c r="G19" s="77"/>
      <c r="H19" s="77">
        <f>SUM(H4:H18)</f>
        <v>1143117</v>
      </c>
    </row>
    <row r="20" spans="1:6">
      <c r="A20" s="71" t="s">
        <v>18</v>
      </c>
      <c r="B20" s="71" t="s">
        <v>1</v>
      </c>
      <c r="C20" s="71" t="s">
        <v>2</v>
      </c>
      <c r="D20" s="71" t="s">
        <v>3</v>
      </c>
      <c r="E20" s="72" t="s">
        <v>5</v>
      </c>
      <c r="F20" s="72" t="s">
        <v>4</v>
      </c>
    </row>
    <row r="21" spans="1:6">
      <c r="A21" s="73" t="s">
        <v>19</v>
      </c>
      <c r="B21" s="73">
        <v>1680</v>
      </c>
      <c r="C21" s="73">
        <v>8</v>
      </c>
      <c r="D21" s="74">
        <v>0</v>
      </c>
      <c r="E21" s="73">
        <f>B21*C21*(1-D21)</f>
        <v>13440</v>
      </c>
      <c r="F21" s="73">
        <f>B21*C21</f>
        <v>13440</v>
      </c>
    </row>
    <row r="22" spans="1:6">
      <c r="A22" s="73" t="s">
        <v>20</v>
      </c>
      <c r="B22" s="73">
        <v>423</v>
      </c>
      <c r="C22" s="73">
        <v>8</v>
      </c>
      <c r="D22" s="74">
        <v>0</v>
      </c>
      <c r="E22" s="73">
        <f>B22*C22*(1-D22)</f>
        <v>3384</v>
      </c>
      <c r="F22" s="73">
        <f>B22*C22</f>
        <v>3384</v>
      </c>
    </row>
    <row r="23" spans="1:6">
      <c r="A23" s="73" t="s">
        <v>21</v>
      </c>
      <c r="B23" s="73">
        <v>42</v>
      </c>
      <c r="C23" s="73">
        <v>8</v>
      </c>
      <c r="D23" s="74">
        <v>0</v>
      </c>
      <c r="E23" s="73">
        <f>B23*C23*(1-D23)</f>
        <v>336</v>
      </c>
      <c r="F23" s="73">
        <f>B23*C23</f>
        <v>336</v>
      </c>
    </row>
    <row r="24" spans="1:6">
      <c r="A24" s="73" t="s">
        <v>22</v>
      </c>
      <c r="B24" s="73">
        <v>2520</v>
      </c>
      <c r="C24" s="73">
        <v>8</v>
      </c>
      <c r="D24" s="74">
        <v>0</v>
      </c>
      <c r="E24" s="73">
        <f>B24*C24*(1-D24)</f>
        <v>20160</v>
      </c>
      <c r="F24" s="73">
        <f>B24*C24</f>
        <v>20160</v>
      </c>
    </row>
    <row r="25" spans="1:6">
      <c r="A25" s="73" t="s">
        <v>3</v>
      </c>
      <c r="B25" s="73">
        <v>2704</v>
      </c>
      <c r="C25" s="73">
        <v>8</v>
      </c>
      <c r="D25" s="74">
        <v>0</v>
      </c>
      <c r="E25" s="73">
        <f>B25*C25*(1-D25)</f>
        <v>21632</v>
      </c>
      <c r="F25" s="73">
        <f>B25*C25</f>
        <v>21632</v>
      </c>
    </row>
    <row r="26" spans="1:6">
      <c r="A26" s="73"/>
      <c r="B26" s="73"/>
      <c r="C26" s="73"/>
      <c r="D26" s="74"/>
      <c r="E26" s="73"/>
      <c r="F26" s="73"/>
    </row>
    <row r="27" spans="1:6">
      <c r="A27" s="73" t="s">
        <v>19</v>
      </c>
      <c r="B27" s="73">
        <v>2000</v>
      </c>
      <c r="C27" s="73">
        <v>4</v>
      </c>
      <c r="D27" s="74">
        <v>0</v>
      </c>
      <c r="E27" s="73">
        <f>B27*C27*(1-D27)</f>
        <v>8000</v>
      </c>
      <c r="F27" s="73">
        <f t="shared" ref="F27:F45" si="5">B27*C27</f>
        <v>8000</v>
      </c>
    </row>
    <row r="28" spans="1:6">
      <c r="A28" s="73" t="s">
        <v>20</v>
      </c>
      <c r="B28" s="73">
        <v>503</v>
      </c>
      <c r="C28" s="73">
        <v>4</v>
      </c>
      <c r="D28" s="74">
        <v>0</v>
      </c>
      <c r="E28" s="73">
        <f>B28*C28*(1-D28)</f>
        <v>2012</v>
      </c>
      <c r="F28" s="73">
        <f t="shared" si="5"/>
        <v>2012</v>
      </c>
    </row>
    <row r="29" spans="1:6">
      <c r="A29" s="73" t="s">
        <v>21</v>
      </c>
      <c r="B29" s="73">
        <v>50</v>
      </c>
      <c r="C29" s="73">
        <v>4</v>
      </c>
      <c r="D29" s="74">
        <v>0</v>
      </c>
      <c r="E29" s="73">
        <f>B29*C29*(1-D29)</f>
        <v>200</v>
      </c>
      <c r="F29" s="73">
        <f t="shared" si="5"/>
        <v>200</v>
      </c>
    </row>
    <row r="30" spans="1:6">
      <c r="A30" s="73" t="s">
        <v>22</v>
      </c>
      <c r="B30" s="73">
        <v>1250</v>
      </c>
      <c r="C30" s="73">
        <v>4</v>
      </c>
      <c r="D30" s="74">
        <v>0</v>
      </c>
      <c r="E30" s="73">
        <f>B30*C30*(1-D30)</f>
        <v>5000</v>
      </c>
      <c r="F30" s="73">
        <f t="shared" si="5"/>
        <v>5000</v>
      </c>
    </row>
    <row r="31" spans="1:6">
      <c r="A31" s="73" t="s">
        <v>3</v>
      </c>
      <c r="B31" s="73">
        <v>3429</v>
      </c>
      <c r="C31" s="73">
        <v>4</v>
      </c>
      <c r="D31" s="74">
        <v>0</v>
      </c>
      <c r="E31" s="73">
        <f>B31*C31*(1-D31)</f>
        <v>13716</v>
      </c>
      <c r="F31" s="73">
        <f t="shared" si="5"/>
        <v>13716</v>
      </c>
    </row>
    <row r="32" spans="1:6">
      <c r="A32" s="73"/>
      <c r="B32" s="73"/>
      <c r="C32" s="73"/>
      <c r="D32" s="74"/>
      <c r="E32" s="73"/>
      <c r="F32" s="73"/>
    </row>
    <row r="33" spans="1:6">
      <c r="A33" s="73" t="s">
        <v>16</v>
      </c>
      <c r="B33" s="73">
        <v>3800</v>
      </c>
      <c r="C33" s="73">
        <v>12</v>
      </c>
      <c r="D33" s="74">
        <v>0</v>
      </c>
      <c r="E33" s="73">
        <f t="shared" ref="E33:E45" si="6">B33*C33*(1-D33)</f>
        <v>45600</v>
      </c>
      <c r="F33" s="73">
        <f t="shared" si="5"/>
        <v>45600</v>
      </c>
    </row>
    <row r="34" spans="1:6">
      <c r="A34" s="73" t="s">
        <v>23</v>
      </c>
      <c r="B34" s="73">
        <v>5800</v>
      </c>
      <c r="C34" s="73">
        <v>12</v>
      </c>
      <c r="D34" s="74">
        <v>0</v>
      </c>
      <c r="E34" s="73">
        <f t="shared" si="6"/>
        <v>69600</v>
      </c>
      <c r="F34" s="73">
        <f t="shared" si="5"/>
        <v>69600</v>
      </c>
    </row>
    <row r="35" spans="1:6">
      <c r="A35" s="73"/>
      <c r="B35" s="73"/>
      <c r="C35" s="73"/>
      <c r="D35" s="74"/>
      <c r="E35" s="73"/>
      <c r="F35" s="73"/>
    </row>
    <row r="36" spans="1:6">
      <c r="A36" s="73" t="s">
        <v>24</v>
      </c>
      <c r="B36" s="73">
        <v>88000</v>
      </c>
      <c r="C36" s="73">
        <v>1</v>
      </c>
      <c r="D36" s="74">
        <v>0</v>
      </c>
      <c r="E36" s="73">
        <f t="shared" si="6"/>
        <v>88000</v>
      </c>
      <c r="F36" s="73">
        <f t="shared" si="5"/>
        <v>88000</v>
      </c>
    </row>
    <row r="37" spans="1:6">
      <c r="A37" s="73" t="s">
        <v>25</v>
      </c>
      <c r="B37" s="73">
        <v>40000</v>
      </c>
      <c r="C37" s="73">
        <v>1</v>
      </c>
      <c r="D37" s="74">
        <v>0</v>
      </c>
      <c r="E37" s="73">
        <f t="shared" si="6"/>
        <v>40000</v>
      </c>
      <c r="F37" s="73">
        <f t="shared" si="5"/>
        <v>40000</v>
      </c>
    </row>
    <row r="38" spans="1:6">
      <c r="A38" s="73"/>
      <c r="B38" s="73"/>
      <c r="C38" s="73"/>
      <c r="D38" s="74"/>
      <c r="E38" s="73"/>
      <c r="F38" s="73"/>
    </row>
    <row r="39" spans="1:6">
      <c r="A39" s="73" t="s">
        <v>26</v>
      </c>
      <c r="B39" s="73">
        <v>1500</v>
      </c>
      <c r="C39" s="73">
        <v>12</v>
      </c>
      <c r="D39" s="74">
        <v>0</v>
      </c>
      <c r="E39" s="73">
        <f t="shared" si="6"/>
        <v>18000</v>
      </c>
      <c r="F39" s="73">
        <f t="shared" si="5"/>
        <v>18000</v>
      </c>
    </row>
    <row r="40" spans="1:6">
      <c r="A40" s="73" t="s">
        <v>27</v>
      </c>
      <c r="B40" s="73">
        <v>6000</v>
      </c>
      <c r="C40" s="73">
        <v>1</v>
      </c>
      <c r="D40" s="74">
        <v>0</v>
      </c>
      <c r="E40" s="73">
        <f t="shared" si="6"/>
        <v>6000</v>
      </c>
      <c r="F40" s="73">
        <f t="shared" si="5"/>
        <v>6000</v>
      </c>
    </row>
    <row r="41" spans="1:6">
      <c r="A41" s="73"/>
      <c r="B41" s="73"/>
      <c r="C41" s="73"/>
      <c r="D41" s="74"/>
      <c r="E41" s="73"/>
      <c r="F41" s="73"/>
    </row>
    <row r="42" spans="1:6">
      <c r="A42" s="73" t="s">
        <v>28</v>
      </c>
      <c r="B42" s="73">
        <v>7000</v>
      </c>
      <c r="C42" s="73">
        <v>12</v>
      </c>
      <c r="D42" s="74">
        <v>0</v>
      </c>
      <c r="E42" s="73">
        <f t="shared" si="6"/>
        <v>84000</v>
      </c>
      <c r="F42" s="73">
        <f t="shared" si="5"/>
        <v>84000</v>
      </c>
    </row>
    <row r="43" spans="1:6">
      <c r="A43" s="73"/>
      <c r="B43" s="73"/>
      <c r="C43" s="73"/>
      <c r="D43" s="74"/>
      <c r="E43" s="73"/>
      <c r="F43" s="73"/>
    </row>
    <row r="44" spans="1:6">
      <c r="A44" s="73" t="s">
        <v>29</v>
      </c>
      <c r="B44" s="73">
        <v>3000</v>
      </c>
      <c r="C44" s="73">
        <v>12</v>
      </c>
      <c r="D44" s="74">
        <v>0</v>
      </c>
      <c r="E44" s="73">
        <f t="shared" si="6"/>
        <v>36000</v>
      </c>
      <c r="F44" s="73">
        <f t="shared" si="5"/>
        <v>36000</v>
      </c>
    </row>
    <row r="45" spans="1:6">
      <c r="A45" s="73" t="s">
        <v>30</v>
      </c>
      <c r="B45" s="73">
        <v>10000</v>
      </c>
      <c r="C45" s="73">
        <v>1</v>
      </c>
      <c r="D45" s="74">
        <v>0</v>
      </c>
      <c r="E45" s="73">
        <f t="shared" si="6"/>
        <v>10000</v>
      </c>
      <c r="F45" s="73">
        <f t="shared" si="5"/>
        <v>10000</v>
      </c>
    </row>
    <row r="46" spans="1:6">
      <c r="A46" s="77" t="s">
        <v>17</v>
      </c>
      <c r="B46" s="77"/>
      <c r="C46" s="77"/>
      <c r="D46" s="78"/>
      <c r="E46" s="77">
        <f>SUM(E21:E45)</f>
        <v>485080</v>
      </c>
      <c r="F46" s="77">
        <f>SUM(F21:F45)</f>
        <v>485080</v>
      </c>
    </row>
    <row r="47" spans="1:6">
      <c r="A47" s="79" t="s">
        <v>31</v>
      </c>
      <c r="B47" s="79"/>
      <c r="C47" s="79"/>
      <c r="D47" s="80"/>
      <c r="E47" s="79"/>
      <c r="F47" s="79">
        <f>F19-F46</f>
        <v>179272.4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abSelected="1" workbookViewId="0">
      <selection activeCell="L13" sqref="L13:O13"/>
    </sheetView>
  </sheetViews>
  <sheetFormatPr defaultColWidth="9" defaultRowHeight="13.5"/>
  <cols>
    <col min="1" max="3" width="12.875" style="70" customWidth="1"/>
    <col min="4" max="8" width="9" style="70"/>
    <col min="9" max="9" width="13.875" style="70" customWidth="1"/>
    <col min="10" max="10" width="10.25" style="70" customWidth="1"/>
    <col min="11" max="16" width="9" style="70"/>
    <col min="17" max="17" width="10.375" style="70"/>
    <col min="18" max="18" width="9" style="70"/>
    <col min="19" max="19" width="10.375" style="70"/>
    <col min="20" max="16384" width="9" style="70"/>
  </cols>
  <sheetData>
    <row r="1" spans="1:8">
      <c r="A1" s="71" t="s">
        <v>54</v>
      </c>
      <c r="B1" s="81">
        <v>2014</v>
      </c>
      <c r="C1" s="81">
        <v>2015</v>
      </c>
      <c r="D1" s="71">
        <v>2016</v>
      </c>
      <c r="E1" s="71">
        <v>2017</v>
      </c>
      <c r="F1" s="71">
        <v>2018</v>
      </c>
      <c r="G1" s="71">
        <v>2019</v>
      </c>
      <c r="H1" s="71" t="s">
        <v>55</v>
      </c>
    </row>
    <row r="2" spans="1:8">
      <c r="A2" s="73" t="s">
        <v>56</v>
      </c>
      <c r="B2" s="81">
        <v>9000</v>
      </c>
      <c r="C2" s="81">
        <v>12000</v>
      </c>
      <c r="D2" s="73">
        <v>30000</v>
      </c>
      <c r="E2" s="73">
        <v>11000</v>
      </c>
      <c r="F2" s="73">
        <v>0</v>
      </c>
      <c r="G2" s="73">
        <v>5000</v>
      </c>
      <c r="H2" s="73">
        <f>SUM(D2:G2)</f>
        <v>46000</v>
      </c>
    </row>
    <row r="3" spans="1:8">
      <c r="A3" s="73" t="s">
        <v>57</v>
      </c>
      <c r="B3" s="73"/>
      <c r="C3" s="73"/>
      <c r="D3" s="73"/>
      <c r="E3" s="73"/>
      <c r="F3" s="73">
        <v>1.05</v>
      </c>
      <c r="G3" s="73"/>
      <c r="H3" s="73">
        <v>2</v>
      </c>
    </row>
    <row r="4" spans="1:8">
      <c r="A4" s="73" t="s">
        <v>58</v>
      </c>
      <c r="B4" s="73"/>
      <c r="C4" s="73"/>
      <c r="D4" s="73"/>
      <c r="E4" s="73"/>
      <c r="F4" s="73">
        <v>1.56</v>
      </c>
      <c r="G4" s="73"/>
      <c r="H4" s="73">
        <v>0</v>
      </c>
    </row>
    <row r="5" spans="1:8">
      <c r="A5" s="73" t="s">
        <v>59</v>
      </c>
      <c r="B5" s="73"/>
      <c r="C5" s="73"/>
      <c r="D5" s="73"/>
      <c r="E5" s="73"/>
      <c r="F5" s="73">
        <f>(F3+F4)*H2</f>
        <v>120060</v>
      </c>
      <c r="G5" s="73"/>
      <c r="H5" s="73">
        <f>(H3+H4)*H2</f>
        <v>92000</v>
      </c>
    </row>
    <row r="6" spans="1:8">
      <c r="A6" s="73" t="s">
        <v>60</v>
      </c>
      <c r="B6" s="73"/>
      <c r="C6" s="73"/>
      <c r="D6" s="73"/>
      <c r="E6" s="73"/>
      <c r="F6" s="79">
        <f>F5*0.8</f>
        <v>96048</v>
      </c>
      <c r="G6" s="73"/>
      <c r="H6" s="79">
        <f>H5*0.8</f>
        <v>73600</v>
      </c>
    </row>
    <row r="8" spans="9:19">
      <c r="I8" s="71" t="s">
        <v>54</v>
      </c>
      <c r="J8" s="71">
        <v>2014</v>
      </c>
      <c r="K8" s="71">
        <v>2015</v>
      </c>
      <c r="L8" s="71">
        <v>2016</v>
      </c>
      <c r="M8" s="71">
        <v>2017</v>
      </c>
      <c r="N8" s="71">
        <v>2018</v>
      </c>
      <c r="O8" s="71">
        <v>2019</v>
      </c>
      <c r="P8" s="71">
        <v>2020</v>
      </c>
      <c r="Q8" s="71" t="s">
        <v>55</v>
      </c>
      <c r="R8" s="71" t="s">
        <v>61</v>
      </c>
      <c r="S8" s="71" t="s">
        <v>62</v>
      </c>
    </row>
    <row r="9" spans="9:19">
      <c r="I9" s="73" t="s">
        <v>14</v>
      </c>
      <c r="J9" s="73"/>
      <c r="K9" s="73"/>
      <c r="L9" s="73">
        <v>70000</v>
      </c>
      <c r="M9" s="73">
        <v>24000</v>
      </c>
      <c r="N9" s="73">
        <v>30000</v>
      </c>
      <c r="O9" s="73">
        <v>20000</v>
      </c>
      <c r="P9" s="73"/>
      <c r="Q9" s="73"/>
      <c r="R9" s="73"/>
      <c r="S9" s="73"/>
    </row>
    <row r="10" spans="9:19">
      <c r="I10" s="73" t="s">
        <v>63</v>
      </c>
      <c r="J10" s="73"/>
      <c r="K10" s="73"/>
      <c r="L10" s="73">
        <v>1.23</v>
      </c>
      <c r="M10" s="73">
        <v>1.23</v>
      </c>
      <c r="N10" s="73">
        <v>1</v>
      </c>
      <c r="O10" s="73">
        <v>1</v>
      </c>
      <c r="P10" s="73"/>
      <c r="Q10" s="73"/>
      <c r="R10" s="73"/>
      <c r="S10" s="73"/>
    </row>
    <row r="11" spans="9:19">
      <c r="I11" s="73" t="s">
        <v>64</v>
      </c>
      <c r="J11" s="73"/>
      <c r="K11" s="73"/>
      <c r="L11" s="73">
        <f t="shared" ref="L11:O11" si="0">L9*L10</f>
        <v>86100</v>
      </c>
      <c r="M11" s="73">
        <f t="shared" si="0"/>
        <v>29520</v>
      </c>
      <c r="N11" s="73">
        <f t="shared" si="0"/>
        <v>30000</v>
      </c>
      <c r="O11" s="73">
        <f t="shared" si="0"/>
        <v>20000</v>
      </c>
      <c r="P11" s="73"/>
      <c r="Q11" s="73">
        <f>SUM(J11:O11)</f>
        <v>165620</v>
      </c>
      <c r="R11" s="73">
        <v>7.85</v>
      </c>
      <c r="S11" s="73">
        <f>Q11*R11</f>
        <v>1300117</v>
      </c>
    </row>
    <row r="12" spans="9:19">
      <c r="I12" s="73" t="s">
        <v>65</v>
      </c>
      <c r="J12" s="73"/>
      <c r="K12" s="73"/>
      <c r="L12" s="73">
        <v>1.2</v>
      </c>
      <c r="M12" s="73">
        <v>1.2</v>
      </c>
      <c r="N12" s="73">
        <v>1.2</v>
      </c>
      <c r="O12" s="73">
        <v>1</v>
      </c>
      <c r="P12" s="73"/>
      <c r="Q12" s="73"/>
      <c r="R12" s="73"/>
      <c r="S12" s="73"/>
    </row>
    <row r="13" spans="9:19">
      <c r="I13" s="73" t="s">
        <v>66</v>
      </c>
      <c r="J13" s="73"/>
      <c r="K13" s="73"/>
      <c r="L13" s="73">
        <f t="shared" ref="L13:O13" si="1">L11*L12</f>
        <v>103320</v>
      </c>
      <c r="M13" s="73">
        <f t="shared" si="1"/>
        <v>35424</v>
      </c>
      <c r="N13" s="73">
        <f t="shared" si="1"/>
        <v>36000</v>
      </c>
      <c r="O13" s="73">
        <f t="shared" si="1"/>
        <v>20000</v>
      </c>
      <c r="P13" s="73"/>
      <c r="Q13" s="73">
        <f>SUM(J13:O13)</f>
        <v>194744</v>
      </c>
      <c r="R13" s="73">
        <v>7.85</v>
      </c>
      <c r="S13" s="73">
        <f>Q13*R13</f>
        <v>1528740.4</v>
      </c>
    </row>
    <row r="14" spans="9:19">
      <c r="I14" s="73">
        <v>2020</v>
      </c>
      <c r="J14" s="73"/>
      <c r="K14" s="73"/>
      <c r="L14" s="73"/>
      <c r="M14" s="73"/>
      <c r="N14" s="73"/>
      <c r="O14" s="73"/>
      <c r="P14" s="73"/>
      <c r="Q14" s="73"/>
      <c r="R14" s="73"/>
      <c r="S14" s="73"/>
    </row>
    <row r="15" spans="9:19">
      <c r="I15" s="73" t="s">
        <v>57</v>
      </c>
      <c r="J15" s="73"/>
      <c r="K15" s="73"/>
      <c r="L15" s="73"/>
      <c r="M15" s="73"/>
      <c r="N15" s="73">
        <v>1.05</v>
      </c>
      <c r="O15" s="73"/>
      <c r="P15" s="73"/>
      <c r="Q15" s="73">
        <v>2</v>
      </c>
      <c r="R15" s="73"/>
      <c r="S15" s="73"/>
    </row>
    <row r="16" spans="9:19">
      <c r="I16" s="73" t="s">
        <v>58</v>
      </c>
      <c r="J16" s="73"/>
      <c r="K16" s="73"/>
      <c r="L16" s="73"/>
      <c r="M16" s="73"/>
      <c r="N16" s="73">
        <v>0</v>
      </c>
      <c r="O16" s="73"/>
      <c r="P16" s="73"/>
      <c r="Q16" s="73">
        <v>0</v>
      </c>
      <c r="R16" s="73"/>
      <c r="S16" s="73"/>
    </row>
    <row r="17" spans="9:19">
      <c r="I17" s="73" t="s">
        <v>59</v>
      </c>
      <c r="J17" s="73"/>
      <c r="K17" s="73"/>
      <c r="L17" s="73"/>
      <c r="M17" s="73"/>
      <c r="N17" s="73">
        <f>Q11*(N15)</f>
        <v>173901</v>
      </c>
      <c r="O17" s="73"/>
      <c r="P17" s="73"/>
      <c r="Q17" s="73">
        <f>Q13*(Q15)</f>
        <v>389488</v>
      </c>
      <c r="R17" s="73"/>
      <c r="S17" s="73"/>
    </row>
    <row r="18" spans="9:19">
      <c r="I18" s="73" t="s">
        <v>60</v>
      </c>
      <c r="J18" s="73"/>
      <c r="K18" s="73"/>
      <c r="L18" s="73"/>
      <c r="M18" s="73"/>
      <c r="N18" s="79">
        <f>N17*0.8</f>
        <v>139120.8</v>
      </c>
      <c r="O18" s="73"/>
      <c r="P18" s="73"/>
      <c r="Q18" s="79">
        <f>Q17*0.8</f>
        <v>311590.4</v>
      </c>
      <c r="R18" s="73"/>
      <c r="S18" s="73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G35" sqref="G35"/>
    </sheetView>
  </sheetViews>
  <sheetFormatPr defaultColWidth="9" defaultRowHeight="13.5" outlineLevelCol="7"/>
  <cols>
    <col min="1" max="1" width="12.875" style="70" customWidth="1"/>
    <col min="2" max="6" width="9" style="70"/>
    <col min="7" max="7" width="9.125" style="70" customWidth="1"/>
    <col min="8" max="16384" width="9" style="70"/>
  </cols>
  <sheetData>
    <row r="1" spans="1:6">
      <c r="A1" s="71" t="s">
        <v>0</v>
      </c>
      <c r="B1" s="71" t="s">
        <v>1</v>
      </c>
      <c r="C1" s="71" t="s">
        <v>2</v>
      </c>
      <c r="D1" s="71" t="s">
        <v>3</v>
      </c>
      <c r="E1" s="72" t="s">
        <v>4</v>
      </c>
      <c r="F1" s="72" t="s">
        <v>5</v>
      </c>
    </row>
    <row r="2" spans="1:6">
      <c r="A2" s="73" t="s">
        <v>16</v>
      </c>
      <c r="B2" s="73">
        <v>4300</v>
      </c>
      <c r="C2" s="73">
        <v>3</v>
      </c>
      <c r="D2" s="74">
        <v>0</v>
      </c>
      <c r="E2" s="73">
        <f>B2*C2*(1-D2)</f>
        <v>12900</v>
      </c>
      <c r="F2" s="73">
        <f>B2*C2</f>
        <v>12900</v>
      </c>
    </row>
    <row r="3" spans="1:6">
      <c r="A3" s="73"/>
      <c r="B3" s="73"/>
      <c r="C3" s="73"/>
      <c r="D3" s="74"/>
      <c r="E3" s="73"/>
      <c r="F3" s="73"/>
    </row>
    <row r="4" spans="1:6">
      <c r="A4" s="73" t="s">
        <v>6</v>
      </c>
      <c r="B4" s="73">
        <v>33000</v>
      </c>
      <c r="C4" s="75">
        <v>12</v>
      </c>
      <c r="D4" s="74">
        <v>0</v>
      </c>
      <c r="E4" s="73">
        <f>B4*C4*(1-D4)</f>
        <v>396000</v>
      </c>
      <c r="F4" s="73">
        <f>B4*C4</f>
        <v>396000</v>
      </c>
    </row>
    <row r="5" spans="1:6">
      <c r="A5" s="73"/>
      <c r="B5" s="73"/>
      <c r="C5" s="73"/>
      <c r="D5" s="74"/>
      <c r="E5" s="73"/>
      <c r="F5" s="73"/>
    </row>
    <row r="6" spans="1:6">
      <c r="A6" s="73" t="s">
        <v>8</v>
      </c>
      <c r="B6" s="73">
        <v>2500</v>
      </c>
      <c r="C6" s="73">
        <v>12</v>
      </c>
      <c r="D6" s="74">
        <v>0</v>
      </c>
      <c r="E6" s="73">
        <f t="shared" ref="E6:E16" si="0">B6*C6*(1-D6)</f>
        <v>30000</v>
      </c>
      <c r="F6" s="73">
        <f t="shared" ref="F6:F16" si="1">B6*C6</f>
        <v>30000</v>
      </c>
    </row>
    <row r="7" spans="1:7">
      <c r="A7" s="75"/>
      <c r="B7" s="73"/>
      <c r="C7" s="73"/>
      <c r="D7" s="74"/>
      <c r="E7" s="73"/>
      <c r="F7" s="73"/>
      <c r="G7" s="76"/>
    </row>
    <row r="8" spans="1:6">
      <c r="A8" s="73" t="s">
        <v>9</v>
      </c>
      <c r="B8" s="73">
        <v>280000</v>
      </c>
      <c r="C8" s="73">
        <v>1</v>
      </c>
      <c r="D8" s="74">
        <v>0.2</v>
      </c>
      <c r="E8" s="73">
        <f>B8*C8*(1-D8)</f>
        <v>224000</v>
      </c>
      <c r="F8" s="73">
        <f>B8*C8</f>
        <v>280000</v>
      </c>
    </row>
    <row r="9" spans="1:6">
      <c r="A9" s="73"/>
      <c r="B9" s="73"/>
      <c r="C9" s="73"/>
      <c r="D9" s="74"/>
      <c r="E9" s="73"/>
      <c r="F9" s="73"/>
    </row>
    <row r="10" spans="1:6">
      <c r="A10" s="73" t="s">
        <v>10</v>
      </c>
      <c r="B10" s="73">
        <v>9000</v>
      </c>
      <c r="C10" s="73">
        <v>2.61</v>
      </c>
      <c r="D10" s="74">
        <v>0.2</v>
      </c>
      <c r="E10" s="73">
        <f t="shared" si="0"/>
        <v>18792</v>
      </c>
      <c r="F10" s="73">
        <f t="shared" si="1"/>
        <v>23490</v>
      </c>
    </row>
    <row r="11" spans="1:6">
      <c r="A11" s="73" t="s">
        <v>11</v>
      </c>
      <c r="B11" s="73">
        <v>12000</v>
      </c>
      <c r="C11" s="73">
        <f t="shared" ref="C11:C13" si="2">C10</f>
        <v>2.61</v>
      </c>
      <c r="D11" s="74">
        <v>0.2</v>
      </c>
      <c r="E11" s="73">
        <f t="shared" si="0"/>
        <v>25056</v>
      </c>
      <c r="F11" s="73">
        <f t="shared" si="1"/>
        <v>31320</v>
      </c>
    </row>
    <row r="12" spans="1:6">
      <c r="A12" s="73" t="s">
        <v>12</v>
      </c>
      <c r="B12" s="73">
        <v>30000</v>
      </c>
      <c r="C12" s="73">
        <f t="shared" si="2"/>
        <v>2.61</v>
      </c>
      <c r="D12" s="74">
        <v>0.2</v>
      </c>
      <c r="E12" s="73">
        <f t="shared" si="0"/>
        <v>62640</v>
      </c>
      <c r="F12" s="73">
        <f t="shared" si="1"/>
        <v>78300</v>
      </c>
    </row>
    <row r="13" spans="1:6">
      <c r="A13" s="73" t="s">
        <v>13</v>
      </c>
      <c r="B13" s="73">
        <v>11000</v>
      </c>
      <c r="C13" s="73">
        <f t="shared" si="2"/>
        <v>2.61</v>
      </c>
      <c r="D13" s="74">
        <v>0.2</v>
      </c>
      <c r="E13" s="73">
        <f t="shared" si="0"/>
        <v>22968</v>
      </c>
      <c r="F13" s="73">
        <f t="shared" si="1"/>
        <v>28710</v>
      </c>
    </row>
    <row r="14" spans="1:8">
      <c r="A14" s="75" t="s">
        <v>52</v>
      </c>
      <c r="B14" s="73">
        <f>70000*1.23</f>
        <v>86100</v>
      </c>
      <c r="C14" s="73">
        <v>1.05</v>
      </c>
      <c r="D14" s="74">
        <v>0.2</v>
      </c>
      <c r="E14" s="73">
        <f t="shared" si="0"/>
        <v>72324</v>
      </c>
      <c r="F14" s="73">
        <f t="shared" si="1"/>
        <v>90405</v>
      </c>
      <c r="G14" s="73">
        <v>7.85</v>
      </c>
      <c r="H14" s="73">
        <f>B14*G14</f>
        <v>675885</v>
      </c>
    </row>
    <row r="15" spans="1:8">
      <c r="A15" s="75" t="s">
        <v>15</v>
      </c>
      <c r="B15" s="73">
        <f>24000*1.23</f>
        <v>29520</v>
      </c>
      <c r="C15" s="73">
        <f>C14</f>
        <v>1.05</v>
      </c>
      <c r="D15" s="74">
        <v>0.2</v>
      </c>
      <c r="E15" s="73">
        <f t="shared" si="0"/>
        <v>24796.8</v>
      </c>
      <c r="F15" s="73">
        <f t="shared" si="1"/>
        <v>30996</v>
      </c>
      <c r="G15" s="73">
        <v>7.85</v>
      </c>
      <c r="H15" s="73">
        <f>B15*G15</f>
        <v>231732</v>
      </c>
    </row>
    <row r="16" spans="1:8">
      <c r="A16" s="75" t="s">
        <v>53</v>
      </c>
      <c r="B16" s="73">
        <v>30000</v>
      </c>
      <c r="C16" s="73">
        <f>C15</f>
        <v>1.05</v>
      </c>
      <c r="D16" s="74">
        <v>0.2</v>
      </c>
      <c r="E16" s="73">
        <f t="shared" si="0"/>
        <v>25200</v>
      </c>
      <c r="F16" s="73">
        <f t="shared" si="1"/>
        <v>31500</v>
      </c>
      <c r="G16" s="73">
        <v>7.85</v>
      </c>
      <c r="H16" s="73">
        <f>B16*G16</f>
        <v>235500</v>
      </c>
    </row>
    <row r="17" spans="1:8">
      <c r="A17" s="77" t="s">
        <v>17</v>
      </c>
      <c r="B17" s="77"/>
      <c r="C17" s="77"/>
      <c r="D17" s="78"/>
      <c r="E17" s="77">
        <f>SUM(E4:E16)</f>
        <v>901776.8</v>
      </c>
      <c r="F17" s="77">
        <f>SUM(F4:F16)</f>
        <v>1020721</v>
      </c>
      <c r="G17" s="77"/>
      <c r="H17" s="77">
        <f>SUM(H4:H16)</f>
        <v>1143117</v>
      </c>
    </row>
    <row r="18" spans="1:6">
      <c r="A18" s="71" t="s">
        <v>18</v>
      </c>
      <c r="B18" s="71" t="s">
        <v>1</v>
      </c>
      <c r="C18" s="71" t="s">
        <v>2</v>
      </c>
      <c r="D18" s="71" t="s">
        <v>3</v>
      </c>
      <c r="E18" s="72" t="s">
        <v>4</v>
      </c>
      <c r="F18" s="72" t="s">
        <v>5</v>
      </c>
    </row>
    <row r="19" spans="1:6">
      <c r="A19" s="73" t="s">
        <v>19</v>
      </c>
      <c r="B19" s="73">
        <v>2000</v>
      </c>
      <c r="C19" s="73">
        <v>12</v>
      </c>
      <c r="D19" s="74">
        <v>0</v>
      </c>
      <c r="E19" s="73">
        <f>B19*C19*(1-D19)</f>
        <v>24000</v>
      </c>
      <c r="F19" s="73">
        <f t="shared" ref="F19:F38" si="3">B19*C19</f>
        <v>24000</v>
      </c>
    </row>
    <row r="20" spans="1:6">
      <c r="A20" s="73" t="s">
        <v>20</v>
      </c>
      <c r="B20" s="73">
        <v>503</v>
      </c>
      <c r="C20" s="73">
        <v>12</v>
      </c>
      <c r="D20" s="74">
        <v>0</v>
      </c>
      <c r="E20" s="73">
        <f>B20*C20*(1-D20)</f>
        <v>6036</v>
      </c>
      <c r="F20" s="73">
        <f t="shared" si="3"/>
        <v>6036</v>
      </c>
    </row>
    <row r="21" spans="1:6">
      <c r="A21" s="73" t="s">
        <v>21</v>
      </c>
      <c r="B21" s="73">
        <v>50</v>
      </c>
      <c r="C21" s="73">
        <v>12</v>
      </c>
      <c r="D21" s="74">
        <v>0</v>
      </c>
      <c r="E21" s="73">
        <f>B21*C21*(1-D21)</f>
        <v>600</v>
      </c>
      <c r="F21" s="73">
        <f t="shared" si="3"/>
        <v>600</v>
      </c>
    </row>
    <row r="22" spans="1:6">
      <c r="A22" s="73" t="s">
        <v>22</v>
      </c>
      <c r="B22" s="73">
        <v>1250</v>
      </c>
      <c r="C22" s="73">
        <v>12</v>
      </c>
      <c r="D22" s="74">
        <v>0</v>
      </c>
      <c r="E22" s="73">
        <f>B22*C22*(1-D22)</f>
        <v>15000</v>
      </c>
      <c r="F22" s="73">
        <f t="shared" si="3"/>
        <v>15000</v>
      </c>
    </row>
    <row r="23" spans="1:6">
      <c r="A23" s="73" t="s">
        <v>3</v>
      </c>
      <c r="B23" s="73">
        <v>3429</v>
      </c>
      <c r="C23" s="73">
        <v>12</v>
      </c>
      <c r="D23" s="74">
        <v>0</v>
      </c>
      <c r="E23" s="73">
        <f>B23*C23*(1-D23)</f>
        <v>41148</v>
      </c>
      <c r="F23" s="73">
        <f t="shared" si="3"/>
        <v>41148</v>
      </c>
    </row>
    <row r="24" spans="1:6">
      <c r="A24" s="73"/>
      <c r="B24" s="73"/>
      <c r="C24" s="73"/>
      <c r="D24" s="74"/>
      <c r="E24" s="73"/>
      <c r="F24" s="73"/>
    </row>
    <row r="25" spans="1:6">
      <c r="A25" s="73" t="s">
        <v>16</v>
      </c>
      <c r="B25" s="73">
        <v>3800</v>
      </c>
      <c r="C25" s="73">
        <v>3</v>
      </c>
      <c r="D25" s="74">
        <v>0</v>
      </c>
      <c r="E25" s="73">
        <f t="shared" ref="E25:E38" si="4">B25*C25*(1-D25)</f>
        <v>11400</v>
      </c>
      <c r="F25" s="73">
        <f t="shared" si="3"/>
        <v>11400</v>
      </c>
    </row>
    <row r="26" spans="1:6">
      <c r="A26" s="73" t="s">
        <v>16</v>
      </c>
      <c r="B26" s="73">
        <v>5000</v>
      </c>
      <c r="C26" s="73">
        <v>5</v>
      </c>
      <c r="D26" s="74">
        <v>0</v>
      </c>
      <c r="E26" s="73">
        <f t="shared" ref="E26" si="5">B26*C26*(1-D26)</f>
        <v>25000</v>
      </c>
      <c r="F26" s="73">
        <f t="shared" ref="F26" si="6">B26*C26</f>
        <v>25000</v>
      </c>
    </row>
    <row r="27" spans="1:6">
      <c r="A27" s="73" t="s">
        <v>23</v>
      </c>
      <c r="B27" s="73">
        <v>5800</v>
      </c>
      <c r="C27" s="73">
        <v>12</v>
      </c>
      <c r="D27" s="74">
        <v>0</v>
      </c>
      <c r="E27" s="73">
        <f t="shared" si="4"/>
        <v>69600</v>
      </c>
      <c r="F27" s="73">
        <f t="shared" si="3"/>
        <v>69600</v>
      </c>
    </row>
    <row r="28" spans="1:6">
      <c r="A28" s="73"/>
      <c r="B28" s="73"/>
      <c r="C28" s="73"/>
      <c r="D28" s="74"/>
      <c r="E28" s="73"/>
      <c r="F28" s="73"/>
    </row>
    <row r="29" spans="1:6">
      <c r="A29" s="73" t="s">
        <v>24</v>
      </c>
      <c r="B29" s="73">
        <v>88000</v>
      </c>
      <c r="C29" s="73">
        <v>1</v>
      </c>
      <c r="D29" s="74">
        <v>0</v>
      </c>
      <c r="E29" s="73">
        <f t="shared" si="4"/>
        <v>88000</v>
      </c>
      <c r="F29" s="73">
        <f t="shared" si="3"/>
        <v>88000</v>
      </c>
    </row>
    <row r="30" spans="1:6">
      <c r="A30" s="73" t="s">
        <v>25</v>
      </c>
      <c r="B30" s="73">
        <v>40000</v>
      </c>
      <c r="C30" s="73">
        <v>1</v>
      </c>
      <c r="D30" s="74">
        <v>0</v>
      </c>
      <c r="E30" s="73">
        <f t="shared" si="4"/>
        <v>40000</v>
      </c>
      <c r="F30" s="73">
        <f t="shared" si="3"/>
        <v>40000</v>
      </c>
    </row>
    <row r="31" spans="1:6">
      <c r="A31" s="73"/>
      <c r="B31" s="73"/>
      <c r="C31" s="73"/>
      <c r="D31" s="74"/>
      <c r="E31" s="73"/>
      <c r="F31" s="73"/>
    </row>
    <row r="32" spans="1:6">
      <c r="A32" s="73" t="s">
        <v>26</v>
      </c>
      <c r="B32" s="73">
        <v>1500</v>
      </c>
      <c r="C32" s="73">
        <v>12</v>
      </c>
      <c r="D32" s="74">
        <v>0</v>
      </c>
      <c r="E32" s="73">
        <f t="shared" si="4"/>
        <v>18000</v>
      </c>
      <c r="F32" s="73">
        <f t="shared" si="3"/>
        <v>18000</v>
      </c>
    </row>
    <row r="33" spans="1:6">
      <c r="A33" s="73" t="s">
        <v>27</v>
      </c>
      <c r="B33" s="73">
        <v>6000</v>
      </c>
      <c r="C33" s="73">
        <v>1</v>
      </c>
      <c r="D33" s="74">
        <v>0</v>
      </c>
      <c r="E33" s="73">
        <f t="shared" si="4"/>
        <v>6000</v>
      </c>
      <c r="F33" s="73">
        <f t="shared" si="3"/>
        <v>6000</v>
      </c>
    </row>
    <row r="34" spans="1:6">
      <c r="A34" s="73"/>
      <c r="B34" s="73"/>
      <c r="C34" s="73"/>
      <c r="D34" s="74"/>
      <c r="E34" s="73"/>
      <c r="F34" s="73"/>
    </row>
    <row r="35" spans="1:6">
      <c r="A35" s="73" t="s">
        <v>28</v>
      </c>
      <c r="B35" s="73">
        <v>7000</v>
      </c>
      <c r="C35" s="73">
        <v>12</v>
      </c>
      <c r="D35" s="74">
        <v>0</v>
      </c>
      <c r="E35" s="73">
        <f t="shared" si="4"/>
        <v>84000</v>
      </c>
      <c r="F35" s="73">
        <f t="shared" si="3"/>
        <v>84000</v>
      </c>
    </row>
    <row r="36" spans="1:6">
      <c r="A36" s="73"/>
      <c r="B36" s="73"/>
      <c r="C36" s="73"/>
      <c r="D36" s="74"/>
      <c r="E36" s="73"/>
      <c r="F36" s="73"/>
    </row>
    <row r="37" spans="1:6">
      <c r="A37" s="73" t="s">
        <v>29</v>
      </c>
      <c r="B37" s="73">
        <v>3000</v>
      </c>
      <c r="C37" s="73">
        <v>12</v>
      </c>
      <c r="D37" s="74">
        <v>0</v>
      </c>
      <c r="E37" s="73">
        <f t="shared" si="4"/>
        <v>36000</v>
      </c>
      <c r="F37" s="73">
        <f t="shared" si="3"/>
        <v>36000</v>
      </c>
    </row>
    <row r="38" spans="1:6">
      <c r="A38" s="73" t="s">
        <v>30</v>
      </c>
      <c r="B38" s="73">
        <v>10000</v>
      </c>
      <c r="C38" s="73">
        <v>1</v>
      </c>
      <c r="D38" s="74">
        <v>0</v>
      </c>
      <c r="E38" s="73">
        <f t="shared" si="4"/>
        <v>10000</v>
      </c>
      <c r="F38" s="73">
        <f t="shared" si="3"/>
        <v>10000</v>
      </c>
    </row>
    <row r="39" spans="1:6">
      <c r="A39" s="77" t="s">
        <v>17</v>
      </c>
      <c r="B39" s="77"/>
      <c r="C39" s="77"/>
      <c r="D39" s="78"/>
      <c r="E39" s="77">
        <f>SUM(E19:E38)</f>
        <v>474784</v>
      </c>
      <c r="F39" s="77">
        <f>SUM(F19:F38)</f>
        <v>474784</v>
      </c>
    </row>
    <row r="40" spans="1:6">
      <c r="A40" s="79" t="s">
        <v>31</v>
      </c>
      <c r="B40" s="79"/>
      <c r="C40" s="79"/>
      <c r="D40" s="80"/>
      <c r="E40" s="79"/>
      <c r="F40" s="79">
        <f>F17-F39</f>
        <v>545937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7" sqref="D7"/>
    </sheetView>
  </sheetViews>
  <sheetFormatPr defaultColWidth="9" defaultRowHeight="13.5" outlineLevelRow="4" outlineLevelCol="4"/>
  <cols>
    <col min="1" max="1" width="13.625" style="2" customWidth="1"/>
    <col min="2" max="3" width="13.625" style="3" customWidth="1"/>
    <col min="4" max="5" width="13.625" style="2" customWidth="1"/>
    <col min="6" max="16384" width="9" style="2"/>
  </cols>
  <sheetData>
    <row r="1" spans="1:5">
      <c r="A1" s="13"/>
      <c r="B1" s="30">
        <f>SUM(B2:B31)</f>
        <v>488633.53</v>
      </c>
      <c r="C1" s="30">
        <f>SUM(C2:C31)</f>
        <v>256000</v>
      </c>
      <c r="D1" s="31" t="s">
        <v>67</v>
      </c>
      <c r="E1" s="31" t="s">
        <v>68</v>
      </c>
    </row>
    <row r="2" spans="1:5">
      <c r="A2" s="9" t="s">
        <v>9</v>
      </c>
      <c r="B2" s="8">
        <v>241410</v>
      </c>
      <c r="C2" s="8">
        <v>256000</v>
      </c>
      <c r="D2" s="36" t="s">
        <v>69</v>
      </c>
      <c r="E2" s="35">
        <v>43599</v>
      </c>
    </row>
    <row r="3" spans="1:5">
      <c r="A3" s="9" t="s">
        <v>70</v>
      </c>
      <c r="B3" s="8">
        <v>137223.53</v>
      </c>
      <c r="C3" s="8"/>
      <c r="D3" s="36" t="s">
        <v>69</v>
      </c>
      <c r="E3" s="35">
        <v>43600</v>
      </c>
    </row>
    <row r="4" spans="1:5">
      <c r="A4" s="9" t="s">
        <v>57</v>
      </c>
      <c r="B4" s="8">
        <v>50000</v>
      </c>
      <c r="C4" s="8"/>
      <c r="D4" s="36" t="s">
        <v>69</v>
      </c>
      <c r="E4" s="35">
        <v>43601</v>
      </c>
    </row>
    <row r="5" spans="1:5">
      <c r="A5" s="9" t="s">
        <v>71</v>
      </c>
      <c r="B5" s="8">
        <v>60000</v>
      </c>
      <c r="C5" s="8"/>
      <c r="D5" s="36"/>
      <c r="E5" s="35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7"/>
  <sheetViews>
    <sheetView topLeftCell="D1" workbookViewId="0">
      <selection activeCell="L69" sqref="L69:L73"/>
    </sheetView>
  </sheetViews>
  <sheetFormatPr defaultColWidth="9" defaultRowHeight="13.5"/>
  <cols>
    <col min="1" max="1" width="13.625" style="2" customWidth="1"/>
    <col min="2" max="2" width="13.625" style="3" customWidth="1"/>
    <col min="3" max="3" width="13.625" style="2" customWidth="1"/>
    <col min="4" max="4" width="13.625" style="3" customWidth="1"/>
    <col min="5" max="8" width="13.625" style="2" customWidth="1"/>
    <col min="9" max="12" width="13.625" style="3" customWidth="1"/>
    <col min="13" max="18" width="13.625" style="2" customWidth="1"/>
    <col min="19" max="23" width="9" style="2"/>
    <col min="24" max="24" width="14.625" style="2" customWidth="1"/>
    <col min="25" max="16384" width="9" style="2"/>
  </cols>
  <sheetData>
    <row r="1" ht="27" customHeight="1" spans="1:6">
      <c r="A1" s="4" t="s">
        <v>72</v>
      </c>
      <c r="B1" s="4" t="s">
        <v>73</v>
      </c>
      <c r="C1" s="4" t="s">
        <v>74</v>
      </c>
      <c r="D1" s="5" t="s">
        <v>75</v>
      </c>
      <c r="E1" s="4" t="s">
        <v>76</v>
      </c>
      <c r="F1" s="5" t="s">
        <v>77</v>
      </c>
    </row>
    <row r="2" spans="1:6">
      <c r="A2" s="6">
        <f>B2/30</f>
        <v>55000</v>
      </c>
      <c r="B2" s="6">
        <f>SUM(B3:B15)</f>
        <v>1650000</v>
      </c>
      <c r="C2" s="6">
        <f>D2/47.3</f>
        <v>60063.3382663848</v>
      </c>
      <c r="D2" s="6">
        <f>SUM(D3:D15)</f>
        <v>2840995.9</v>
      </c>
      <c r="E2" s="6">
        <f>F2/47.3</f>
        <v>62323.6742071882</v>
      </c>
      <c r="F2" s="6">
        <f>D2+I16+I23</f>
        <v>2947909.79</v>
      </c>
    </row>
    <row r="3" spans="1:6">
      <c r="A3" s="7" t="s">
        <v>78</v>
      </c>
      <c r="B3" s="8">
        <v>100000</v>
      </c>
      <c r="C3" s="9" t="s">
        <v>78</v>
      </c>
      <c r="D3" s="8">
        <v>100000</v>
      </c>
      <c r="E3" s="10"/>
      <c r="F3" s="10"/>
    </row>
    <row r="4" spans="1:6">
      <c r="A4" s="7" t="s">
        <v>79</v>
      </c>
      <c r="B4" s="8">
        <v>810000</v>
      </c>
      <c r="C4" s="7" t="s">
        <v>79</v>
      </c>
      <c r="D4" s="8">
        <v>850000</v>
      </c>
      <c r="E4" s="7"/>
      <c r="F4" s="7"/>
    </row>
    <row r="5" spans="1:6">
      <c r="A5" s="7" t="s">
        <v>80</v>
      </c>
      <c r="B5" s="8">
        <v>130000</v>
      </c>
      <c r="C5" s="7" t="s">
        <v>81</v>
      </c>
      <c r="D5" s="8">
        <v>500000</v>
      </c>
      <c r="E5" s="7"/>
      <c r="F5" s="7"/>
    </row>
    <row r="6" spans="1:6">
      <c r="A6" s="7" t="s">
        <v>82</v>
      </c>
      <c r="B6" s="8">
        <v>100000</v>
      </c>
      <c r="C6" s="7" t="s">
        <v>82</v>
      </c>
      <c r="D6" s="8">
        <v>100000</v>
      </c>
      <c r="E6" s="7"/>
      <c r="F6" s="7"/>
    </row>
    <row r="7" spans="1:6">
      <c r="A7" s="7" t="s">
        <v>83</v>
      </c>
      <c r="B7" s="8">
        <v>10000</v>
      </c>
      <c r="C7" s="7" t="s">
        <v>83</v>
      </c>
      <c r="D7" s="8">
        <v>10000</v>
      </c>
      <c r="E7" s="7"/>
      <c r="F7" s="7"/>
    </row>
    <row r="8" spans="1:6">
      <c r="A8" s="7" t="s">
        <v>8</v>
      </c>
      <c r="B8" s="8">
        <v>500000</v>
      </c>
      <c r="C8" s="7" t="s">
        <v>8</v>
      </c>
      <c r="D8" s="8">
        <v>1200000</v>
      </c>
      <c r="E8" s="7"/>
      <c r="F8" s="7"/>
    </row>
    <row r="9" spans="1:6">
      <c r="A9" s="7"/>
      <c r="B9" s="8"/>
      <c r="C9" s="7" t="s">
        <v>84</v>
      </c>
      <c r="D9" s="8">
        <v>64080</v>
      </c>
      <c r="E9" s="7"/>
      <c r="F9" s="7"/>
    </row>
    <row r="10" spans="1:6">
      <c r="A10" s="7"/>
      <c r="B10" s="8"/>
      <c r="C10" s="7" t="s">
        <v>3</v>
      </c>
      <c r="D10" s="8">
        <v>15805</v>
      </c>
      <c r="E10" s="7"/>
      <c r="F10" s="7"/>
    </row>
    <row r="11" spans="1:6">
      <c r="A11" s="7"/>
      <c r="B11" s="8"/>
      <c r="C11" s="7" t="s">
        <v>85</v>
      </c>
      <c r="D11" s="8">
        <v>80</v>
      </c>
      <c r="E11" s="7"/>
      <c r="F11" s="7"/>
    </row>
    <row r="12" spans="1:6">
      <c r="A12" s="7"/>
      <c r="B12" s="8"/>
      <c r="C12" s="7" t="s">
        <v>86</v>
      </c>
      <c r="D12" s="8">
        <v>1030.9</v>
      </c>
      <c r="E12" s="7"/>
      <c r="F12" s="7"/>
    </row>
    <row r="13" spans="1:6">
      <c r="A13" s="7"/>
      <c r="B13" s="8"/>
      <c r="C13" s="7" t="s">
        <v>87</v>
      </c>
      <c r="D13" s="8"/>
      <c r="E13" s="7"/>
      <c r="F13" s="7"/>
    </row>
    <row r="14" spans="1:6">
      <c r="A14" s="7"/>
      <c r="B14" s="8"/>
      <c r="C14" s="7" t="s">
        <v>88</v>
      </c>
      <c r="D14" s="8"/>
      <c r="E14" s="7"/>
      <c r="F14" s="7"/>
    </row>
    <row r="15" ht="27" spans="1:6">
      <c r="A15" s="7"/>
      <c r="B15" s="8"/>
      <c r="C15" s="9" t="s">
        <v>89</v>
      </c>
      <c r="D15" s="8"/>
      <c r="E15" s="7"/>
      <c r="F15" s="7"/>
    </row>
    <row r="16" ht="27" spans="1:12">
      <c r="A16" s="11"/>
      <c r="B16" s="12"/>
      <c r="C16" s="11"/>
      <c r="D16" s="12"/>
      <c r="E16" s="11"/>
      <c r="F16" s="11"/>
      <c r="G16" s="13"/>
      <c r="H16" s="14" t="s">
        <v>90</v>
      </c>
      <c r="I16" s="30">
        <f>SUM(I17:I22)</f>
        <v>22590</v>
      </c>
      <c r="J16" s="2"/>
      <c r="K16" s="12"/>
      <c r="L16" s="2"/>
    </row>
    <row r="17" spans="1:12">
      <c r="A17" s="11"/>
      <c r="B17" s="12"/>
      <c r="C17" s="11"/>
      <c r="D17" s="12"/>
      <c r="E17" s="11"/>
      <c r="F17" s="11"/>
      <c r="G17" s="15"/>
      <c r="H17" s="7" t="s">
        <v>91</v>
      </c>
      <c r="I17" s="8">
        <v>500</v>
      </c>
      <c r="J17" s="2"/>
      <c r="K17" s="12"/>
      <c r="L17" s="2"/>
    </row>
    <row r="18" spans="1:12">
      <c r="A18" s="11"/>
      <c r="B18" s="12"/>
      <c r="C18" s="11"/>
      <c r="D18" s="12"/>
      <c r="E18" s="11"/>
      <c r="F18" s="11"/>
      <c r="G18" s="16"/>
      <c r="H18" s="7" t="s">
        <v>92</v>
      </c>
      <c r="I18" s="8">
        <v>1700</v>
      </c>
      <c r="J18" s="2"/>
      <c r="K18" s="12"/>
      <c r="L18" s="2"/>
    </row>
    <row r="19" spans="1:12">
      <c r="A19" s="11"/>
      <c r="B19" s="12"/>
      <c r="C19" s="11"/>
      <c r="D19" s="12"/>
      <c r="E19" s="11"/>
      <c r="F19" s="11"/>
      <c r="G19" s="16"/>
      <c r="H19" s="7" t="s">
        <v>93</v>
      </c>
      <c r="I19" s="8">
        <v>3890</v>
      </c>
      <c r="J19" s="2"/>
      <c r="K19" s="12"/>
      <c r="L19" s="2"/>
    </row>
    <row r="20" ht="40.5" spans="1:12">
      <c r="A20" s="11"/>
      <c r="B20" s="12"/>
      <c r="C20" s="11"/>
      <c r="D20" s="12"/>
      <c r="E20" s="11"/>
      <c r="F20" s="11"/>
      <c r="G20" s="16"/>
      <c r="H20" s="9" t="s">
        <v>94</v>
      </c>
      <c r="I20" s="8">
        <v>5000</v>
      </c>
      <c r="J20" s="2"/>
      <c r="K20" s="12"/>
      <c r="L20" s="2"/>
    </row>
    <row r="21" ht="27" spans="1:12">
      <c r="A21" s="11"/>
      <c r="B21" s="12"/>
      <c r="C21" s="11"/>
      <c r="D21" s="12"/>
      <c r="E21" s="11"/>
      <c r="F21" s="11"/>
      <c r="G21" s="16"/>
      <c r="H21" s="9" t="s">
        <v>95</v>
      </c>
      <c r="I21" s="8">
        <v>1500</v>
      </c>
      <c r="J21" s="2"/>
      <c r="K21" s="12"/>
      <c r="L21" s="2"/>
    </row>
    <row r="22" spans="1:12">
      <c r="A22" s="11"/>
      <c r="B22" s="12"/>
      <c r="C22" s="11"/>
      <c r="D22" s="12"/>
      <c r="E22" s="11"/>
      <c r="F22" s="11"/>
      <c r="G22" s="17"/>
      <c r="H22" s="7" t="s">
        <v>96</v>
      </c>
      <c r="I22" s="8">
        <v>10000</v>
      </c>
      <c r="J22" s="2"/>
      <c r="K22" s="12"/>
      <c r="L22" s="2"/>
    </row>
    <row r="23" ht="27" spans="7:26">
      <c r="G23" s="13"/>
      <c r="H23" s="13" t="s">
        <v>97</v>
      </c>
      <c r="I23" s="30">
        <f>SUM(I24:I104)</f>
        <v>84323.89</v>
      </c>
      <c r="J23" s="30" t="s">
        <v>98</v>
      </c>
      <c r="K23" s="30">
        <f>I23</f>
        <v>84323.89</v>
      </c>
      <c r="L23" s="30" t="s">
        <v>99</v>
      </c>
      <c r="M23" s="31" t="s">
        <v>68</v>
      </c>
      <c r="N23" s="31" t="s">
        <v>67</v>
      </c>
      <c r="O23" s="31" t="s">
        <v>100</v>
      </c>
      <c r="P23" s="31" t="s">
        <v>101</v>
      </c>
      <c r="Q23" s="31" t="s">
        <v>102</v>
      </c>
      <c r="R23" s="31" t="s">
        <v>103</v>
      </c>
      <c r="T23" s="13"/>
      <c r="U23" s="30">
        <f>SUM(U24:U104)</f>
        <v>4800</v>
      </c>
      <c r="V23" s="30" t="s">
        <v>98</v>
      </c>
      <c r="W23" s="30"/>
      <c r="X23" s="31" t="s">
        <v>68</v>
      </c>
      <c r="Y23" s="31" t="s">
        <v>67</v>
      </c>
      <c r="Z23" s="31" t="s">
        <v>100</v>
      </c>
    </row>
    <row r="24" ht="27" spans="7:26">
      <c r="G24" s="15" t="s">
        <v>104</v>
      </c>
      <c r="H24" s="18" t="s">
        <v>105</v>
      </c>
      <c r="I24" s="32">
        <v>0</v>
      </c>
      <c r="J24" s="32">
        <v>1000</v>
      </c>
      <c r="K24" s="33">
        <f>K60</f>
        <v>84323.89</v>
      </c>
      <c r="L24" s="34">
        <f t="shared" ref="L24:L71" si="0">I24/K24</f>
        <v>0</v>
      </c>
      <c r="M24" s="35">
        <v>43582</v>
      </c>
      <c r="N24" s="36" t="s">
        <v>50</v>
      </c>
      <c r="O24" s="9" t="s">
        <v>106</v>
      </c>
      <c r="P24" s="35"/>
      <c r="Q24" s="35">
        <f ca="1" t="shared" ref="Q24:Q60" si="1">NOW()</f>
        <v>44142.5230439815</v>
      </c>
      <c r="R24" s="64"/>
      <c r="T24" s="18" t="s">
        <v>107</v>
      </c>
      <c r="U24" s="32">
        <v>4800</v>
      </c>
      <c r="V24" s="32"/>
      <c r="W24" s="32">
        <v>4400</v>
      </c>
      <c r="X24" s="35">
        <v>43604</v>
      </c>
      <c r="Y24" s="36" t="s">
        <v>108</v>
      </c>
      <c r="Z24" s="9" t="s">
        <v>109</v>
      </c>
    </row>
    <row r="25" ht="27" spans="7:18">
      <c r="G25" s="16"/>
      <c r="H25" s="18" t="s">
        <v>110</v>
      </c>
      <c r="I25" s="32">
        <v>0</v>
      </c>
      <c r="J25" s="32">
        <v>500</v>
      </c>
      <c r="K25" s="33">
        <f t="shared" ref="K25:K72" si="2">K24</f>
        <v>84323.89</v>
      </c>
      <c r="L25" s="34">
        <f t="shared" si="0"/>
        <v>0</v>
      </c>
      <c r="M25" s="35">
        <v>43582</v>
      </c>
      <c r="N25" s="36" t="s">
        <v>50</v>
      </c>
      <c r="O25" s="9" t="s">
        <v>106</v>
      </c>
      <c r="P25" s="36"/>
      <c r="Q25" s="35">
        <f ca="1" t="shared" si="1"/>
        <v>44142.5230439815</v>
      </c>
      <c r="R25" s="64"/>
    </row>
    <row r="26" ht="27" spans="7:18">
      <c r="G26" s="16"/>
      <c r="H26" s="18" t="s">
        <v>111</v>
      </c>
      <c r="I26" s="32">
        <v>0</v>
      </c>
      <c r="J26" s="32">
        <v>200</v>
      </c>
      <c r="K26" s="33">
        <f t="shared" si="2"/>
        <v>84323.89</v>
      </c>
      <c r="L26" s="34">
        <f t="shared" si="0"/>
        <v>0</v>
      </c>
      <c r="M26" s="35"/>
      <c r="N26" s="35"/>
      <c r="O26" s="7"/>
      <c r="P26" s="35"/>
      <c r="Q26" s="35">
        <f ca="1" t="shared" si="1"/>
        <v>44142.5230439815</v>
      </c>
      <c r="R26" s="64"/>
    </row>
    <row r="27" spans="7:18">
      <c r="G27" s="16"/>
      <c r="H27" s="19" t="s">
        <v>112</v>
      </c>
      <c r="I27" s="37">
        <v>200</v>
      </c>
      <c r="J27" s="37"/>
      <c r="K27" s="38">
        <f t="shared" si="2"/>
        <v>84323.89</v>
      </c>
      <c r="L27" s="39">
        <f t="shared" si="0"/>
        <v>0.00237180708812176</v>
      </c>
      <c r="M27" s="36">
        <v>43597</v>
      </c>
      <c r="N27" s="36" t="s">
        <v>108</v>
      </c>
      <c r="O27" s="9" t="s">
        <v>113</v>
      </c>
      <c r="P27" s="35">
        <v>43597</v>
      </c>
      <c r="Q27" s="35">
        <f ca="1" t="shared" si="1"/>
        <v>44142.5230439815</v>
      </c>
      <c r="R27" s="64"/>
    </row>
    <row r="28" ht="40.5" spans="7:18">
      <c r="G28" s="16"/>
      <c r="H28" s="14" t="s">
        <v>114</v>
      </c>
      <c r="I28" s="40"/>
      <c r="J28" s="40">
        <f>3978-200</f>
        <v>3778</v>
      </c>
      <c r="K28" s="41">
        <f t="shared" si="2"/>
        <v>84323.89</v>
      </c>
      <c r="L28" s="42">
        <f t="shared" si="0"/>
        <v>0</v>
      </c>
      <c r="M28" s="35"/>
      <c r="N28" s="35"/>
      <c r="O28" s="7"/>
      <c r="P28" s="35">
        <v>43612</v>
      </c>
      <c r="Q28" s="35">
        <f ca="1" t="shared" si="1"/>
        <v>44142.5230439815</v>
      </c>
      <c r="R28" s="64">
        <f ca="1">P28-Q28+1</f>
        <v>-529.523043981484</v>
      </c>
    </row>
    <row r="29" spans="7:18">
      <c r="G29" s="16"/>
      <c r="H29" s="14" t="s">
        <v>115</v>
      </c>
      <c r="I29" s="40"/>
      <c r="J29" s="40">
        <v>861</v>
      </c>
      <c r="K29" s="41">
        <f t="shared" si="2"/>
        <v>84323.89</v>
      </c>
      <c r="L29" s="42">
        <f t="shared" si="0"/>
        <v>0</v>
      </c>
      <c r="M29" s="35"/>
      <c r="N29" s="35"/>
      <c r="O29" s="7"/>
      <c r="P29" s="35"/>
      <c r="Q29" s="35"/>
      <c r="R29" s="64"/>
    </row>
    <row r="30" spans="7:18">
      <c r="G30" s="16"/>
      <c r="H30" s="14" t="s">
        <v>116</v>
      </c>
      <c r="I30" s="40"/>
      <c r="J30" s="40">
        <v>500</v>
      </c>
      <c r="K30" s="41">
        <f t="shared" si="2"/>
        <v>84323.89</v>
      </c>
      <c r="L30" s="42">
        <f t="shared" si="0"/>
        <v>0</v>
      </c>
      <c r="M30" s="35"/>
      <c r="N30" s="35"/>
      <c r="O30" s="7"/>
      <c r="P30" s="35"/>
      <c r="Q30" s="35"/>
      <c r="R30" s="64"/>
    </row>
    <row r="31" spans="7:18">
      <c r="G31" s="16"/>
      <c r="H31" s="14" t="s">
        <v>117</v>
      </c>
      <c r="I31" s="40"/>
      <c r="J31" s="40">
        <v>280</v>
      </c>
      <c r="K31" s="41">
        <f t="shared" si="2"/>
        <v>84323.89</v>
      </c>
      <c r="L31" s="42">
        <f t="shared" si="0"/>
        <v>0</v>
      </c>
      <c r="M31" s="35"/>
      <c r="N31" s="35"/>
      <c r="O31" s="7"/>
      <c r="P31" s="35"/>
      <c r="Q31" s="35"/>
      <c r="R31" s="64"/>
    </row>
    <row r="32" spans="7:18">
      <c r="G32" s="16"/>
      <c r="H32" s="14" t="s">
        <v>118</v>
      </c>
      <c r="I32" s="40"/>
      <c r="J32" s="40">
        <v>160</v>
      </c>
      <c r="K32" s="41">
        <f t="shared" si="2"/>
        <v>84323.89</v>
      </c>
      <c r="L32" s="42">
        <f t="shared" si="0"/>
        <v>0</v>
      </c>
      <c r="M32" s="35"/>
      <c r="N32" s="35"/>
      <c r="O32" s="7"/>
      <c r="P32" s="35"/>
      <c r="Q32" s="35"/>
      <c r="R32" s="64"/>
    </row>
    <row r="33" spans="7:18">
      <c r="G33" s="16"/>
      <c r="H33" s="14" t="s">
        <v>119</v>
      </c>
      <c r="I33" s="40"/>
      <c r="J33" s="40">
        <v>100</v>
      </c>
      <c r="K33" s="41">
        <f t="shared" si="2"/>
        <v>84323.89</v>
      </c>
      <c r="L33" s="42">
        <f t="shared" si="0"/>
        <v>0</v>
      </c>
      <c r="M33" s="35"/>
      <c r="N33" s="35"/>
      <c r="O33" s="7"/>
      <c r="P33" s="35"/>
      <c r="Q33" s="35"/>
      <c r="R33" s="64"/>
    </row>
    <row r="34" s="1" customFormat="1" spans="2:18">
      <c r="B34" s="20"/>
      <c r="D34" s="20"/>
      <c r="G34" s="21"/>
      <c r="H34" s="19" t="s">
        <v>120</v>
      </c>
      <c r="I34" s="37">
        <v>4800</v>
      </c>
      <c r="J34" s="37"/>
      <c r="K34" s="38">
        <f t="shared" si="2"/>
        <v>84323.89</v>
      </c>
      <c r="L34" s="39">
        <f t="shared" si="0"/>
        <v>0.0569233701149224</v>
      </c>
      <c r="M34" s="43">
        <v>43601</v>
      </c>
      <c r="N34" s="44" t="s">
        <v>108</v>
      </c>
      <c r="O34" s="45" t="s">
        <v>121</v>
      </c>
      <c r="P34" s="43">
        <v>43610</v>
      </c>
      <c r="Q34" s="35">
        <f ca="1" t="shared" si="1"/>
        <v>44142.5230439815</v>
      </c>
      <c r="R34" s="64">
        <f ca="1">P34-Q34+1</f>
        <v>-531.523043981484</v>
      </c>
    </row>
    <row r="35" s="1" customFormat="1" spans="2:18">
      <c r="B35" s="20"/>
      <c r="D35" s="20"/>
      <c r="G35" s="21"/>
      <c r="H35" s="14" t="s">
        <v>122</v>
      </c>
      <c r="I35" s="40">
        <v>1300</v>
      </c>
      <c r="J35" s="40"/>
      <c r="K35" s="41">
        <f t="shared" si="2"/>
        <v>84323.89</v>
      </c>
      <c r="L35" s="42">
        <f t="shared" si="0"/>
        <v>0.0154167460727915</v>
      </c>
      <c r="M35" s="43"/>
      <c r="N35" s="43"/>
      <c r="O35" s="45"/>
      <c r="P35" s="43"/>
      <c r="Q35" s="43"/>
      <c r="R35" s="65"/>
    </row>
    <row r="36" ht="27" spans="7:18">
      <c r="G36" s="16"/>
      <c r="H36" s="18" t="s">
        <v>123</v>
      </c>
      <c r="I36" s="32">
        <v>0</v>
      </c>
      <c r="J36" s="32">
        <v>9000</v>
      </c>
      <c r="K36" s="33">
        <f t="shared" si="2"/>
        <v>84323.89</v>
      </c>
      <c r="L36" s="34">
        <f t="shared" si="0"/>
        <v>0</v>
      </c>
      <c r="M36" s="35">
        <v>43597</v>
      </c>
      <c r="N36" s="36" t="s">
        <v>124</v>
      </c>
      <c r="O36" s="36" t="s">
        <v>125</v>
      </c>
      <c r="P36" s="35"/>
      <c r="Q36" s="35"/>
      <c r="R36" s="64"/>
    </row>
    <row r="37" ht="27" spans="7:18">
      <c r="G37" s="16"/>
      <c r="H37" s="18" t="s">
        <v>123</v>
      </c>
      <c r="I37" s="32">
        <v>0</v>
      </c>
      <c r="J37" s="32">
        <v>16900</v>
      </c>
      <c r="K37" s="33">
        <f t="shared" si="2"/>
        <v>84323.89</v>
      </c>
      <c r="L37" s="34">
        <f t="shared" si="0"/>
        <v>0</v>
      </c>
      <c r="M37" s="35">
        <v>43597</v>
      </c>
      <c r="N37" s="36" t="s">
        <v>46</v>
      </c>
      <c r="O37" s="36" t="s">
        <v>125</v>
      </c>
      <c r="P37" s="35"/>
      <c r="Q37" s="35"/>
      <c r="R37" s="64"/>
    </row>
    <row r="38" ht="27" spans="7:18">
      <c r="G38" s="16"/>
      <c r="H38" s="9" t="s">
        <v>126</v>
      </c>
      <c r="I38" s="8">
        <v>3680</v>
      </c>
      <c r="J38" s="8"/>
      <c r="K38" s="46">
        <f t="shared" si="2"/>
        <v>84323.89</v>
      </c>
      <c r="L38" s="47">
        <f t="shared" si="0"/>
        <v>0.0436412504214405</v>
      </c>
      <c r="M38" s="35">
        <v>43597</v>
      </c>
      <c r="N38" s="36" t="s">
        <v>46</v>
      </c>
      <c r="O38" s="36" t="s">
        <v>125</v>
      </c>
      <c r="P38" s="35"/>
      <c r="Q38" s="35"/>
      <c r="R38" s="64"/>
    </row>
    <row r="39" spans="7:18">
      <c r="G39" s="16"/>
      <c r="H39" s="9" t="s">
        <v>127</v>
      </c>
      <c r="I39" s="48">
        <v>3289.99</v>
      </c>
      <c r="J39" s="48"/>
      <c r="K39" s="49">
        <f t="shared" si="2"/>
        <v>84323.89</v>
      </c>
      <c r="L39" s="50">
        <f t="shared" si="0"/>
        <v>0.0390161080092486</v>
      </c>
      <c r="M39" s="51">
        <v>43603</v>
      </c>
      <c r="N39" s="36" t="s">
        <v>124</v>
      </c>
      <c r="O39" s="52" t="s">
        <v>128</v>
      </c>
      <c r="P39" s="51"/>
      <c r="Q39" s="51"/>
      <c r="R39" s="66"/>
    </row>
    <row r="40" ht="27" spans="7:18">
      <c r="G40" s="16"/>
      <c r="H40" s="9" t="s">
        <v>129</v>
      </c>
      <c r="I40" s="48">
        <v>10000</v>
      </c>
      <c r="J40" s="48"/>
      <c r="K40" s="49">
        <f t="shared" si="2"/>
        <v>84323.89</v>
      </c>
      <c r="L40" s="50">
        <f t="shared" si="0"/>
        <v>0.118590354406088</v>
      </c>
      <c r="M40" s="51">
        <v>43603</v>
      </c>
      <c r="N40" s="36" t="s">
        <v>124</v>
      </c>
      <c r="O40" s="52" t="s">
        <v>130</v>
      </c>
      <c r="P40" s="51"/>
      <c r="Q40" s="51"/>
      <c r="R40" s="66"/>
    </row>
    <row r="41" ht="27" spans="7:18">
      <c r="G41" s="16"/>
      <c r="H41" s="9" t="s">
        <v>131</v>
      </c>
      <c r="I41" s="48">
        <v>2310</v>
      </c>
      <c r="J41" s="48"/>
      <c r="K41" s="49">
        <f t="shared" si="2"/>
        <v>84323.89</v>
      </c>
      <c r="L41" s="50">
        <f t="shared" si="0"/>
        <v>0.0273943718678064</v>
      </c>
      <c r="M41" s="51">
        <v>43603</v>
      </c>
      <c r="N41" s="36" t="s">
        <v>124</v>
      </c>
      <c r="O41" s="52" t="s">
        <v>130</v>
      </c>
      <c r="P41" s="51"/>
      <c r="Q41" s="51"/>
      <c r="R41" s="66"/>
    </row>
    <row r="42" ht="27" spans="7:18">
      <c r="G42" s="16"/>
      <c r="H42" s="9" t="s">
        <v>132</v>
      </c>
      <c r="I42" s="48">
        <v>2141</v>
      </c>
      <c r="J42" s="48"/>
      <c r="K42" s="49">
        <f t="shared" si="2"/>
        <v>84323.89</v>
      </c>
      <c r="L42" s="50">
        <f t="shared" si="0"/>
        <v>0.0253901948783435</v>
      </c>
      <c r="M42" s="51">
        <v>43603</v>
      </c>
      <c r="N42" s="36" t="s">
        <v>124</v>
      </c>
      <c r="O42" s="52" t="s">
        <v>133</v>
      </c>
      <c r="P42" s="51"/>
      <c r="Q42" s="51"/>
      <c r="R42" s="66"/>
    </row>
    <row r="43" spans="7:18">
      <c r="G43" s="16"/>
      <c r="H43" s="19" t="s">
        <v>134</v>
      </c>
      <c r="I43" s="53">
        <v>12379.9</v>
      </c>
      <c r="J43" s="53"/>
      <c r="K43" s="49">
        <f t="shared" si="2"/>
        <v>84323.89</v>
      </c>
      <c r="L43" s="54">
        <f t="shared" si="0"/>
        <v>0.146813672851193</v>
      </c>
      <c r="M43" s="51">
        <v>43597</v>
      </c>
      <c r="N43" s="52" t="s">
        <v>46</v>
      </c>
      <c r="O43" s="22" t="s">
        <v>135</v>
      </c>
      <c r="P43" s="51">
        <v>43600</v>
      </c>
      <c r="Q43" s="51">
        <f ca="1" t="shared" si="1"/>
        <v>44142.5230439815</v>
      </c>
      <c r="R43" s="66">
        <v>7.12990428241028</v>
      </c>
    </row>
    <row r="44" ht="27" spans="7:18">
      <c r="G44" s="16"/>
      <c r="H44" s="18" t="s">
        <v>136</v>
      </c>
      <c r="I44" s="32">
        <v>-2500</v>
      </c>
      <c r="J44" s="32">
        <v>2500</v>
      </c>
      <c r="K44" s="33">
        <f t="shared" si="2"/>
        <v>84323.89</v>
      </c>
      <c r="L44" s="34">
        <f t="shared" si="0"/>
        <v>-0.0296475886015221</v>
      </c>
      <c r="M44" s="55"/>
      <c r="N44" s="55"/>
      <c r="O44" s="16"/>
      <c r="P44" s="55"/>
      <c r="Q44" s="55"/>
      <c r="R44" s="67"/>
    </row>
    <row r="45" ht="27" spans="7:18">
      <c r="G45" s="16"/>
      <c r="H45" s="18" t="s">
        <v>137</v>
      </c>
      <c r="I45" s="32">
        <v>-3000</v>
      </c>
      <c r="J45" s="32">
        <v>3000</v>
      </c>
      <c r="K45" s="33">
        <f t="shared" si="2"/>
        <v>84323.89</v>
      </c>
      <c r="L45" s="34">
        <f t="shared" si="0"/>
        <v>-0.0355771063218265</v>
      </c>
      <c r="M45" s="55"/>
      <c r="N45" s="55"/>
      <c r="O45" s="16"/>
      <c r="P45" s="55"/>
      <c r="Q45" s="55"/>
      <c r="R45" s="67"/>
    </row>
    <row r="46" spans="7:18">
      <c r="G46" s="16"/>
      <c r="H46" s="19" t="s">
        <v>138</v>
      </c>
      <c r="I46" s="56"/>
      <c r="J46" s="56"/>
      <c r="K46" s="57">
        <f>K44</f>
        <v>84323.89</v>
      </c>
      <c r="L46" s="58">
        <f t="shared" si="0"/>
        <v>0</v>
      </c>
      <c r="M46" s="55"/>
      <c r="N46" s="55"/>
      <c r="O46" s="16"/>
      <c r="P46" s="55"/>
      <c r="Q46" s="55"/>
      <c r="R46" s="67"/>
    </row>
    <row r="47" spans="7:18">
      <c r="G47" s="16"/>
      <c r="H47" s="19" t="s">
        <v>139</v>
      </c>
      <c r="I47" s="56"/>
      <c r="J47" s="56"/>
      <c r="K47" s="57">
        <f t="shared" si="2"/>
        <v>84323.89</v>
      </c>
      <c r="L47" s="58">
        <f t="shared" si="0"/>
        <v>0</v>
      </c>
      <c r="M47" s="59"/>
      <c r="N47" s="59"/>
      <c r="O47" s="17"/>
      <c r="P47" s="59"/>
      <c r="Q47" s="59"/>
      <c r="R47" s="68"/>
    </row>
    <row r="48" spans="7:18">
      <c r="G48" s="16"/>
      <c r="H48" s="19" t="s">
        <v>140</v>
      </c>
      <c r="I48" s="56">
        <v>710</v>
      </c>
      <c r="J48" s="56"/>
      <c r="K48" s="57">
        <f t="shared" si="2"/>
        <v>84323.89</v>
      </c>
      <c r="L48" s="60">
        <f t="shared" si="0"/>
        <v>0.00841991516283227</v>
      </c>
      <c r="M48" s="59">
        <v>43599</v>
      </c>
      <c r="N48" s="36" t="s">
        <v>141</v>
      </c>
      <c r="O48" s="9" t="s">
        <v>142</v>
      </c>
      <c r="P48" s="59"/>
      <c r="Q48" s="59"/>
      <c r="R48" s="68"/>
    </row>
    <row r="49" spans="7:18">
      <c r="G49" s="16"/>
      <c r="H49" s="19" t="s">
        <v>143</v>
      </c>
      <c r="I49" s="37">
        <v>6740</v>
      </c>
      <c r="J49" s="37"/>
      <c r="K49" s="38">
        <f t="shared" si="2"/>
        <v>84323.89</v>
      </c>
      <c r="L49" s="39">
        <f t="shared" si="0"/>
        <v>0.0799298988697035</v>
      </c>
      <c r="M49" s="59"/>
      <c r="N49" s="36"/>
      <c r="O49" s="9"/>
      <c r="P49" s="59"/>
      <c r="Q49" s="59"/>
      <c r="R49" s="68"/>
    </row>
    <row r="50" spans="7:18">
      <c r="G50" s="16"/>
      <c r="H50" s="19" t="s">
        <v>144</v>
      </c>
      <c r="I50" s="37"/>
      <c r="J50" s="37"/>
      <c r="K50" s="38">
        <f t="shared" si="2"/>
        <v>84323.89</v>
      </c>
      <c r="L50" s="39">
        <f t="shared" si="0"/>
        <v>0</v>
      </c>
      <c r="M50" s="59"/>
      <c r="N50" s="36"/>
      <c r="O50" s="9"/>
      <c r="P50" s="59"/>
      <c r="Q50" s="59"/>
      <c r="R50" s="68"/>
    </row>
    <row r="51" spans="7:18">
      <c r="G51" s="16"/>
      <c r="H51" s="19" t="s">
        <v>145</v>
      </c>
      <c r="I51" s="37">
        <v>-1000</v>
      </c>
      <c r="J51" s="37">
        <v>1000</v>
      </c>
      <c r="K51" s="38">
        <f t="shared" si="2"/>
        <v>84323.89</v>
      </c>
      <c r="L51" s="39">
        <f t="shared" si="0"/>
        <v>-0.0118590354406088</v>
      </c>
      <c r="M51" s="59"/>
      <c r="N51" s="36"/>
      <c r="O51" s="9"/>
      <c r="P51" s="59"/>
      <c r="Q51" s="59"/>
      <c r="R51" s="68"/>
    </row>
    <row r="52" spans="7:18">
      <c r="G52" s="16"/>
      <c r="H52" s="19" t="s">
        <v>146</v>
      </c>
      <c r="I52" s="37">
        <v>1200</v>
      </c>
      <c r="J52" s="37"/>
      <c r="K52" s="38">
        <f>K50</f>
        <v>84323.89</v>
      </c>
      <c r="L52" s="39">
        <f t="shared" si="0"/>
        <v>0.0142308425287306</v>
      </c>
      <c r="M52" s="59"/>
      <c r="N52" s="36"/>
      <c r="O52" s="9"/>
      <c r="P52" s="59"/>
      <c r="Q52" s="59"/>
      <c r="R52" s="68"/>
    </row>
    <row r="53" spans="7:18">
      <c r="G53" s="16"/>
      <c r="H53" s="19" t="s">
        <v>147</v>
      </c>
      <c r="I53" s="37">
        <v>199</v>
      </c>
      <c r="J53" s="37"/>
      <c r="K53" s="38">
        <f>K49</f>
        <v>84323.89</v>
      </c>
      <c r="L53" s="39">
        <f t="shared" si="0"/>
        <v>0.00235994805268116</v>
      </c>
      <c r="M53" s="59"/>
      <c r="N53" s="35" t="s">
        <v>148</v>
      </c>
      <c r="O53" s="9"/>
      <c r="P53" s="59"/>
      <c r="Q53" s="59"/>
      <c r="R53" s="68"/>
    </row>
    <row r="54" spans="7:18">
      <c r="G54" s="22" t="s">
        <v>149</v>
      </c>
      <c r="H54" s="9" t="s">
        <v>150</v>
      </c>
      <c r="I54" s="8">
        <v>2000</v>
      </c>
      <c r="J54" s="8"/>
      <c r="K54" s="46">
        <f>K65</f>
        <v>84323.89</v>
      </c>
      <c r="L54" s="47">
        <f t="shared" ref="L54:L65" si="3">I54/K54</f>
        <v>0.0237180708812176</v>
      </c>
      <c r="M54" s="35">
        <v>43595</v>
      </c>
      <c r="N54" s="36" t="s">
        <v>108</v>
      </c>
      <c r="O54" s="9" t="s">
        <v>151</v>
      </c>
      <c r="P54" s="35"/>
      <c r="Q54" s="35"/>
      <c r="R54" s="64"/>
    </row>
    <row r="55" spans="7:18">
      <c r="G55" s="23"/>
      <c r="H55" s="19" t="s">
        <v>149</v>
      </c>
      <c r="I55" s="37">
        <v>2950</v>
      </c>
      <c r="J55" s="37"/>
      <c r="K55" s="38">
        <f t="shared" ref="K55:K60" si="4">K54</f>
        <v>84323.89</v>
      </c>
      <c r="L55" s="39">
        <f t="shared" si="3"/>
        <v>0.034984154549796</v>
      </c>
      <c r="M55" s="35">
        <v>43616</v>
      </c>
      <c r="N55" s="36" t="s">
        <v>108</v>
      </c>
      <c r="O55" s="9" t="s">
        <v>151</v>
      </c>
      <c r="P55" s="35">
        <v>43616</v>
      </c>
      <c r="Q55" s="35"/>
      <c r="R55" s="64"/>
    </row>
    <row r="56" spans="7:18">
      <c r="G56" s="15" t="s">
        <v>152</v>
      </c>
      <c r="H56" s="24" t="s">
        <v>153</v>
      </c>
      <c r="I56" s="8">
        <v>200</v>
      </c>
      <c r="J56" s="8"/>
      <c r="K56" s="46">
        <f t="shared" si="4"/>
        <v>84323.89</v>
      </c>
      <c r="L56" s="47">
        <f t="shared" si="3"/>
        <v>0.00237180708812176</v>
      </c>
      <c r="M56" s="35">
        <v>43586</v>
      </c>
      <c r="N56" s="36" t="s">
        <v>108</v>
      </c>
      <c r="O56" s="9" t="s">
        <v>154</v>
      </c>
      <c r="P56" s="35"/>
      <c r="Q56" s="35"/>
      <c r="R56" s="64"/>
    </row>
    <row r="57" ht="27" spans="7:18">
      <c r="G57" s="16"/>
      <c r="H57" s="24" t="s">
        <v>155</v>
      </c>
      <c r="I57" s="8">
        <v>1000</v>
      </c>
      <c r="J57" s="8"/>
      <c r="K57" s="46">
        <f t="shared" si="4"/>
        <v>84323.89</v>
      </c>
      <c r="L57" s="47">
        <f t="shared" si="3"/>
        <v>0.0118590354406088</v>
      </c>
      <c r="M57" s="35">
        <v>43587</v>
      </c>
      <c r="N57" s="36" t="s">
        <v>108</v>
      </c>
      <c r="O57" s="9" t="s">
        <v>156</v>
      </c>
      <c r="P57" s="35"/>
      <c r="Q57" s="35"/>
      <c r="R57" s="64"/>
    </row>
    <row r="58" spans="7:18">
      <c r="G58" s="16"/>
      <c r="H58" s="25" t="s">
        <v>157</v>
      </c>
      <c r="I58" s="61">
        <v>300</v>
      </c>
      <c r="J58" s="61"/>
      <c r="K58" s="62">
        <f t="shared" si="4"/>
        <v>84323.89</v>
      </c>
      <c r="L58" s="63">
        <f t="shared" si="3"/>
        <v>0.00355771063218265</v>
      </c>
      <c r="M58" s="35">
        <v>43601</v>
      </c>
      <c r="N58" s="36" t="s">
        <v>141</v>
      </c>
      <c r="O58" s="9" t="s">
        <v>142</v>
      </c>
      <c r="P58" s="35"/>
      <c r="Q58" s="35"/>
      <c r="R58" s="64"/>
    </row>
    <row r="59" ht="27" spans="7:18">
      <c r="G59" s="16"/>
      <c r="H59" s="26" t="s">
        <v>158</v>
      </c>
      <c r="I59" s="8">
        <v>1960</v>
      </c>
      <c r="J59" s="8"/>
      <c r="K59" s="46">
        <f t="shared" si="4"/>
        <v>84323.89</v>
      </c>
      <c r="L59" s="47">
        <f t="shared" si="3"/>
        <v>0.0232437094635933</v>
      </c>
      <c r="M59" s="35">
        <v>43594</v>
      </c>
      <c r="N59" s="36" t="s">
        <v>141</v>
      </c>
      <c r="O59" s="9" t="s">
        <v>142</v>
      </c>
      <c r="P59" s="35"/>
      <c r="Q59" s="35"/>
      <c r="R59" s="64"/>
    </row>
    <row r="60" ht="27" spans="7:18">
      <c r="G60" s="16"/>
      <c r="H60" s="27" t="s">
        <v>159</v>
      </c>
      <c r="I60" s="40">
        <v>2000</v>
      </c>
      <c r="J60" s="40"/>
      <c r="K60" s="41">
        <f t="shared" si="4"/>
        <v>84323.89</v>
      </c>
      <c r="L60" s="42">
        <f t="shared" si="3"/>
        <v>0.0237180708812176</v>
      </c>
      <c r="M60" s="35"/>
      <c r="N60" s="35"/>
      <c r="O60" s="7"/>
      <c r="P60" s="35">
        <v>43609</v>
      </c>
      <c r="Q60" s="35">
        <f ca="1" t="shared" si="1"/>
        <v>44142.5230439815</v>
      </c>
      <c r="R60" s="64">
        <f ca="1">P60-Q60+1</f>
        <v>-532.523043981484</v>
      </c>
    </row>
    <row r="61" spans="7:18">
      <c r="G61" s="22" t="s">
        <v>160</v>
      </c>
      <c r="H61" s="24" t="s">
        <v>161</v>
      </c>
      <c r="I61" s="8">
        <v>2000</v>
      </c>
      <c r="J61" s="8"/>
      <c r="K61" s="46">
        <f>K76</f>
        <v>84323.89</v>
      </c>
      <c r="L61" s="47">
        <f t="shared" si="3"/>
        <v>0.0237180708812176</v>
      </c>
      <c r="M61" s="35">
        <v>43582</v>
      </c>
      <c r="N61" s="36" t="s">
        <v>50</v>
      </c>
      <c r="O61" s="9" t="s">
        <v>162</v>
      </c>
      <c r="P61" s="35"/>
      <c r="Q61" s="35"/>
      <c r="R61" s="64"/>
    </row>
    <row r="62" spans="7:18">
      <c r="G62" s="16"/>
      <c r="H62" s="24" t="s">
        <v>163</v>
      </c>
      <c r="I62" s="8">
        <v>10036</v>
      </c>
      <c r="J62" s="8"/>
      <c r="K62" s="46">
        <f>K61</f>
        <v>84323.89</v>
      </c>
      <c r="L62" s="47">
        <f t="shared" si="3"/>
        <v>0.11901727968195</v>
      </c>
      <c r="M62" s="35">
        <v>43593</v>
      </c>
      <c r="N62" s="36" t="s">
        <v>50</v>
      </c>
      <c r="O62" s="9" t="s">
        <v>162</v>
      </c>
      <c r="P62" s="35"/>
      <c r="Q62" s="35"/>
      <c r="R62" s="64"/>
    </row>
    <row r="63" spans="7:18">
      <c r="G63" s="28"/>
      <c r="H63" s="29" t="s">
        <v>164</v>
      </c>
      <c r="I63" s="37">
        <v>900</v>
      </c>
      <c r="J63" s="37"/>
      <c r="K63" s="38">
        <f>K62</f>
        <v>84323.89</v>
      </c>
      <c r="L63" s="39">
        <f t="shared" si="3"/>
        <v>0.0106731318965479</v>
      </c>
      <c r="M63" s="35">
        <v>43584</v>
      </c>
      <c r="N63" s="36" t="s">
        <v>141</v>
      </c>
      <c r="O63" s="9" t="s">
        <v>142</v>
      </c>
      <c r="P63" s="35"/>
      <c r="Q63" s="35"/>
      <c r="R63" s="64"/>
    </row>
    <row r="64" spans="7:18">
      <c r="G64" s="28"/>
      <c r="H64" s="29" t="s">
        <v>165</v>
      </c>
      <c r="I64" s="37">
        <v>700</v>
      </c>
      <c r="J64" s="37"/>
      <c r="K64" s="38">
        <f>K63</f>
        <v>84323.89</v>
      </c>
      <c r="L64" s="39">
        <f t="shared" si="3"/>
        <v>0.00830132480842618</v>
      </c>
      <c r="M64" s="35">
        <v>43594</v>
      </c>
      <c r="N64" s="36" t="s">
        <v>141</v>
      </c>
      <c r="O64" s="9" t="s">
        <v>142</v>
      </c>
      <c r="P64" s="35"/>
      <c r="Q64" s="35"/>
      <c r="R64" s="64"/>
    </row>
    <row r="65" spans="7:18">
      <c r="G65" s="17"/>
      <c r="H65" s="29" t="s">
        <v>166</v>
      </c>
      <c r="I65" s="37">
        <v>200</v>
      </c>
      <c r="J65" s="37"/>
      <c r="K65" s="38">
        <f>K64</f>
        <v>84323.89</v>
      </c>
      <c r="L65" s="39">
        <f t="shared" si="3"/>
        <v>0.00237180708812176</v>
      </c>
      <c r="M65" s="35"/>
      <c r="N65" s="36" t="s">
        <v>141</v>
      </c>
      <c r="O65" s="7"/>
      <c r="P65" s="35">
        <v>43610</v>
      </c>
      <c r="Q65" s="35"/>
      <c r="R65" s="64"/>
    </row>
    <row r="66" spans="7:18">
      <c r="G66" s="22" t="s">
        <v>167</v>
      </c>
      <c r="H66" s="36" t="s">
        <v>168</v>
      </c>
      <c r="I66" s="8">
        <v>500</v>
      </c>
      <c r="J66" s="8"/>
      <c r="K66" s="46">
        <f>K53</f>
        <v>84323.89</v>
      </c>
      <c r="L66" s="47">
        <f t="shared" si="0"/>
        <v>0.00592951772030441</v>
      </c>
      <c r="M66" s="35">
        <v>43600</v>
      </c>
      <c r="N66" s="36" t="s">
        <v>141</v>
      </c>
      <c r="O66" s="9" t="s">
        <v>142</v>
      </c>
      <c r="P66" s="35"/>
      <c r="Q66" s="35"/>
      <c r="R66" s="64"/>
    </row>
    <row r="67" spans="7:18">
      <c r="G67" s="28"/>
      <c r="H67" s="36" t="s">
        <v>169</v>
      </c>
      <c r="I67" s="8">
        <v>600</v>
      </c>
      <c r="J67" s="8"/>
      <c r="K67" s="46">
        <f t="shared" si="2"/>
        <v>84323.89</v>
      </c>
      <c r="L67" s="47">
        <f t="shared" si="0"/>
        <v>0.00711542126436529</v>
      </c>
      <c r="M67" s="35">
        <v>43602</v>
      </c>
      <c r="N67" s="36" t="s">
        <v>141</v>
      </c>
      <c r="O67" s="9" t="s">
        <v>142</v>
      </c>
      <c r="P67" s="35"/>
      <c r="Q67" s="35"/>
      <c r="R67" s="64"/>
    </row>
    <row r="68" spans="7:18">
      <c r="G68" s="28"/>
      <c r="H68" s="35" t="s">
        <v>170</v>
      </c>
      <c r="I68" s="8">
        <v>2100</v>
      </c>
      <c r="J68" s="8"/>
      <c r="K68" s="46">
        <f t="shared" si="2"/>
        <v>84323.89</v>
      </c>
      <c r="L68" s="47">
        <f t="shared" si="0"/>
        <v>0.0249039744252785</v>
      </c>
      <c r="M68" s="35">
        <v>43601</v>
      </c>
      <c r="N68" s="36" t="s">
        <v>141</v>
      </c>
      <c r="O68" s="9" t="s">
        <v>142</v>
      </c>
      <c r="P68" s="35"/>
      <c r="Q68" s="35"/>
      <c r="R68" s="64"/>
    </row>
    <row r="69" ht="27" spans="7:18">
      <c r="G69" s="28"/>
      <c r="H69" s="19" t="s">
        <v>171</v>
      </c>
      <c r="I69" s="37">
        <v>2000</v>
      </c>
      <c r="J69" s="37"/>
      <c r="K69" s="38">
        <f t="shared" si="2"/>
        <v>84323.89</v>
      </c>
      <c r="L69" s="39">
        <f t="shared" si="0"/>
        <v>0.0237180708812176</v>
      </c>
      <c r="M69" s="35">
        <v>43606</v>
      </c>
      <c r="N69" s="35" t="s">
        <v>172</v>
      </c>
      <c r="O69" s="7" t="s">
        <v>173</v>
      </c>
      <c r="P69" s="35">
        <v>43606</v>
      </c>
      <c r="Q69" s="35"/>
      <c r="R69" s="64"/>
    </row>
    <row r="70" spans="7:18">
      <c r="G70" s="28"/>
      <c r="H70" s="19" t="s">
        <v>174</v>
      </c>
      <c r="I70" s="37">
        <v>4610</v>
      </c>
      <c r="J70" s="37"/>
      <c r="K70" s="38">
        <f t="shared" si="2"/>
        <v>84323.89</v>
      </c>
      <c r="L70" s="39">
        <f t="shared" si="0"/>
        <v>0.0546701533812067</v>
      </c>
      <c r="M70" s="35"/>
      <c r="N70" s="35" t="s">
        <v>172</v>
      </c>
      <c r="O70" s="7" t="s">
        <v>175</v>
      </c>
      <c r="P70" s="35"/>
      <c r="Q70" s="35"/>
      <c r="R70" s="64"/>
    </row>
    <row r="71" spans="7:18">
      <c r="G71" s="28"/>
      <c r="H71" s="19" t="s">
        <v>176</v>
      </c>
      <c r="I71" s="37">
        <v>2348</v>
      </c>
      <c r="J71" s="37"/>
      <c r="K71" s="38">
        <f t="shared" si="2"/>
        <v>84323.89</v>
      </c>
      <c r="L71" s="39">
        <f t="shared" si="0"/>
        <v>0.0278450152145495</v>
      </c>
      <c r="M71" s="35"/>
      <c r="N71" s="35" t="s">
        <v>172</v>
      </c>
      <c r="O71" s="7" t="s">
        <v>175</v>
      </c>
      <c r="P71" s="35"/>
      <c r="Q71" s="35"/>
      <c r="R71" s="64"/>
    </row>
    <row r="72" spans="7:18">
      <c r="G72" s="28"/>
      <c r="H72" s="29" t="s">
        <v>177</v>
      </c>
      <c r="I72" s="37">
        <v>3590</v>
      </c>
      <c r="J72" s="37"/>
      <c r="K72" s="38">
        <f t="shared" si="2"/>
        <v>84323.89</v>
      </c>
      <c r="L72" s="39">
        <f t="shared" ref="L72:L77" si="5">I72/K72</f>
        <v>0.0425739372317857</v>
      </c>
      <c r="M72" s="35"/>
      <c r="N72" s="35" t="s">
        <v>172</v>
      </c>
      <c r="O72" s="7" t="s">
        <v>175</v>
      </c>
      <c r="P72" s="35"/>
      <c r="Q72" s="35"/>
      <c r="R72" s="64"/>
    </row>
    <row r="73" spans="7:18">
      <c r="G73" s="22" t="s">
        <v>178</v>
      </c>
      <c r="H73" s="26" t="s">
        <v>179</v>
      </c>
      <c r="I73" s="8">
        <v>100</v>
      </c>
      <c r="J73" s="8"/>
      <c r="K73" s="46">
        <f>K23</f>
        <v>84323.89</v>
      </c>
      <c r="L73" s="47">
        <f t="shared" si="5"/>
        <v>0.00118590354406088</v>
      </c>
      <c r="M73" s="35">
        <v>43586</v>
      </c>
      <c r="N73" s="36" t="s">
        <v>108</v>
      </c>
      <c r="O73" s="9" t="s">
        <v>180</v>
      </c>
      <c r="P73" s="35"/>
      <c r="Q73" s="35"/>
      <c r="R73" s="64"/>
    </row>
    <row r="74" spans="7:18">
      <c r="G74" s="28"/>
      <c r="H74" s="24" t="s">
        <v>181</v>
      </c>
      <c r="I74" s="8">
        <v>360</v>
      </c>
      <c r="J74" s="8"/>
      <c r="K74" s="46">
        <f>K73</f>
        <v>84323.89</v>
      </c>
      <c r="L74" s="47">
        <f t="shared" si="5"/>
        <v>0.00426925275861918</v>
      </c>
      <c r="M74" s="35">
        <v>43593</v>
      </c>
      <c r="N74" s="36" t="s">
        <v>141</v>
      </c>
      <c r="O74" s="9" t="s">
        <v>142</v>
      </c>
      <c r="P74" s="35"/>
      <c r="Q74" s="35"/>
      <c r="R74" s="64"/>
    </row>
    <row r="75" spans="7:18">
      <c r="G75" s="28"/>
      <c r="H75" s="26" t="s">
        <v>182</v>
      </c>
      <c r="I75" s="8">
        <v>700</v>
      </c>
      <c r="J75" s="8"/>
      <c r="K75" s="46">
        <f>K74</f>
        <v>84323.89</v>
      </c>
      <c r="L75" s="47">
        <f t="shared" si="5"/>
        <v>0.00830132480842618</v>
      </c>
      <c r="M75" s="35">
        <v>43594</v>
      </c>
      <c r="N75" s="36" t="s">
        <v>141</v>
      </c>
      <c r="O75" s="9" t="s">
        <v>142</v>
      </c>
      <c r="P75" s="35"/>
      <c r="Q75" s="35"/>
      <c r="R75" s="64"/>
    </row>
    <row r="76" spans="7:18">
      <c r="G76" s="28"/>
      <c r="H76" s="69" t="s">
        <v>183</v>
      </c>
      <c r="I76" s="37">
        <v>600</v>
      </c>
      <c r="J76" s="37"/>
      <c r="K76" s="38">
        <f>K75</f>
        <v>84323.89</v>
      </c>
      <c r="L76" s="39">
        <f t="shared" si="5"/>
        <v>0.00711542126436529</v>
      </c>
      <c r="M76" s="35">
        <v>43613</v>
      </c>
      <c r="N76" s="36" t="s">
        <v>141</v>
      </c>
      <c r="O76" s="9" t="s">
        <v>142</v>
      </c>
      <c r="P76" s="35">
        <v>43604</v>
      </c>
      <c r="Q76" s="35"/>
      <c r="R76" s="64"/>
    </row>
    <row r="77" spans="7:18">
      <c r="G77" s="23"/>
      <c r="H77" s="69" t="s">
        <v>184</v>
      </c>
      <c r="I77" s="37">
        <v>120</v>
      </c>
      <c r="J77" s="37"/>
      <c r="K77" s="38">
        <f>K76</f>
        <v>84323.89</v>
      </c>
      <c r="L77" s="39">
        <f t="shared" si="5"/>
        <v>0.00142308425287306</v>
      </c>
      <c r="M77" s="35"/>
      <c r="N77" s="35" t="s">
        <v>148</v>
      </c>
      <c r="O77" s="7"/>
      <c r="P77" s="35"/>
      <c r="Q77" s="35"/>
      <c r="R77" s="64"/>
    </row>
  </sheetData>
  <mergeCells count="6">
    <mergeCell ref="M43:M47"/>
    <mergeCell ref="N43:N47"/>
    <mergeCell ref="O43:O47"/>
    <mergeCell ref="P43:P47"/>
    <mergeCell ref="Q43:Q47"/>
    <mergeCell ref="R43:R47"/>
  </mergeCells>
  <conditionalFormatting sqref="R24:R77">
    <cfRule type="colorScale" priority="12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My</vt:lpstr>
      <vt:lpstr>My2</vt:lpstr>
      <vt:lpstr>My2018</vt:lpstr>
      <vt:lpstr>My2019_gp</vt:lpstr>
      <vt:lpstr>My2019</vt:lpstr>
      <vt:lpstr>My2019B</vt:lpstr>
      <vt:lpstr>流星花园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雨</cp:lastModifiedBy>
  <dcterms:created xsi:type="dcterms:W3CDTF">2017-06-18T10:40:00Z</dcterms:created>
  <dcterms:modified xsi:type="dcterms:W3CDTF">2020-11-07T04:33:32Z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