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gilliland\Downloads\"/>
    </mc:Choice>
  </mc:AlternateContent>
  <xr:revisionPtr revIDLastSave="0" documentId="13_ncr:1_{569F02FE-81D8-439F-8047-114CDB4B0A17}" xr6:coauthVersionLast="46" xr6:coauthVersionMax="46" xr10:uidLastSave="{00000000-0000-0000-0000-000000000000}"/>
  <bookViews>
    <workbookView xWindow="3300" yWindow="165" windowWidth="20400" windowHeight="14970" tabRatio="500" activeTab="2" xr2:uid="{00000000-000D-0000-FFFF-FFFF00000000}"/>
  </bookViews>
  <sheets>
    <sheet name="DC" sheetId="1" r:id="rId1"/>
    <sheet name="AC" sheetId="2" r:id="rId2"/>
    <sheet name="XFMR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11" i="2" l="1"/>
  <c r="B39" i="3"/>
  <c r="B40" i="3" s="1"/>
  <c r="B35" i="3"/>
  <c r="B36" i="3" s="1"/>
  <c r="B5" i="3"/>
  <c r="B9" i="3" s="1"/>
  <c r="B12" i="3" s="1"/>
  <c r="B13" i="3" s="1"/>
  <c r="B21" i="2"/>
  <c r="B15" i="2"/>
  <c r="B9" i="2"/>
  <c r="B10" i="2" s="1"/>
  <c r="B5" i="2"/>
  <c r="B12" i="1"/>
  <c r="B13" i="1" s="1"/>
  <c r="B14" i="1" s="1"/>
  <c r="B9" i="1"/>
  <c r="B26" i="1" s="1"/>
  <c r="B6" i="1"/>
  <c r="B17" i="1" l="1"/>
  <c r="B18" i="1" s="1"/>
  <c r="B37" i="3"/>
  <c r="B38" i="3" s="1"/>
  <c r="B44" i="3"/>
  <c r="B45" i="3"/>
  <c r="B46" i="3"/>
  <c r="B16" i="2"/>
  <c r="B22" i="2" s="1"/>
  <c r="B23" i="2" s="1"/>
  <c r="B20" i="1"/>
  <c r="B25" i="1"/>
  <c r="B27" i="1" s="1"/>
  <c r="B24" i="1"/>
  <c r="B19" i="1"/>
  <c r="B15" i="3" l="1"/>
  <c r="B16" i="3" s="1"/>
  <c r="B17" i="3" s="1"/>
  <c r="B28" i="1"/>
  <c r="B27" i="3" l="1"/>
  <c r="C27" i="3" s="1"/>
  <c r="D27" i="3" s="1"/>
  <c r="E27" i="3" s="1"/>
  <c r="B22" i="3"/>
  <c r="C22" i="3" s="1"/>
  <c r="D22" i="3" s="1"/>
  <c r="E22" i="3" s="1"/>
  <c r="B26" i="3"/>
  <c r="C26" i="3" s="1"/>
  <c r="D26" i="3" s="1"/>
  <c r="E26" i="3" s="1"/>
  <c r="B25" i="3"/>
  <c r="C25" i="3" s="1"/>
  <c r="D25" i="3" s="1"/>
  <c r="E25" i="3" s="1"/>
  <c r="B28" i="3"/>
  <c r="C28" i="3" s="1"/>
  <c r="D28" i="3" s="1"/>
  <c r="E28" i="3" s="1"/>
  <c r="B23" i="3"/>
  <c r="C23" i="3" s="1"/>
  <c r="D23" i="3" s="1"/>
  <c r="E23" i="3" s="1"/>
  <c r="B24" i="3"/>
  <c r="C24" i="3" s="1"/>
  <c r="D24" i="3" s="1"/>
  <c r="E24" i="3" s="1"/>
</calcChain>
</file>

<file path=xl/sharedStrings.xml><?xml version="1.0" encoding="utf-8"?>
<sst xmlns="http://schemas.openxmlformats.org/spreadsheetml/2006/main" count="156" uniqueCount="111">
  <si>
    <t>Transistor</t>
  </si>
  <si>
    <t>2N3904</t>
  </si>
  <si>
    <t>Vcc</t>
  </si>
  <si>
    <t>V</t>
  </si>
  <si>
    <t>mA</t>
  </si>
  <si>
    <t>Power resistor</t>
  </si>
  <si>
    <t>Drop across power resistor</t>
  </si>
  <si>
    <t>ignore</t>
  </si>
  <si>
    <t>Hfe (min) @ operating current</t>
  </si>
  <si>
    <t>Hfe (max) @ operating current</t>
  </si>
  <si>
    <t>Hfe</t>
  </si>
  <si>
    <t>Emitter resistor R3</t>
  </si>
  <si>
    <t>10% of Vcc across Re</t>
  </si>
  <si>
    <t>Re (R3)</t>
  </si>
  <si>
    <t>Base-ground resistor R2</t>
  </si>
  <si>
    <t>Ve</t>
  </si>
  <si>
    <t>Vbe</t>
  </si>
  <si>
    <t>I base – ground</t>
  </si>
  <si>
    <t>Rb</t>
  </si>
  <si>
    <t>Use (R2)</t>
  </si>
  <si>
    <t>Base-Vcc resistor R1</t>
  </si>
  <si>
    <t>V base – Vcc</t>
  </si>
  <si>
    <t>I base-ground</t>
  </si>
  <si>
    <t>I base-emitter</t>
  </si>
  <si>
    <t>I resistor base – Vcc</t>
  </si>
  <si>
    <t>R base – Vcc</t>
  </si>
  <si>
    <t>Use (R1)</t>
  </si>
  <si>
    <t>Xc (emitter-gnd cap)</t>
  </si>
  <si>
    <t>F</t>
  </si>
  <si>
    <t>MHz</t>
  </si>
  <si>
    <t>C</t>
  </si>
  <si>
    <t>Xc</t>
  </si>
  <si>
    <t>Beta AC (Hfe AC)</t>
  </si>
  <si>
    <t>GBW (Ft)</t>
  </si>
  <si>
    <t>Operating freq</t>
  </si>
  <si>
    <t>Re</t>
  </si>
  <si>
    <t>SSDRA constant p 20</t>
  </si>
  <si>
    <t>Ic DC</t>
  </si>
  <si>
    <t>re</t>
  </si>
  <si>
    <t>Input Impedance</t>
  </si>
  <si>
    <t>R1</t>
  </si>
  <si>
    <t>R2</t>
  </si>
  <si>
    <t>zout/zin</t>
  </si>
  <si>
    <t>ohms/ohms</t>
  </si>
  <si>
    <t>turns ratio</t>
  </si>
  <si>
    <t>sqrt(Zout.Zin)</t>
  </si>
  <si>
    <t>Input XFMR Inductance</t>
  </si>
  <si>
    <t>4-5X load (min)</t>
  </si>
  <si>
    <t>minimum impedance</t>
  </si>
  <si>
    <t>Turns (min)</t>
  </si>
  <si>
    <t>http://toroids.info/FT37-43.php</t>
  </si>
  <si>
    <t>round up turns</t>
  </si>
  <si>
    <t>minimum integer turns</t>
  </si>
  <si>
    <t xml:space="preserve"> </t>
  </si>
  <si>
    <t>Turns Ratios</t>
  </si>
  <si>
    <t>Try to match ratio</t>
  </si>
  <si>
    <t>turns primary</t>
  </si>
  <si>
    <r>
      <rPr>
        <sz val="10"/>
        <rFont val="Arial"/>
        <family val="2"/>
      </rPr>
      <t>Exact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turns</t>
    </r>
  </si>
  <si>
    <r>
      <rPr>
        <sz val="10"/>
        <rFont val="Arial"/>
        <family val="2"/>
      </rPr>
      <t>Closest 2</t>
    </r>
    <r>
      <rPr>
        <vertAlign val="superscript"/>
        <sz val="10"/>
        <rFont val="Arial"/>
        <family val="2"/>
      </rPr>
      <t>nd</t>
    </r>
  </si>
  <si>
    <t>Exact ratio</t>
  </si>
  <si>
    <t>Error (%)</t>
  </si>
  <si>
    <t>Use 7:9 ratio</t>
  </si>
  <si>
    <t>Output XFMR Inductance</t>
  </si>
  <si>
    <t>Set to reflect the load back to the collector-Vcc</t>
  </si>
  <si>
    <t>Turns=sqrt(uH*1000/AL)</t>
  </si>
  <si>
    <t>Xl=2*pi*F*L</t>
  </si>
  <si>
    <t>L=Xl/2*pi*f</t>
  </si>
  <si>
    <t>turns</t>
  </si>
  <si>
    <t>constant</t>
  </si>
  <si>
    <t>XL(min)</t>
  </si>
  <si>
    <t>More turns = more cap = lower BW</t>
  </si>
  <si>
    <t>Hz</t>
  </si>
  <si>
    <t>L(min)</t>
  </si>
  <si>
    <t>turn</t>
  </si>
  <si>
    <t>Impedance Ratio</t>
  </si>
  <si>
    <t>Turns Ratio</t>
  </si>
  <si>
    <t>turns secondary</t>
  </si>
  <si>
    <t>turns/turns</t>
  </si>
  <si>
    <t>Output at SMA</t>
  </si>
  <si>
    <t>XL (Load)</t>
  </si>
  <si>
    <t>Zout</t>
  </si>
  <si>
    <t>Input impedance</t>
  </si>
  <si>
    <t>µH</t>
  </si>
  <si>
    <t>R1 parallel R2</t>
  </si>
  <si>
    <t>Ignore R3 for AC gain</t>
  </si>
  <si>
    <t>Hfe (AC gain at 9 MHz)</t>
  </si>
  <si>
    <t>Ω</t>
  </si>
  <si>
    <r>
      <rPr>
        <sz val="10"/>
        <rFont val="Calibri"/>
        <family val="2"/>
      </rPr>
      <t>µ</t>
    </r>
    <r>
      <rPr>
        <sz val="10"/>
        <rFont val="Arial"/>
        <family val="2"/>
      </rPr>
      <t>F</t>
    </r>
  </si>
  <si>
    <t>Ω/Ω</t>
  </si>
  <si>
    <t>Impedance ratio</t>
  </si>
  <si>
    <t>Turns/turns</t>
  </si>
  <si>
    <t>Zin (at SMA)</t>
  </si>
  <si>
    <t>IF Design Frequency</t>
  </si>
  <si>
    <t>Turns</t>
  </si>
  <si>
    <r>
      <t>A</t>
    </r>
    <r>
      <rPr>
        <vertAlign val="subscript"/>
        <sz val="10"/>
        <rFont val="Arial"/>
        <family val="2"/>
      </rPr>
      <t>L</t>
    </r>
  </si>
  <si>
    <t>rule of thumb use 4-5x smallest winding impedance https://qsl.net/wa3mej/Articles/Transformer%20&amp;%20Baluns/0071455639_ar004.pdf</t>
  </si>
  <si>
    <t>Calculate Input Impedance</t>
  </si>
  <si>
    <t>Voltage Gain</t>
  </si>
  <si>
    <t>Gain (dB)</t>
  </si>
  <si>
    <t>theoretical gain</t>
  </si>
  <si>
    <t>dB</t>
  </si>
  <si>
    <t>KΩ</t>
  </si>
  <si>
    <t>Beta DC gain</t>
  </si>
  <si>
    <t>Operating current (nominal)</t>
  </si>
  <si>
    <t>@10mA</t>
  </si>
  <si>
    <t>Arithmetc mean (min, max Hfe)</t>
  </si>
  <si>
    <t>XL eqn</t>
  </si>
  <si>
    <t>Transformers</t>
  </si>
  <si>
    <t>DC Operating Point/Biasing</t>
  </si>
  <si>
    <t>Output impedance (AC tab)</t>
  </si>
  <si>
    <r>
      <t>uH=(A</t>
    </r>
    <r>
      <rPr>
        <vertAlign val="subscript"/>
        <sz val="9"/>
        <color rgb="FF000000"/>
        <rFont val="Times New Roman"/>
        <family val="1"/>
      </rPr>
      <t>L</t>
    </r>
    <r>
      <rPr>
        <sz val="9"/>
        <color rgb="FF000000"/>
        <rFont val="Times New Roman"/>
        <family val="1"/>
      </rPr>
      <t>*Turns</t>
    </r>
    <r>
      <rPr>
        <vertAlign val="superscript"/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>)/1000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</si>
</sst>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1" x14ac:knownFonts="1"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vertAlign val="superscript"/>
      <sz val="10"/>
      <name val="Arial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vertAlign val="subscript"/>
      <sz val="10"/>
      <name val="Arial"/>
      <family val="2"/>
    </font>
    <font>
      <b/>
      <sz val="12"/>
      <name val="Arial"/>
      <family val="2"/>
    </font>
    <font>
      <vertAlign val="subscript"/>
      <sz val="9"/>
      <color rgb="FF000000"/>
      <name val="Times New Roman"/>
      <family val="1"/>
    </font>
    <font>
      <sz val="9"/>
      <color rgb="FF000000"/>
      <name val="Times New Roman"/>
      <family val="1"/>
    </font>
    <font>
      <vertAlign val="superscript"/>
      <sz val="9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Font="1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65" fontId="2" fillId="0" borderId="0" xfId="0" applyNumberFormat="1" applyFont="1"/>
    <xf numFmtId="1" fontId="0" fillId="0" borderId="0" xfId="0" applyNumberFormat="1"/>
    <xf numFmtId="164" fontId="1" fillId="0" borderId="0" xfId="0" applyNumberFormat="1" applyFont="1"/>
    <xf numFmtId="1" fontId="1" fillId="0" borderId="0" xfId="0" applyNumberFormat="1" applyFont="1"/>
    <xf numFmtId="2" fontId="1" fillId="0" borderId="0" xfId="0" applyNumberFormat="1" applyFont="1"/>
    <xf numFmtId="0" fontId="5" fillId="0" borderId="0" xfId="1"/>
    <xf numFmtId="0" fontId="0" fillId="0" borderId="0" xfId="0" applyAlignment="1">
      <alignment horizontal="right"/>
    </xf>
    <xf numFmtId="0" fontId="0" fillId="0" borderId="0" xfId="0" quotePrefix="1"/>
    <xf numFmtId="0" fontId="7" fillId="0" borderId="0" xfId="0" applyFont="1" applyAlignment="1">
      <alignment horizontal="left"/>
    </xf>
    <xf numFmtId="0" fontId="1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toroids.info/FT37-43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zoomScale="140" zoomScaleNormal="140" workbookViewId="0">
      <selection activeCell="A2" sqref="A2"/>
    </sheetView>
  </sheetViews>
  <sheetFormatPr defaultColWidth="11.5703125" defaultRowHeight="12.75" x14ac:dyDescent="0.2"/>
  <cols>
    <col min="1" max="1" width="27.140625" customWidth="1"/>
    <col min="2" max="2" width="8.28515625" customWidth="1"/>
    <col min="3" max="3" width="6.5703125" customWidth="1"/>
    <col min="4" max="4" width="6.7109375" customWidth="1"/>
  </cols>
  <sheetData>
    <row r="1" spans="1:4" ht="15.75" x14ac:dyDescent="0.25">
      <c r="A1" s="14" t="s">
        <v>108</v>
      </c>
      <c r="B1" s="14"/>
    </row>
    <row r="2" spans="1:4" x14ac:dyDescent="0.2">
      <c r="A2" t="s">
        <v>0</v>
      </c>
      <c r="B2" s="12" t="s">
        <v>1</v>
      </c>
    </row>
    <row r="3" spans="1:4" x14ac:dyDescent="0.2">
      <c r="A3" t="s">
        <v>2</v>
      </c>
      <c r="B3">
        <v>12</v>
      </c>
      <c r="C3" t="s">
        <v>3</v>
      </c>
    </row>
    <row r="4" spans="1:4" x14ac:dyDescent="0.2">
      <c r="A4" t="s">
        <v>103</v>
      </c>
      <c r="B4">
        <v>10</v>
      </c>
      <c r="C4" t="s">
        <v>4</v>
      </c>
    </row>
    <row r="5" spans="1:4" x14ac:dyDescent="0.2">
      <c r="A5" t="s">
        <v>5</v>
      </c>
      <c r="B5">
        <v>10</v>
      </c>
      <c r="C5" t="s">
        <v>86</v>
      </c>
    </row>
    <row r="6" spans="1:4" x14ac:dyDescent="0.2">
      <c r="A6" t="s">
        <v>6</v>
      </c>
      <c r="B6">
        <f>B5*B4/1000</f>
        <v>0.1</v>
      </c>
      <c r="C6" t="s">
        <v>3</v>
      </c>
      <c r="D6" t="s">
        <v>7</v>
      </c>
    </row>
    <row r="7" spans="1:4" x14ac:dyDescent="0.2">
      <c r="A7" t="s">
        <v>8</v>
      </c>
      <c r="B7">
        <v>100</v>
      </c>
      <c r="D7" s="13" t="s">
        <v>104</v>
      </c>
    </row>
    <row r="8" spans="1:4" x14ac:dyDescent="0.2">
      <c r="A8" s="1" t="s">
        <v>9</v>
      </c>
      <c r="B8">
        <v>300</v>
      </c>
      <c r="D8" s="13" t="s">
        <v>104</v>
      </c>
    </row>
    <row r="9" spans="1:4" x14ac:dyDescent="0.2">
      <c r="A9" t="s">
        <v>102</v>
      </c>
      <c r="B9" s="2">
        <f>SQRT(B7*B8)</f>
        <v>173.20508075688772</v>
      </c>
      <c r="C9" t="s">
        <v>10</v>
      </c>
      <c r="D9" t="s">
        <v>105</v>
      </c>
    </row>
    <row r="11" spans="1:4" x14ac:dyDescent="0.2">
      <c r="A11" s="3" t="s">
        <v>11</v>
      </c>
    </row>
    <row r="12" spans="1:4" x14ac:dyDescent="0.2">
      <c r="A12" t="s">
        <v>12</v>
      </c>
      <c r="B12">
        <f>0.1*B3</f>
        <v>1.2000000000000002</v>
      </c>
      <c r="C12" t="s">
        <v>3</v>
      </c>
    </row>
    <row r="13" spans="1:4" x14ac:dyDescent="0.2">
      <c r="A13" t="s">
        <v>13</v>
      </c>
      <c r="B13">
        <f>B12/B4</f>
        <v>0.12000000000000002</v>
      </c>
      <c r="C13" t="s">
        <v>101</v>
      </c>
    </row>
    <row r="14" spans="1:4" x14ac:dyDescent="0.2">
      <c r="A14" t="s">
        <v>13</v>
      </c>
      <c r="B14">
        <f>1000*B13</f>
        <v>120.00000000000003</v>
      </c>
      <c r="C14" t="s">
        <v>86</v>
      </c>
    </row>
    <row r="16" spans="1:4" x14ac:dyDescent="0.2">
      <c r="A16" s="3" t="s">
        <v>14</v>
      </c>
    </row>
    <row r="17" spans="1:3" x14ac:dyDescent="0.2">
      <c r="A17" t="s">
        <v>15</v>
      </c>
      <c r="B17">
        <f>B12</f>
        <v>1.2000000000000002</v>
      </c>
      <c r="C17" t="s">
        <v>3</v>
      </c>
    </row>
    <row r="18" spans="1:3" x14ac:dyDescent="0.2">
      <c r="A18" t="s">
        <v>16</v>
      </c>
      <c r="B18">
        <f>0.7+B17</f>
        <v>1.9000000000000001</v>
      </c>
      <c r="C18" t="s">
        <v>3</v>
      </c>
    </row>
    <row r="19" spans="1:3" x14ac:dyDescent="0.2">
      <c r="A19" t="s">
        <v>17</v>
      </c>
      <c r="B19" s="2">
        <f>10*B4/B9</f>
        <v>0.57735026918962573</v>
      </c>
      <c r="C19" t="s">
        <v>4</v>
      </c>
    </row>
    <row r="20" spans="1:3" x14ac:dyDescent="0.2">
      <c r="A20" t="s">
        <v>18</v>
      </c>
      <c r="B20" s="2">
        <f>B18/B19</f>
        <v>3.2908965343808672</v>
      </c>
      <c r="C20" t="s">
        <v>101</v>
      </c>
    </row>
    <row r="21" spans="1:3" x14ac:dyDescent="0.2">
      <c r="A21" t="s">
        <v>19</v>
      </c>
      <c r="B21">
        <v>3.3</v>
      </c>
      <c r="C21" t="s">
        <v>101</v>
      </c>
    </row>
    <row r="23" spans="1:3" x14ac:dyDescent="0.2">
      <c r="A23" s="3" t="s">
        <v>20</v>
      </c>
    </row>
    <row r="24" spans="1:3" x14ac:dyDescent="0.2">
      <c r="A24" t="s">
        <v>21</v>
      </c>
      <c r="B24">
        <f>B3-B18</f>
        <v>10.1</v>
      </c>
      <c r="C24" t="s">
        <v>3</v>
      </c>
    </row>
    <row r="25" spans="1:3" x14ac:dyDescent="0.2">
      <c r="A25" t="s">
        <v>22</v>
      </c>
      <c r="B25" s="2">
        <f>B18/B20</f>
        <v>0.57735026918962573</v>
      </c>
      <c r="C25" t="s">
        <v>4</v>
      </c>
    </row>
    <row r="26" spans="1:3" x14ac:dyDescent="0.2">
      <c r="A26" t="s">
        <v>23</v>
      </c>
      <c r="B26" s="2">
        <f>B4/B9</f>
        <v>5.7735026918962581E-2</v>
      </c>
      <c r="C26" t="s">
        <v>4</v>
      </c>
    </row>
    <row r="27" spans="1:3" x14ac:dyDescent="0.2">
      <c r="A27" t="s">
        <v>24</v>
      </c>
      <c r="B27" s="2">
        <f>B25+B26</f>
        <v>0.63508529610858833</v>
      </c>
      <c r="C27" t="s">
        <v>4</v>
      </c>
    </row>
    <row r="28" spans="1:3" x14ac:dyDescent="0.2">
      <c r="A28" t="s">
        <v>25</v>
      </c>
      <c r="B28" s="2">
        <f>B24/B27</f>
        <v>15.903375596768782</v>
      </c>
      <c r="C28" t="s">
        <v>101</v>
      </c>
    </row>
    <row r="29" spans="1:3" x14ac:dyDescent="0.2">
      <c r="A29" t="s">
        <v>26</v>
      </c>
      <c r="B29">
        <v>15</v>
      </c>
      <c r="C29" t="s">
        <v>101</v>
      </c>
    </row>
  </sheetData>
  <mergeCells count="1">
    <mergeCell ref="A1:B1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3"/>
  <sheetViews>
    <sheetView zoomScale="140" zoomScaleNormal="140" workbookViewId="0">
      <selection sqref="A1:B1"/>
    </sheetView>
  </sheetViews>
  <sheetFormatPr defaultColWidth="11.5703125" defaultRowHeight="12.75" x14ac:dyDescent="0.2"/>
  <cols>
    <col min="1" max="1" width="18.7109375" customWidth="1"/>
    <col min="2" max="2" width="18.28515625" customWidth="1"/>
    <col min="3" max="3" width="10.5703125" customWidth="1"/>
    <col min="4" max="4" width="14.7109375" customWidth="1"/>
    <col min="5" max="5" width="9" customWidth="1"/>
  </cols>
  <sheetData>
    <row r="1" spans="1:4" ht="15.75" x14ac:dyDescent="0.25">
      <c r="A1" s="14" t="s">
        <v>96</v>
      </c>
      <c r="B1" s="14"/>
    </row>
    <row r="2" spans="1:4" x14ac:dyDescent="0.2">
      <c r="A2" s="3" t="s">
        <v>27</v>
      </c>
    </row>
    <row r="3" spans="1:4" x14ac:dyDescent="0.2">
      <c r="A3" t="s">
        <v>28</v>
      </c>
      <c r="B3" s="4">
        <v>9</v>
      </c>
      <c r="C3" t="s">
        <v>29</v>
      </c>
    </row>
    <row r="4" spans="1:4" x14ac:dyDescent="0.2">
      <c r="A4" t="s">
        <v>30</v>
      </c>
      <c r="B4" s="4">
        <v>0.1</v>
      </c>
      <c r="C4" t="s">
        <v>87</v>
      </c>
    </row>
    <row r="5" spans="1:4" x14ac:dyDescent="0.2">
      <c r="A5" t="s">
        <v>31</v>
      </c>
      <c r="B5" s="4">
        <f>1/(2*PI()*B4*B3)</f>
        <v>0.17683882565766149</v>
      </c>
      <c r="C5" t="s">
        <v>86</v>
      </c>
      <c r="D5" t="s">
        <v>84</v>
      </c>
    </row>
    <row r="6" spans="1:4" x14ac:dyDescent="0.2">
      <c r="B6" s="4"/>
    </row>
    <row r="7" spans="1:4" x14ac:dyDescent="0.2">
      <c r="A7" s="3" t="s">
        <v>32</v>
      </c>
      <c r="B7" s="4"/>
    </row>
    <row r="8" spans="1:4" x14ac:dyDescent="0.2">
      <c r="A8" t="s">
        <v>33</v>
      </c>
      <c r="B8" s="4">
        <v>300</v>
      </c>
    </row>
    <row r="9" spans="1:4" x14ac:dyDescent="0.2">
      <c r="A9" t="s">
        <v>34</v>
      </c>
      <c r="B9" s="4">
        <f>B3</f>
        <v>9</v>
      </c>
      <c r="C9" t="s">
        <v>29</v>
      </c>
    </row>
    <row r="10" spans="1:4" x14ac:dyDescent="0.2">
      <c r="A10" t="s">
        <v>97</v>
      </c>
      <c r="B10" s="4">
        <f>B8/B9</f>
        <v>33.333333333333336</v>
      </c>
      <c r="C10" t="s">
        <v>85</v>
      </c>
    </row>
    <row r="11" spans="1:4" x14ac:dyDescent="0.2">
      <c r="A11" t="s">
        <v>98</v>
      </c>
      <c r="B11" s="4">
        <f>20*LOG(B10)</f>
        <v>30.457574905606752</v>
      </c>
      <c r="C11" t="s">
        <v>100</v>
      </c>
      <c r="D11" t="s">
        <v>99</v>
      </c>
    </row>
    <row r="13" spans="1:4" x14ac:dyDescent="0.2">
      <c r="A13" s="3" t="s">
        <v>35</v>
      </c>
    </row>
    <row r="14" spans="1:4" x14ac:dyDescent="0.2">
      <c r="B14">
        <v>25</v>
      </c>
      <c r="C14" t="s">
        <v>36</v>
      </c>
    </row>
    <row r="15" spans="1:4" x14ac:dyDescent="0.2">
      <c r="A15" t="s">
        <v>37</v>
      </c>
      <c r="B15">
        <f>DC!B4</f>
        <v>10</v>
      </c>
      <c r="C15" t="s">
        <v>4</v>
      </c>
    </row>
    <row r="16" spans="1:4" x14ac:dyDescent="0.2">
      <c r="A16" t="s">
        <v>38</v>
      </c>
      <c r="B16" s="4">
        <f>B10*B14/B15</f>
        <v>83.333333333333343</v>
      </c>
      <c r="C16" t="s">
        <v>86</v>
      </c>
    </row>
    <row r="17" spans="1:3" x14ac:dyDescent="0.2">
      <c r="B17" s="4"/>
    </row>
    <row r="18" spans="1:3" x14ac:dyDescent="0.2">
      <c r="A18" s="3" t="s">
        <v>39</v>
      </c>
    </row>
    <row r="19" spans="1:3" x14ac:dyDescent="0.2">
      <c r="A19" t="s">
        <v>40</v>
      </c>
      <c r="B19">
        <v>3300</v>
      </c>
      <c r="C19" t="s">
        <v>86</v>
      </c>
    </row>
    <row r="20" spans="1:3" x14ac:dyDescent="0.2">
      <c r="A20" t="s">
        <v>41</v>
      </c>
      <c r="B20">
        <v>15000</v>
      </c>
      <c r="C20" t="s">
        <v>86</v>
      </c>
    </row>
    <row r="21" spans="1:3" x14ac:dyDescent="0.2">
      <c r="A21" t="s">
        <v>83</v>
      </c>
      <c r="B21" s="5">
        <f>(B20*B19)/(B20+B19)</f>
        <v>2704.9180327868853</v>
      </c>
      <c r="C21" t="s">
        <v>86</v>
      </c>
    </row>
    <row r="22" spans="1:3" x14ac:dyDescent="0.2">
      <c r="A22" t="s">
        <v>35</v>
      </c>
      <c r="B22" s="4">
        <f>B16</f>
        <v>83.333333333333343</v>
      </c>
      <c r="C22" t="s">
        <v>86</v>
      </c>
    </row>
    <row r="23" spans="1:3" x14ac:dyDescent="0.2">
      <c r="A23" t="s">
        <v>39</v>
      </c>
      <c r="B23" s="6">
        <f>(B21*B22)/(B21+B22)</f>
        <v>80.842724154826072</v>
      </c>
      <c r="C23" t="s">
        <v>86</v>
      </c>
    </row>
  </sheetData>
  <mergeCells count="1">
    <mergeCell ref="A1:B1"/>
  </mergeCells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8CCB9-5991-4965-9332-5EEC807AF976}">
  <dimension ref="A1:E46"/>
  <sheetViews>
    <sheetView tabSelected="1" zoomScale="140" zoomScaleNormal="140" workbookViewId="0">
      <selection sqref="A1:B1"/>
    </sheetView>
  </sheetViews>
  <sheetFormatPr defaultRowHeight="12.75" x14ac:dyDescent="0.2"/>
  <cols>
    <col min="1" max="1" width="15.85546875" customWidth="1"/>
    <col min="2" max="2" width="13.7109375" bestFit="1" customWidth="1"/>
    <col min="3" max="3" width="12.140625" customWidth="1"/>
    <col min="4" max="4" width="11" customWidth="1"/>
    <col min="5" max="5" width="8.42578125" bestFit="1" customWidth="1"/>
  </cols>
  <sheetData>
    <row r="1" spans="1:4" ht="15.75" x14ac:dyDescent="0.25">
      <c r="A1" s="14" t="s">
        <v>107</v>
      </c>
      <c r="B1" s="14"/>
    </row>
    <row r="2" spans="1:4" x14ac:dyDescent="0.2">
      <c r="A2" s="15" t="s">
        <v>46</v>
      </c>
      <c r="B2" s="15"/>
      <c r="C2" s="1"/>
    </row>
    <row r="3" spans="1:4" x14ac:dyDescent="0.2">
      <c r="A3" t="s">
        <v>91</v>
      </c>
      <c r="B3" s="5">
        <v>50</v>
      </c>
      <c r="C3" t="s">
        <v>86</v>
      </c>
      <c r="D3" t="s">
        <v>81</v>
      </c>
    </row>
    <row r="4" spans="1:4" x14ac:dyDescent="0.2">
      <c r="A4" t="s">
        <v>47</v>
      </c>
      <c r="B4">
        <v>5</v>
      </c>
      <c r="C4" t="s">
        <v>86</v>
      </c>
      <c r="D4" t="s">
        <v>95</v>
      </c>
    </row>
    <row r="5" spans="1:4" x14ac:dyDescent="0.2">
      <c r="A5" t="s">
        <v>69</v>
      </c>
      <c r="B5" s="5">
        <f>B4*B3</f>
        <v>250</v>
      </c>
      <c r="C5" t="s">
        <v>86</v>
      </c>
      <c r="D5" t="s">
        <v>48</v>
      </c>
    </row>
    <row r="6" spans="1:4" x14ac:dyDescent="0.2">
      <c r="A6" t="s">
        <v>28</v>
      </c>
      <c r="B6" s="5">
        <v>9000000</v>
      </c>
      <c r="C6" t="s">
        <v>71</v>
      </c>
      <c r="D6" t="s">
        <v>92</v>
      </c>
    </row>
    <row r="7" spans="1:4" x14ac:dyDescent="0.2">
      <c r="B7" s="5"/>
    </row>
    <row r="8" spans="1:4" ht="12" customHeight="1" x14ac:dyDescent="0.2">
      <c r="A8" t="s">
        <v>106</v>
      </c>
      <c r="B8" s="5"/>
      <c r="D8" t="s">
        <v>65</v>
      </c>
    </row>
    <row r="9" spans="1:4" ht="12" customHeight="1" x14ac:dyDescent="0.2">
      <c r="A9" t="s">
        <v>72</v>
      </c>
      <c r="B9" s="2">
        <f>1000000*B5/(2*PI()*B6)</f>
        <v>4.4209706414415377</v>
      </c>
      <c r="C9" t="s">
        <v>82</v>
      </c>
      <c r="D9" t="s">
        <v>66</v>
      </c>
    </row>
    <row r="10" spans="1:4" ht="15.75" x14ac:dyDescent="0.3">
      <c r="A10" t="s">
        <v>94</v>
      </c>
      <c r="B10" s="5">
        <v>350</v>
      </c>
      <c r="C10" t="s">
        <v>68</v>
      </c>
      <c r="D10" s="11" t="s">
        <v>50</v>
      </c>
    </row>
    <row r="11" spans="1:4" ht="14.25" x14ac:dyDescent="0.25">
      <c r="B11" s="2"/>
      <c r="D11" t="s">
        <v>110</v>
      </c>
    </row>
    <row r="12" spans="1:4" x14ac:dyDescent="0.2">
      <c r="A12" t="s">
        <v>49</v>
      </c>
      <c r="B12" s="2">
        <f>SQRT(B9*1000/B10)</f>
        <v>3.5540603103820514</v>
      </c>
      <c r="C12" t="s">
        <v>93</v>
      </c>
      <c r="D12" t="s">
        <v>64</v>
      </c>
    </row>
    <row r="13" spans="1:4" x14ac:dyDescent="0.2">
      <c r="A13" t="s">
        <v>51</v>
      </c>
      <c r="B13" s="7">
        <f>ROUNDUP(B12,0)</f>
        <v>4</v>
      </c>
      <c r="C13" t="s">
        <v>93</v>
      </c>
      <c r="D13" t="s">
        <v>52</v>
      </c>
    </row>
    <row r="14" spans="1:4" x14ac:dyDescent="0.2">
      <c r="D14" t="s">
        <v>53</v>
      </c>
    </row>
    <row r="15" spans="1:4" x14ac:dyDescent="0.2">
      <c r="A15" t="s">
        <v>80</v>
      </c>
      <c r="B15" s="5">
        <f>AC!B23</f>
        <v>80.842724154826072</v>
      </c>
      <c r="C15" t="s">
        <v>86</v>
      </c>
      <c r="D15" t="s">
        <v>109</v>
      </c>
    </row>
    <row r="16" spans="1:4" x14ac:dyDescent="0.2">
      <c r="A16" t="s">
        <v>42</v>
      </c>
      <c r="B16" s="2">
        <f>B15/B3</f>
        <v>1.6168544830965215</v>
      </c>
      <c r="C16" t="s">
        <v>88</v>
      </c>
      <c r="D16" t="s">
        <v>89</v>
      </c>
    </row>
    <row r="17" spans="1:5" x14ac:dyDescent="0.2">
      <c r="A17" t="s">
        <v>44</v>
      </c>
      <c r="B17" s="2">
        <f>SQRT(B16)</f>
        <v>1.2715559299914894</v>
      </c>
      <c r="C17" t="s">
        <v>45</v>
      </c>
      <c r="D17" t="s">
        <v>90</v>
      </c>
    </row>
    <row r="18" spans="1:5" x14ac:dyDescent="0.2">
      <c r="B18" s="2"/>
    </row>
    <row r="19" spans="1:5" x14ac:dyDescent="0.2">
      <c r="D19" t="s">
        <v>70</v>
      </c>
    </row>
    <row r="20" spans="1:5" x14ac:dyDescent="0.2">
      <c r="A20" t="s">
        <v>54</v>
      </c>
      <c r="D20" t="s">
        <v>55</v>
      </c>
    </row>
    <row r="21" spans="1:5" ht="14.25" x14ac:dyDescent="0.2">
      <c r="A21" t="s">
        <v>56</v>
      </c>
      <c r="B21" t="s">
        <v>57</v>
      </c>
      <c r="C21" t="s">
        <v>58</v>
      </c>
      <c r="D21" t="s">
        <v>59</v>
      </c>
      <c r="E21" t="s">
        <v>60</v>
      </c>
    </row>
    <row r="22" spans="1:5" x14ac:dyDescent="0.2">
      <c r="A22">
        <v>4</v>
      </c>
      <c r="B22" s="4">
        <f>A22*XFMRs!$B$17</f>
        <v>5.0862237199659575</v>
      </c>
      <c r="C22" s="7">
        <f>ROUND(B22,0)</f>
        <v>5</v>
      </c>
      <c r="D22" s="4">
        <f>C22/A22</f>
        <v>1.25</v>
      </c>
      <c r="E22" s="2">
        <f>100*(XFMRs!$B$17-D22)/(D22)</f>
        <v>1.7244743993191491</v>
      </c>
    </row>
    <row r="23" spans="1:5" x14ac:dyDescent="0.2">
      <c r="A23">
        <v>5</v>
      </c>
      <c r="B23" s="4">
        <f>A23*XFMRs!$B$17</f>
        <v>6.3577796499574468</v>
      </c>
      <c r="C23" s="7">
        <f>ROUND(B23,0)</f>
        <v>6</v>
      </c>
      <c r="D23" s="4">
        <f>C23/A23</f>
        <v>1.2</v>
      </c>
      <c r="E23" s="2">
        <f>100*(XFMRs!$B$17-D23)/(D23)</f>
        <v>5.9629941659574506</v>
      </c>
    </row>
    <row r="24" spans="1:5" x14ac:dyDescent="0.2">
      <c r="A24">
        <v>6</v>
      </c>
      <c r="B24" s="4">
        <f>A24*XFMRs!$B$17</f>
        <v>7.6293355799489362</v>
      </c>
      <c r="C24" s="7">
        <f>ROUND(B24,0)</f>
        <v>8</v>
      </c>
      <c r="D24" s="4">
        <f>C24/A24</f>
        <v>1.3333333333333333</v>
      </c>
      <c r="E24" s="2">
        <f>100*(XFMRs!$B$17-D24)/(D24)</f>
        <v>-4.6333052506382923</v>
      </c>
    </row>
    <row r="25" spans="1:5" x14ac:dyDescent="0.2">
      <c r="A25" s="3">
        <v>7</v>
      </c>
      <c r="B25" s="8">
        <f>A25*XFMRs!$B$17</f>
        <v>8.9008915099404255</v>
      </c>
      <c r="C25" s="9">
        <f>ROUND(B25,0)</f>
        <v>9</v>
      </c>
      <c r="D25" s="8">
        <f>C25/A25</f>
        <v>1.2857142857142858</v>
      </c>
      <c r="E25" s="10">
        <f>100*(XFMRs!$B$17-D25)/(D25)</f>
        <v>-1.1012054451063902</v>
      </c>
    </row>
    <row r="26" spans="1:5" x14ac:dyDescent="0.2">
      <c r="A26">
        <v>8</v>
      </c>
      <c r="B26" s="4">
        <f>A26*XFMRs!$B$17</f>
        <v>10.172447439931915</v>
      </c>
      <c r="C26" s="7">
        <f>ROUND(B26,0)</f>
        <v>10</v>
      </c>
      <c r="D26" s="4">
        <f>C26/A26</f>
        <v>1.25</v>
      </c>
      <c r="E26" s="2">
        <f>100*(XFMRs!$B$17-D26)/(D26)</f>
        <v>1.7244743993191491</v>
      </c>
    </row>
    <row r="27" spans="1:5" x14ac:dyDescent="0.2">
      <c r="A27">
        <v>9</v>
      </c>
      <c r="B27" s="4">
        <f>A27*XFMRs!$B$17</f>
        <v>11.444003369923404</v>
      </c>
      <c r="C27" s="7">
        <f>ROUND(B27,0)</f>
        <v>11</v>
      </c>
      <c r="D27" s="4">
        <f>C27/A27</f>
        <v>1.2222222222222223</v>
      </c>
      <c r="E27" s="2">
        <f>100*(XFMRs!$B$17-D27)/(D27)</f>
        <v>4.0363942720309396</v>
      </c>
    </row>
    <row r="28" spans="1:5" x14ac:dyDescent="0.2">
      <c r="A28">
        <v>10</v>
      </c>
      <c r="B28" s="4">
        <f>A28*XFMRs!$B$17</f>
        <v>12.715559299914894</v>
      </c>
      <c r="C28" s="7">
        <f>ROUND(B28,0)</f>
        <v>13</v>
      </c>
      <c r="D28" s="4">
        <f>C28/A28</f>
        <v>1.3</v>
      </c>
      <c r="E28" s="2">
        <f>100*(XFMRs!$B$17-D28)/(D28)</f>
        <v>-2.1880053852700523</v>
      </c>
    </row>
    <row r="29" spans="1:5" x14ac:dyDescent="0.2">
      <c r="A29" t="s">
        <v>61</v>
      </c>
    </row>
    <row r="31" spans="1:5" x14ac:dyDescent="0.2">
      <c r="A31" s="15" t="s">
        <v>62</v>
      </c>
      <c r="B31" s="15"/>
    </row>
    <row r="32" spans="1:5" x14ac:dyDescent="0.2">
      <c r="A32" t="s">
        <v>63</v>
      </c>
    </row>
    <row r="33" spans="1:5" x14ac:dyDescent="0.2">
      <c r="A33" t="s">
        <v>78</v>
      </c>
      <c r="B33">
        <v>50</v>
      </c>
      <c r="C33" t="s">
        <v>86</v>
      </c>
    </row>
    <row r="34" spans="1:5" x14ac:dyDescent="0.2">
      <c r="A34" t="s">
        <v>79</v>
      </c>
      <c r="B34">
        <v>200</v>
      </c>
      <c r="C34" t="s">
        <v>86</v>
      </c>
      <c r="D34" t="s">
        <v>95</v>
      </c>
    </row>
    <row r="35" spans="1:5" x14ac:dyDescent="0.2">
      <c r="A35" t="s">
        <v>28</v>
      </c>
      <c r="B35" s="5">
        <f>B6</f>
        <v>9000000</v>
      </c>
      <c r="C35" t="s">
        <v>71</v>
      </c>
    </row>
    <row r="36" spans="1:5" x14ac:dyDescent="0.2">
      <c r="A36" t="s">
        <v>72</v>
      </c>
      <c r="B36" s="2">
        <f>1000000*B34/(2*PI()*B35)</f>
        <v>3.5367765131532298</v>
      </c>
      <c r="C36" t="s">
        <v>82</v>
      </c>
      <c r="D36" t="s">
        <v>66</v>
      </c>
    </row>
    <row r="37" spans="1:5" x14ac:dyDescent="0.2">
      <c r="B37" s="2">
        <f>SQRT(B36*1000/B5)</f>
        <v>3.7612638903183755</v>
      </c>
      <c r="C37" t="s">
        <v>73</v>
      </c>
      <c r="D37" t="s">
        <v>64</v>
      </c>
    </row>
    <row r="38" spans="1:5" x14ac:dyDescent="0.2">
      <c r="B38" s="2">
        <f>ROUND(B37,0)</f>
        <v>4</v>
      </c>
      <c r="C38" t="s">
        <v>67</v>
      </c>
      <c r="D38" t="s">
        <v>52</v>
      </c>
    </row>
    <row r="39" spans="1:5" x14ac:dyDescent="0.2">
      <c r="A39" t="s">
        <v>74</v>
      </c>
      <c r="B39">
        <f>B34/B33</f>
        <v>4</v>
      </c>
      <c r="C39" t="s">
        <v>43</v>
      </c>
    </row>
    <row r="40" spans="1:5" x14ac:dyDescent="0.2">
      <c r="A40" t="s">
        <v>75</v>
      </c>
      <c r="B40">
        <f>SQRT(B39)</f>
        <v>2</v>
      </c>
      <c r="C40" t="s">
        <v>77</v>
      </c>
    </row>
    <row r="42" spans="1:5" x14ac:dyDescent="0.2">
      <c r="A42" t="s">
        <v>54</v>
      </c>
    </row>
    <row r="43" spans="1:5" ht="14.25" x14ac:dyDescent="0.2">
      <c r="A43" t="s">
        <v>76</v>
      </c>
      <c r="B43" t="s">
        <v>56</v>
      </c>
    </row>
    <row r="44" spans="1:5" x14ac:dyDescent="0.2">
      <c r="A44">
        <v>4</v>
      </c>
      <c r="B44" s="4">
        <f>A44*$B$40</f>
        <v>8</v>
      </c>
      <c r="C44" s="7"/>
      <c r="D44" s="4"/>
      <c r="E44" s="2"/>
    </row>
    <row r="45" spans="1:5" x14ac:dyDescent="0.2">
      <c r="A45" s="3">
        <v>5</v>
      </c>
      <c r="B45" s="8">
        <f>A45*$B$40</f>
        <v>10</v>
      </c>
      <c r="C45" s="9"/>
      <c r="D45" s="8"/>
      <c r="E45" s="10"/>
    </row>
    <row r="46" spans="1:5" x14ac:dyDescent="0.2">
      <c r="A46">
        <v>6</v>
      </c>
      <c r="B46" s="4">
        <f>A46*$B$40</f>
        <v>12</v>
      </c>
      <c r="C46" s="7"/>
      <c r="D46" s="4"/>
      <c r="E46" s="2"/>
    </row>
  </sheetData>
  <mergeCells count="3">
    <mergeCell ref="A2:B2"/>
    <mergeCell ref="A31:B31"/>
    <mergeCell ref="A1:B1"/>
  </mergeCells>
  <hyperlinks>
    <hyperlink ref="D10" r:id="rId1" xr:uid="{62BC133E-803E-4062-8D43-9158BBE2EDAA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DC</vt:lpstr>
      <vt:lpstr>AC</vt:lpstr>
      <vt:lpstr>XFMRs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Gilliland, Doug</cp:lastModifiedBy>
  <cp:revision>8</cp:revision>
  <dcterms:created xsi:type="dcterms:W3CDTF">2021-11-06T08:02:24Z</dcterms:created>
  <dcterms:modified xsi:type="dcterms:W3CDTF">2021-11-09T20:24:03Z</dcterms:modified>
  <dc:language>en-US</dc:language>
</cp:coreProperties>
</file>